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KÉPVISELŐ-TESTÜLET\RENDELETEK 2018\08-28\"/>
    </mc:Choice>
  </mc:AlternateContent>
  <bookViews>
    <workbookView xWindow="0" yWindow="0" windowWidth="28800" windowHeight="12435" activeTab="1"/>
  </bookViews>
  <sheets>
    <sheet name="Munka1" sheetId="50" r:id="rId1"/>
    <sheet name="1.mell. Mérleg" sheetId="17" r:id="rId2"/>
    <sheet name="2.mell. Mérleg" sheetId="18" r:id="rId3"/>
    <sheet name="3.mell. Bevétel" sheetId="9" r:id="rId4"/>
    <sheet name="3.a átvett pe." sheetId="43" r:id="rId5"/>
    <sheet name="3.b mell. Működési bevételek" sheetId="44" r:id="rId6"/>
    <sheet name="3.c. mell. Közhatalmi bevételek" sheetId="45" r:id="rId7"/>
    <sheet name="4.mell. Normatíva" sheetId="52" r:id="rId8"/>
    <sheet name="5. mell. Önk.össz kiadás" sheetId="8" r:id="rId9"/>
    <sheet name="5.a. mell. Jogalkotás" sheetId="1" r:id="rId10"/>
    <sheet name="5.b. mell. VF saját forrásból" sheetId="41" r:id="rId11"/>
    <sheet name="5.c. mell. VF Eu forrásból" sheetId="5" r:id="rId12"/>
    <sheet name="5.d. mell. Védőnő, EÜ" sheetId="6" r:id="rId13"/>
    <sheet name="5.e. mell. Szociális ellátások" sheetId="37" r:id="rId14"/>
    <sheet name="5.f. mell. Átadott pénzeszk." sheetId="40" r:id="rId15"/>
    <sheet name="5.g. mell. Egyéb tev." sheetId="7" r:id="rId16"/>
    <sheet name="6.mell Int.összesen" sheetId="58" r:id="rId17"/>
    <sheet name="6.a. mell. PH" sheetId="14" r:id="rId18"/>
    <sheet name="6.b. mell. Óvoda" sheetId="16" r:id="rId19"/>
    <sheet name="6.c. mell. BBKP" sheetId="12" r:id="rId20"/>
    <sheet name="7.mell. Beruházás" sheetId="19" r:id="rId21"/>
    <sheet name="8.mell. Felújítás" sheetId="20" r:id="rId22"/>
    <sheet name="9.mell. Létszámok" sheetId="21" r:id="rId23"/>
    <sheet name="10. mell. Több éves kihat" sheetId="29" r:id="rId24"/>
    <sheet name="11.mell. Ei felhaszn." sheetId="30" r:id="rId25"/>
    <sheet name="12.a Tételes mód ÖNK" sheetId="53" r:id="rId26"/>
    <sheet name="12.b Tételes mód PH" sheetId="54" r:id="rId27"/>
    <sheet name="12.c Tételes mód Óvoda" sheetId="55" r:id="rId28"/>
    <sheet name="12.d Tételes mód BBK" sheetId="56" r:id="rId29"/>
    <sheet name="12.e Konszolidált módosítás" sheetId="57" r:id="rId30"/>
  </sheets>
  <externalReferences>
    <externalReference r:id="rId31"/>
    <externalReference r:id="rId32"/>
    <externalReference r:id="rId33"/>
    <externalReference r:id="rId34"/>
  </externalReferences>
  <definedNames>
    <definedName name="_xlnm._FilterDatabase" localSheetId="25" hidden="1">'12.a Tételes mód ÖNK'!$A$4:$AN$4</definedName>
    <definedName name="kst" localSheetId="25">#REF!</definedName>
    <definedName name="kst" localSheetId="26">#REF!</definedName>
    <definedName name="kst" localSheetId="27">#REF!</definedName>
    <definedName name="kst" localSheetId="28">#REF!</definedName>
    <definedName name="kst" localSheetId="29">#REF!</definedName>
    <definedName name="kst" localSheetId="4">#REF!</definedName>
    <definedName name="kst" localSheetId="5">#REF!</definedName>
    <definedName name="kst" localSheetId="6">#REF!</definedName>
    <definedName name="kst" localSheetId="7">#REF!</definedName>
    <definedName name="kst">#REF!</definedName>
    <definedName name="nev" localSheetId="7">[1]kod!$CD$8:$CD$3150</definedName>
    <definedName name="nev">[2]kod!$CD$8:$CD$3150</definedName>
    <definedName name="_xlnm.Print_Titles" localSheetId="25">'12.a Tételes mód ÖNK'!$A:$C</definedName>
    <definedName name="_xlnm.Print_Titles" localSheetId="29">'12.e Konszolidált módosítás'!$A:$B</definedName>
    <definedName name="_xlnm.Print_Titles" localSheetId="7">'4.mell. Normatíva'!$A:$A</definedName>
    <definedName name="_xlnm.Print_Titles" localSheetId="8">'5. mell. Önk.össz kiadás'!$A:$C</definedName>
    <definedName name="_xlnm.Print_Titles" localSheetId="9">'5.a. mell. Jogalkotás'!$2:$4</definedName>
    <definedName name="_xlnm.Print_Titles" localSheetId="10">'5.b. mell. VF saját forrásból'!$A:$C,'5.b. mell. VF saját forrásból'!$1:$4</definedName>
    <definedName name="_xlnm.Print_Titles" localSheetId="11">'5.c. mell. VF Eu forrásból'!$1:$4</definedName>
    <definedName name="_xlnm.Print_Titles" localSheetId="12">'5.d. mell. Védőnő, EÜ'!$1:$4</definedName>
    <definedName name="_xlnm.Print_Titles" localSheetId="15">'5.g. mell. Egyéb tev.'!$A:$C</definedName>
    <definedName name="_xlnm.Print_Titles" localSheetId="17">'6.a. mell. PH'!$1:$4</definedName>
    <definedName name="_xlnm.Print_Titles" localSheetId="18">'6.b. mell. Óvoda'!$1:$4</definedName>
    <definedName name="_xlnm.Print_Titles" localSheetId="19">'6.c. mell. BBKP'!$1:$4</definedName>
    <definedName name="_xlnm.Print_Area" localSheetId="29">'12.e Konszolidált módosítás'!$A$1:$AI$12</definedName>
    <definedName name="onev" localSheetId="7">[3]kod!$BT$34:$BT$3184</definedName>
    <definedName name="onev">[4]kod!$BT$34:$BT$3184</definedName>
    <definedName name="w" localSheetId="25">#REF!</definedName>
    <definedName name="w" localSheetId="26">#REF!</definedName>
    <definedName name="w" localSheetId="27">#REF!</definedName>
    <definedName name="w" localSheetId="28">#REF!</definedName>
    <definedName name="w" localSheetId="29">#REF!</definedName>
    <definedName name="w" localSheetId="7">#REF!</definedName>
    <definedName name="w">#REF!</definedName>
  </definedNames>
  <calcPr calcId="152511"/>
</workbook>
</file>

<file path=xl/calcChain.xml><?xml version="1.0" encoding="utf-8"?>
<calcChain xmlns="http://schemas.openxmlformats.org/spreadsheetml/2006/main">
  <c r="C36" i="43" l="1"/>
  <c r="D36" i="43"/>
  <c r="B36" i="43"/>
  <c r="D35" i="43"/>
  <c r="D24" i="43" l="1"/>
  <c r="D21" i="44"/>
  <c r="D22" i="44"/>
  <c r="B18" i="44"/>
  <c r="B21" i="44"/>
  <c r="B22" i="44"/>
  <c r="D14" i="44"/>
  <c r="D12" i="43"/>
  <c r="C13" i="43"/>
  <c r="B13" i="43"/>
  <c r="D11" i="43" l="1"/>
  <c r="C22" i="44" l="1"/>
  <c r="W6" i="7" l="1"/>
  <c r="H47" i="41"/>
  <c r="AF73" i="7"/>
  <c r="J7" i="53"/>
  <c r="D32" i="20" l="1"/>
  <c r="E32" i="20"/>
  <c r="C32" i="20"/>
  <c r="D9" i="20"/>
  <c r="E9" i="20"/>
  <c r="C9" i="20"/>
  <c r="D7" i="20"/>
  <c r="E7" i="20"/>
  <c r="C7" i="20"/>
  <c r="E5" i="20"/>
  <c r="E60" i="19"/>
  <c r="D58" i="19"/>
  <c r="D47" i="19"/>
  <c r="D13" i="19"/>
  <c r="C13" i="19"/>
  <c r="E12" i="19"/>
  <c r="E11" i="19"/>
  <c r="H33" i="30"/>
  <c r="AE10" i="57"/>
  <c r="AF10" i="57"/>
  <c r="AE9" i="57"/>
  <c r="F46" i="52" l="1"/>
  <c r="I46" i="52" s="1"/>
  <c r="C21" i="45"/>
  <c r="C15" i="45"/>
  <c r="C10" i="45"/>
  <c r="C7" i="45"/>
  <c r="C26" i="43"/>
  <c r="B26" i="43"/>
  <c r="D23" i="43"/>
  <c r="D25" i="43"/>
  <c r="E16" i="17"/>
  <c r="D16" i="17"/>
  <c r="D8" i="9"/>
  <c r="D29" i="9"/>
  <c r="D6" i="5"/>
  <c r="E6" i="5"/>
  <c r="F6" i="5"/>
  <c r="D7" i="5"/>
  <c r="E7" i="5"/>
  <c r="F7" i="5"/>
  <c r="D9" i="5"/>
  <c r="E9" i="5"/>
  <c r="F9" i="5"/>
  <c r="D11" i="5"/>
  <c r="E11" i="5"/>
  <c r="F11" i="5"/>
  <c r="D12" i="5"/>
  <c r="E12" i="5"/>
  <c r="F12" i="5"/>
  <c r="D13" i="5"/>
  <c r="E13" i="5"/>
  <c r="F13" i="5"/>
  <c r="D14" i="5"/>
  <c r="E14" i="5"/>
  <c r="F14" i="5"/>
  <c r="D15" i="5"/>
  <c r="E15" i="5"/>
  <c r="F15" i="5"/>
  <c r="D16" i="5"/>
  <c r="E16" i="5"/>
  <c r="F16" i="5"/>
  <c r="D17" i="5"/>
  <c r="E17" i="5"/>
  <c r="F17" i="5"/>
  <c r="D18" i="5"/>
  <c r="E18" i="5"/>
  <c r="F18" i="5"/>
  <c r="D19" i="5"/>
  <c r="E19" i="5"/>
  <c r="F19" i="5"/>
  <c r="D20" i="5"/>
  <c r="E20" i="5"/>
  <c r="F20" i="5"/>
  <c r="D21" i="5"/>
  <c r="E21" i="5"/>
  <c r="F21" i="5"/>
  <c r="D22" i="5"/>
  <c r="E22" i="5"/>
  <c r="F22" i="5"/>
  <c r="D23" i="5"/>
  <c r="E23" i="5"/>
  <c r="F23" i="5"/>
  <c r="D24" i="5"/>
  <c r="E24" i="5"/>
  <c r="F24" i="5"/>
  <c r="D25" i="5"/>
  <c r="E25" i="5"/>
  <c r="F25" i="5"/>
  <c r="D26" i="5"/>
  <c r="E26" i="5"/>
  <c r="F26" i="5"/>
  <c r="D27" i="5"/>
  <c r="E27" i="5"/>
  <c r="F27" i="5"/>
  <c r="D28" i="5"/>
  <c r="E28" i="5"/>
  <c r="F28" i="5"/>
  <c r="D29" i="5"/>
  <c r="E29" i="5"/>
  <c r="F29" i="5"/>
  <c r="D30" i="5"/>
  <c r="E30" i="5"/>
  <c r="F30" i="5"/>
  <c r="D31" i="5"/>
  <c r="E31" i="5"/>
  <c r="F31" i="5"/>
  <c r="D32" i="5"/>
  <c r="E32" i="5"/>
  <c r="F32" i="5"/>
  <c r="D33" i="5"/>
  <c r="E33" i="5"/>
  <c r="F33" i="5"/>
  <c r="D34" i="5"/>
  <c r="E34" i="5"/>
  <c r="F34" i="5"/>
  <c r="D35" i="5"/>
  <c r="E35" i="5"/>
  <c r="F35" i="5"/>
  <c r="D37" i="5"/>
  <c r="E37" i="5"/>
  <c r="F37" i="5"/>
  <c r="D38" i="5"/>
  <c r="E38" i="5"/>
  <c r="F38" i="5"/>
  <c r="D39" i="5"/>
  <c r="E39" i="5"/>
  <c r="F39" i="5"/>
  <c r="D40" i="5"/>
  <c r="E40" i="5"/>
  <c r="F40" i="5"/>
  <c r="D41" i="5"/>
  <c r="E41" i="5"/>
  <c r="F41" i="5"/>
  <c r="D42" i="5"/>
  <c r="E42" i="5"/>
  <c r="F42" i="5"/>
  <c r="D43" i="5"/>
  <c r="E43" i="5"/>
  <c r="F43" i="5"/>
  <c r="D44" i="5"/>
  <c r="E44" i="5"/>
  <c r="F44" i="5"/>
  <c r="D45" i="5"/>
  <c r="E45" i="5"/>
  <c r="F45" i="5"/>
  <c r="D46" i="5"/>
  <c r="E46" i="5"/>
  <c r="F46" i="5"/>
  <c r="D47" i="5"/>
  <c r="E47" i="5"/>
  <c r="F47" i="5"/>
  <c r="D48" i="5"/>
  <c r="E48" i="5"/>
  <c r="F48" i="5"/>
  <c r="D49" i="5"/>
  <c r="E49" i="5"/>
  <c r="F49" i="5"/>
  <c r="D50" i="5"/>
  <c r="E50" i="5"/>
  <c r="F50" i="5"/>
  <c r="D51" i="5"/>
  <c r="E51" i="5"/>
  <c r="F51" i="5"/>
  <c r="D52" i="5"/>
  <c r="E52" i="5"/>
  <c r="F52" i="5"/>
  <c r="D54" i="5"/>
  <c r="E54" i="5"/>
  <c r="F54" i="5"/>
  <c r="D55" i="5"/>
  <c r="E55" i="5"/>
  <c r="F55" i="5"/>
  <c r="D56" i="5"/>
  <c r="E56" i="5"/>
  <c r="F56" i="5"/>
  <c r="D57" i="5"/>
  <c r="E57" i="5"/>
  <c r="F57" i="5"/>
  <c r="D58" i="5"/>
  <c r="E58" i="5"/>
  <c r="F58" i="5"/>
  <c r="D60" i="5"/>
  <c r="E60" i="5"/>
  <c r="F60" i="5"/>
  <c r="D61" i="5"/>
  <c r="E61" i="5"/>
  <c r="F61" i="5"/>
  <c r="D62" i="5"/>
  <c r="E62" i="5"/>
  <c r="F62" i="5"/>
  <c r="D63" i="5"/>
  <c r="E63" i="5"/>
  <c r="F63" i="5"/>
  <c r="D65" i="5"/>
  <c r="E65" i="5"/>
  <c r="F65" i="5"/>
  <c r="E5" i="5"/>
  <c r="F5" i="5"/>
  <c r="D5" i="5"/>
  <c r="AC25" i="7"/>
  <c r="Q7" i="5"/>
  <c r="R7" i="5"/>
  <c r="P7" i="5"/>
  <c r="AC65" i="5"/>
  <c r="AD65" i="5"/>
  <c r="AB65" i="5"/>
  <c r="AC58" i="5"/>
  <c r="AD58" i="5"/>
  <c r="AB58" i="5"/>
  <c r="AC52" i="5"/>
  <c r="AD52" i="5"/>
  <c r="AB52" i="5"/>
  <c r="AC35" i="5"/>
  <c r="AD35" i="5"/>
  <c r="AB35" i="5"/>
  <c r="AC34" i="5"/>
  <c r="AD34" i="5"/>
  <c r="AB34" i="5"/>
  <c r="AC25" i="5"/>
  <c r="AD25" i="5"/>
  <c r="AB25" i="5"/>
  <c r="AC14" i="5"/>
  <c r="AD14" i="5"/>
  <c r="AB14" i="5"/>
  <c r="AC7" i="5"/>
  <c r="AD7" i="5"/>
  <c r="AB7" i="5"/>
  <c r="AD6" i="5"/>
  <c r="AD9" i="5"/>
  <c r="AD11" i="5"/>
  <c r="AD12" i="5"/>
  <c r="AD13" i="5"/>
  <c r="AD15" i="5"/>
  <c r="AD16" i="5"/>
  <c r="AD17" i="5"/>
  <c r="AD18" i="5"/>
  <c r="AD19" i="5"/>
  <c r="AD20" i="5"/>
  <c r="AD21" i="5"/>
  <c r="AD22" i="5"/>
  <c r="AD23" i="5"/>
  <c r="AD24" i="5"/>
  <c r="AD26" i="5"/>
  <c r="AD27" i="5"/>
  <c r="AD28" i="5"/>
  <c r="AD29" i="5"/>
  <c r="AD30" i="5"/>
  <c r="AD31" i="5"/>
  <c r="AD32" i="5"/>
  <c r="AD33" i="5"/>
  <c r="AD37" i="5"/>
  <c r="AD38" i="5"/>
  <c r="AD39" i="5"/>
  <c r="AD40" i="5"/>
  <c r="AD41" i="5"/>
  <c r="AD42" i="5"/>
  <c r="AD43" i="5"/>
  <c r="AD45" i="5"/>
  <c r="AD46" i="5"/>
  <c r="AD47" i="5"/>
  <c r="AD48" i="5"/>
  <c r="AD49" i="5"/>
  <c r="AD50" i="5"/>
  <c r="AD51" i="5"/>
  <c r="AD54" i="5"/>
  <c r="AD55" i="5"/>
  <c r="AD56" i="5"/>
  <c r="AD57" i="5"/>
  <c r="AD60" i="5"/>
  <c r="AD61" i="5"/>
  <c r="AD62" i="5"/>
  <c r="AD63" i="5"/>
  <c r="AD5" i="5"/>
  <c r="Q47" i="41"/>
  <c r="K29" i="41"/>
  <c r="G22" i="40"/>
  <c r="D19" i="40"/>
  <c r="E34" i="1"/>
  <c r="E25" i="1"/>
  <c r="E17" i="1"/>
  <c r="E14" i="1"/>
  <c r="E33" i="1"/>
  <c r="F75" i="12"/>
  <c r="F72" i="12"/>
  <c r="I72" i="12"/>
  <c r="H76" i="12"/>
  <c r="G76" i="12"/>
  <c r="C23" i="45" l="1"/>
  <c r="E35" i="1"/>
  <c r="D6" i="12"/>
  <c r="D7" i="12"/>
  <c r="D8" i="12"/>
  <c r="D9" i="12"/>
  <c r="D10" i="12"/>
  <c r="D11" i="12"/>
  <c r="D12" i="12"/>
  <c r="D13" i="12"/>
  <c r="D14" i="12"/>
  <c r="D16" i="12"/>
  <c r="D18" i="12"/>
  <c r="E5" i="12"/>
  <c r="E19" i="12"/>
  <c r="K5" i="12"/>
  <c r="K19" i="12" s="1"/>
  <c r="N27" i="58"/>
  <c r="O27" i="58"/>
  <c r="M27" i="58"/>
  <c r="K69" i="58"/>
  <c r="L69" i="58"/>
  <c r="J69" i="58"/>
  <c r="N69" i="58"/>
  <c r="M69" i="58"/>
  <c r="N65" i="58"/>
  <c r="O65" i="58"/>
  <c r="N66" i="58"/>
  <c r="O66" i="58"/>
  <c r="M66" i="58"/>
  <c r="M65" i="58"/>
  <c r="K65" i="58"/>
  <c r="L65" i="58"/>
  <c r="K66" i="58"/>
  <c r="L66" i="58"/>
  <c r="J66" i="58"/>
  <c r="J65" i="58"/>
  <c r="I65" i="12"/>
  <c r="U82" i="12"/>
  <c r="T82" i="12"/>
  <c r="S82" i="12"/>
  <c r="R82" i="12"/>
  <c r="Q82" i="12"/>
  <c r="P82" i="12"/>
  <c r="O82" i="12"/>
  <c r="N82" i="12"/>
  <c r="M82" i="12"/>
  <c r="L82" i="12"/>
  <c r="K82" i="12"/>
  <c r="J82" i="12"/>
  <c r="I82" i="12"/>
  <c r="H82" i="12"/>
  <c r="G82" i="12"/>
  <c r="F82" i="12"/>
  <c r="E82" i="12"/>
  <c r="D81" i="12"/>
  <c r="D80" i="12"/>
  <c r="D79" i="12"/>
  <c r="D78" i="12"/>
  <c r="U76" i="12"/>
  <c r="T76" i="12"/>
  <c r="S76" i="12"/>
  <c r="R76" i="12"/>
  <c r="Q76" i="12"/>
  <c r="P76" i="12"/>
  <c r="O76" i="12"/>
  <c r="N76" i="12"/>
  <c r="M76" i="12"/>
  <c r="L76" i="12"/>
  <c r="K76" i="12"/>
  <c r="J76" i="12"/>
  <c r="I76" i="12"/>
  <c r="E75" i="12"/>
  <c r="F74" i="12"/>
  <c r="E74" i="12"/>
  <c r="D74" i="12"/>
  <c r="F73" i="12"/>
  <c r="E73" i="12"/>
  <c r="D73" i="12"/>
  <c r="E72" i="12"/>
  <c r="F71" i="12"/>
  <c r="E71" i="12"/>
  <c r="D71" i="12"/>
  <c r="F70" i="12"/>
  <c r="E70" i="12"/>
  <c r="D70" i="12"/>
  <c r="F69" i="12"/>
  <c r="E69" i="12"/>
  <c r="D69" i="12"/>
  <c r="F68" i="12"/>
  <c r="E68" i="12"/>
  <c r="D68" i="12"/>
  <c r="D76" i="12" s="1"/>
  <c r="T65" i="12"/>
  <c r="S65" i="12"/>
  <c r="R65" i="12"/>
  <c r="Q65" i="12"/>
  <c r="P65" i="12"/>
  <c r="O65" i="12"/>
  <c r="N65" i="12"/>
  <c r="M65" i="12"/>
  <c r="K65" i="12"/>
  <c r="J65" i="12"/>
  <c r="H65" i="12"/>
  <c r="G65" i="12"/>
  <c r="D65" i="12" s="1"/>
  <c r="E65" i="12"/>
  <c r="U64" i="12"/>
  <c r="L64" i="12"/>
  <c r="I64" i="12"/>
  <c r="F64" i="12" s="1"/>
  <c r="E64" i="12"/>
  <c r="D64" i="12"/>
  <c r="U63" i="12"/>
  <c r="U65" i="12" s="1"/>
  <c r="L63" i="12"/>
  <c r="F63" i="12" s="1"/>
  <c r="I63" i="12"/>
  <c r="E63" i="12"/>
  <c r="D63" i="12"/>
  <c r="I62" i="12"/>
  <c r="F62" i="12"/>
  <c r="T59" i="12"/>
  <c r="S59" i="12"/>
  <c r="Q59" i="12"/>
  <c r="P59" i="12"/>
  <c r="P60" i="12" s="1"/>
  <c r="N59" i="12"/>
  <c r="K59" i="12"/>
  <c r="G59" i="12"/>
  <c r="U58" i="12"/>
  <c r="O58" i="12"/>
  <c r="L58" i="12"/>
  <c r="I58" i="12"/>
  <c r="F58" i="12" s="1"/>
  <c r="H58" i="12"/>
  <c r="E58" i="12"/>
  <c r="U57" i="12"/>
  <c r="O57" i="12"/>
  <c r="F57" i="12" s="1"/>
  <c r="L57" i="12"/>
  <c r="I57" i="12"/>
  <c r="E57" i="12"/>
  <c r="D57" i="12"/>
  <c r="U56" i="12"/>
  <c r="O56" i="12"/>
  <c r="L56" i="12"/>
  <c r="I56" i="12"/>
  <c r="E56" i="12"/>
  <c r="U55" i="12"/>
  <c r="R55" i="12"/>
  <c r="R59" i="12" s="1"/>
  <c r="O55" i="12"/>
  <c r="L55" i="12"/>
  <c r="I55" i="12"/>
  <c r="E55" i="12"/>
  <c r="U54" i="12"/>
  <c r="H54" i="12"/>
  <c r="H59" i="12" s="1"/>
  <c r="T53" i="12"/>
  <c r="T60" i="12" s="1"/>
  <c r="S53" i="12"/>
  <c r="R53" i="12"/>
  <c r="Q53" i="12"/>
  <c r="P53" i="12"/>
  <c r="N53" i="12"/>
  <c r="M53" i="12"/>
  <c r="K53" i="12"/>
  <c r="J53" i="12"/>
  <c r="G53" i="12"/>
  <c r="U52" i="12"/>
  <c r="O52" i="12"/>
  <c r="L52" i="12"/>
  <c r="H52" i="12"/>
  <c r="E52" i="12" s="1"/>
  <c r="U51" i="12"/>
  <c r="U53" i="12" s="1"/>
  <c r="O51" i="12"/>
  <c r="O53" i="12" s="1"/>
  <c r="L51" i="12"/>
  <c r="L53" i="12" s="1"/>
  <c r="I51" i="12"/>
  <c r="E51" i="12"/>
  <c r="E53" i="12" s="1"/>
  <c r="D51" i="12"/>
  <c r="T50" i="12"/>
  <c r="S50" i="12"/>
  <c r="R50" i="12"/>
  <c r="Q50" i="12"/>
  <c r="P50" i="12"/>
  <c r="N50" i="12"/>
  <c r="M50" i="12"/>
  <c r="J50" i="12"/>
  <c r="G50" i="12"/>
  <c r="U49" i="12"/>
  <c r="O49" i="12"/>
  <c r="K49" i="12"/>
  <c r="L49" i="12" s="1"/>
  <c r="H49" i="12"/>
  <c r="U48" i="12"/>
  <c r="O48" i="12"/>
  <c r="L48" i="12"/>
  <c r="I48" i="12"/>
  <c r="E48" i="12"/>
  <c r="D48" i="12"/>
  <c r="U47" i="12"/>
  <c r="O47" i="12"/>
  <c r="L47" i="12"/>
  <c r="I47" i="12"/>
  <c r="E47" i="12"/>
  <c r="D47" i="12"/>
  <c r="U46" i="12"/>
  <c r="O46" i="12"/>
  <c r="L46" i="12"/>
  <c r="I46" i="12"/>
  <c r="E46" i="12"/>
  <c r="U45" i="12"/>
  <c r="O45" i="12"/>
  <c r="L45" i="12"/>
  <c r="I45" i="12"/>
  <c r="F45" i="12" s="1"/>
  <c r="H45" i="12"/>
  <c r="E45" i="12" s="1"/>
  <c r="D45" i="12"/>
  <c r="U44" i="12"/>
  <c r="O44" i="12"/>
  <c r="L44" i="12"/>
  <c r="I44" i="12"/>
  <c r="E44" i="12"/>
  <c r="D44" i="12"/>
  <c r="U43" i="12"/>
  <c r="O43" i="12"/>
  <c r="L43" i="12"/>
  <c r="H43" i="12"/>
  <c r="I43" i="12" s="1"/>
  <c r="E43" i="12"/>
  <c r="D43" i="12"/>
  <c r="U42" i="12"/>
  <c r="O42" i="12"/>
  <c r="L42" i="12"/>
  <c r="H42" i="12"/>
  <c r="I42" i="12" s="1"/>
  <c r="E42" i="12"/>
  <c r="D42" i="12"/>
  <c r="U41" i="12"/>
  <c r="O41" i="12"/>
  <c r="L41" i="12"/>
  <c r="I41" i="12"/>
  <c r="E41" i="12"/>
  <c r="D41" i="12"/>
  <c r="T40" i="12"/>
  <c r="S40" i="12"/>
  <c r="R40" i="12"/>
  <c r="Q40" i="12"/>
  <c r="P40" i="12"/>
  <c r="N40" i="12"/>
  <c r="M40" i="12"/>
  <c r="K40" i="12"/>
  <c r="J40" i="12"/>
  <c r="H40" i="12"/>
  <c r="G40" i="12"/>
  <c r="U39" i="12"/>
  <c r="O39" i="12"/>
  <c r="L39" i="12"/>
  <c r="I39" i="12"/>
  <c r="F39" i="12" s="1"/>
  <c r="E39" i="12"/>
  <c r="D39" i="12"/>
  <c r="U38" i="12"/>
  <c r="U40" i="12" s="1"/>
  <c r="O38" i="12"/>
  <c r="O40" i="12" s="1"/>
  <c r="L38" i="12"/>
  <c r="I38" i="12"/>
  <c r="E38" i="12"/>
  <c r="E40" i="12" s="1"/>
  <c r="D38" i="12"/>
  <c r="T37" i="12"/>
  <c r="S37" i="12"/>
  <c r="Q37" i="12"/>
  <c r="P37" i="12"/>
  <c r="N37" i="12"/>
  <c r="M37" i="12"/>
  <c r="K37" i="12"/>
  <c r="J37" i="12"/>
  <c r="G37" i="12"/>
  <c r="U36" i="12"/>
  <c r="O36" i="12"/>
  <c r="L36" i="12"/>
  <c r="I36" i="12"/>
  <c r="E36" i="12"/>
  <c r="D36" i="12"/>
  <c r="U35" i="12"/>
  <c r="O35" i="12"/>
  <c r="L35" i="12"/>
  <c r="I35" i="12"/>
  <c r="F35" i="12" s="1"/>
  <c r="E35" i="12"/>
  <c r="D35" i="12"/>
  <c r="U34" i="12"/>
  <c r="U37" i="12" s="1"/>
  <c r="R34" i="12"/>
  <c r="R37" i="12" s="1"/>
  <c r="O34" i="12"/>
  <c r="L34" i="12"/>
  <c r="H34" i="12"/>
  <c r="H37" i="12" s="1"/>
  <c r="U31" i="12"/>
  <c r="O31" i="12"/>
  <c r="L31" i="12"/>
  <c r="I31" i="12"/>
  <c r="E31" i="12"/>
  <c r="D31" i="12"/>
  <c r="U30" i="12"/>
  <c r="O30" i="12"/>
  <c r="L30" i="12"/>
  <c r="I30" i="12"/>
  <c r="E30" i="12"/>
  <c r="D30" i="12"/>
  <c r="U29" i="12"/>
  <c r="O29" i="12"/>
  <c r="L29" i="12"/>
  <c r="I29" i="12"/>
  <c r="E29" i="12"/>
  <c r="D29" i="12"/>
  <c r="U28" i="12"/>
  <c r="O28" i="12"/>
  <c r="O26" i="12" s="1"/>
  <c r="L28" i="12"/>
  <c r="I28" i="12"/>
  <c r="E28" i="12"/>
  <c r="D28" i="12"/>
  <c r="U27" i="12"/>
  <c r="U26" i="12" s="1"/>
  <c r="O27" i="12"/>
  <c r="L27" i="12"/>
  <c r="H27" i="12"/>
  <c r="I27" i="12" s="1"/>
  <c r="T26" i="12"/>
  <c r="S26" i="12"/>
  <c r="R26" i="12"/>
  <c r="Q26" i="12"/>
  <c r="P26" i="12"/>
  <c r="N26" i="12"/>
  <c r="M26" i="12"/>
  <c r="K26" i="12"/>
  <c r="J26" i="12"/>
  <c r="G26" i="12"/>
  <c r="T23" i="12"/>
  <c r="S23" i="12"/>
  <c r="R23" i="12"/>
  <c r="Q23" i="12"/>
  <c r="P23" i="12"/>
  <c r="P24" i="12" s="1"/>
  <c r="N23" i="12"/>
  <c r="M23" i="12"/>
  <c r="J23" i="12"/>
  <c r="H23" i="12"/>
  <c r="G23" i="12"/>
  <c r="U22" i="12"/>
  <c r="O22" i="12"/>
  <c r="L22" i="12"/>
  <c r="I22" i="12"/>
  <c r="F22" i="12" s="1"/>
  <c r="E22" i="12"/>
  <c r="U21" i="12"/>
  <c r="O21" i="12"/>
  <c r="K21" i="12"/>
  <c r="K23" i="12" s="1"/>
  <c r="I21" i="12"/>
  <c r="D21" i="12"/>
  <c r="U20" i="12"/>
  <c r="U23" i="12" s="1"/>
  <c r="O20" i="12"/>
  <c r="O23" i="12" s="1"/>
  <c r="L20" i="12"/>
  <c r="I20" i="12"/>
  <c r="E20" i="12"/>
  <c r="D20" i="12"/>
  <c r="S19" i="12"/>
  <c r="Q19" i="12"/>
  <c r="P19" i="12"/>
  <c r="M19" i="12"/>
  <c r="J19" i="12"/>
  <c r="G19" i="12"/>
  <c r="U18" i="12"/>
  <c r="O18" i="12"/>
  <c r="L18" i="12"/>
  <c r="I18" i="12"/>
  <c r="E18" i="12"/>
  <c r="U17" i="12"/>
  <c r="O17" i="12"/>
  <c r="L17" i="12"/>
  <c r="I17" i="12"/>
  <c r="E17" i="12"/>
  <c r="U16" i="12"/>
  <c r="O16" i="12"/>
  <c r="L16" i="12"/>
  <c r="I16" i="12"/>
  <c r="E16" i="12"/>
  <c r="U15" i="12"/>
  <c r="O15" i="12"/>
  <c r="L15" i="12"/>
  <c r="I15" i="12"/>
  <c r="E15" i="12"/>
  <c r="U14" i="12"/>
  <c r="O14" i="12"/>
  <c r="L14" i="12"/>
  <c r="E14" i="12"/>
  <c r="U13" i="12"/>
  <c r="O13" i="12"/>
  <c r="L13" i="12"/>
  <c r="I13" i="12"/>
  <c r="E13" i="12"/>
  <c r="U12" i="12"/>
  <c r="O12" i="12"/>
  <c r="L12" i="12"/>
  <c r="F12" i="12" s="1"/>
  <c r="I12" i="12"/>
  <c r="E12" i="12"/>
  <c r="U11" i="12"/>
  <c r="O11" i="12"/>
  <c r="L11" i="12"/>
  <c r="I11" i="12"/>
  <c r="E11" i="12"/>
  <c r="U10" i="12"/>
  <c r="O10" i="12"/>
  <c r="L10" i="12"/>
  <c r="I10" i="12"/>
  <c r="E10" i="12"/>
  <c r="U9" i="12"/>
  <c r="O9" i="12"/>
  <c r="L9" i="12"/>
  <c r="I9" i="12"/>
  <c r="E9" i="12"/>
  <c r="U8" i="12"/>
  <c r="O8" i="12"/>
  <c r="L8" i="12"/>
  <c r="I8" i="12"/>
  <c r="E8" i="12"/>
  <c r="U7" i="12"/>
  <c r="O7" i="12"/>
  <c r="L7" i="12"/>
  <c r="I7" i="12"/>
  <c r="E7" i="12"/>
  <c r="U6" i="12"/>
  <c r="R6" i="12"/>
  <c r="R19" i="12" s="1"/>
  <c r="O6" i="12"/>
  <c r="L6" i="12"/>
  <c r="I6" i="12"/>
  <c r="E6" i="12"/>
  <c r="T5" i="12"/>
  <c r="T19" i="12" s="1"/>
  <c r="T24" i="12" s="1"/>
  <c r="N5" i="12"/>
  <c r="N19" i="12" s="1"/>
  <c r="H19" i="12"/>
  <c r="H24" i="12" s="1"/>
  <c r="R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0" i="16"/>
  <c r="D79" i="16"/>
  <c r="D78" i="16"/>
  <c r="D77" i="16"/>
  <c r="R75" i="16"/>
  <c r="Q75" i="16"/>
  <c r="P75" i="16"/>
  <c r="O75" i="16"/>
  <c r="N75" i="16"/>
  <c r="M75" i="16"/>
  <c r="L75" i="16"/>
  <c r="K75" i="16"/>
  <c r="J75" i="16"/>
  <c r="I75" i="16"/>
  <c r="H75" i="16"/>
  <c r="G75" i="16"/>
  <c r="I74" i="16"/>
  <c r="F74" i="16" s="1"/>
  <c r="E74" i="16"/>
  <c r="F73" i="16"/>
  <c r="E73" i="16"/>
  <c r="D73" i="16"/>
  <c r="F72" i="16"/>
  <c r="E72" i="16"/>
  <c r="D72" i="16"/>
  <c r="I71" i="16"/>
  <c r="F71" i="16"/>
  <c r="E71" i="16"/>
  <c r="F70" i="16"/>
  <c r="E70" i="16"/>
  <c r="D70" i="16"/>
  <c r="F69" i="16"/>
  <c r="E69" i="16"/>
  <c r="D69" i="16"/>
  <c r="F68" i="16"/>
  <c r="E68" i="16"/>
  <c r="D68" i="16"/>
  <c r="F67" i="16"/>
  <c r="E67" i="16"/>
  <c r="E75" i="16" s="1"/>
  <c r="D67" i="16"/>
  <c r="R64" i="16"/>
  <c r="Q64" i="16"/>
  <c r="O64" i="16"/>
  <c r="N64" i="16"/>
  <c r="M64" i="16"/>
  <c r="L64" i="16"/>
  <c r="K64" i="16"/>
  <c r="E64" i="16" s="1"/>
  <c r="J64" i="16"/>
  <c r="H64" i="16"/>
  <c r="F63" i="16"/>
  <c r="E63" i="16"/>
  <c r="D63" i="16"/>
  <c r="F62" i="16"/>
  <c r="E62" i="16"/>
  <c r="D62" i="16"/>
  <c r="I61" i="16"/>
  <c r="I64" i="16" s="1"/>
  <c r="F61" i="16"/>
  <c r="Q58" i="16"/>
  <c r="P58" i="16"/>
  <c r="N58" i="16"/>
  <c r="M58" i="16"/>
  <c r="M59" i="16" s="1"/>
  <c r="K58" i="16"/>
  <c r="H58" i="16"/>
  <c r="G58" i="16"/>
  <c r="R57" i="16"/>
  <c r="O57" i="16"/>
  <c r="L57" i="16"/>
  <c r="I57" i="16"/>
  <c r="R56" i="16"/>
  <c r="R58" i="16" s="1"/>
  <c r="O56" i="16"/>
  <c r="L56" i="16"/>
  <c r="I56" i="16"/>
  <c r="F56" i="16"/>
  <c r="E56" i="16"/>
  <c r="D56" i="16"/>
  <c r="R55" i="16"/>
  <c r="O55" i="16"/>
  <c r="F55" i="16" s="1"/>
  <c r="L55" i="16"/>
  <c r="I55" i="16"/>
  <c r="E55" i="16"/>
  <c r="D55" i="16"/>
  <c r="R54" i="16"/>
  <c r="O54" i="16"/>
  <c r="L54" i="16"/>
  <c r="I54" i="16"/>
  <c r="I58" i="16" s="1"/>
  <c r="E54" i="16"/>
  <c r="D54" i="16"/>
  <c r="R53" i="16"/>
  <c r="O53" i="16"/>
  <c r="E53" i="16"/>
  <c r="Q52" i="16"/>
  <c r="P52" i="16"/>
  <c r="N52" i="16"/>
  <c r="M52" i="16"/>
  <c r="K52" i="16"/>
  <c r="J52" i="16"/>
  <c r="H52" i="16"/>
  <c r="G52" i="16"/>
  <c r="D52" i="16"/>
  <c r="R51" i="16"/>
  <c r="O51" i="16"/>
  <c r="L51" i="16"/>
  <c r="L52" i="16" s="1"/>
  <c r="I51" i="16"/>
  <c r="F51" i="16" s="1"/>
  <c r="E51" i="16"/>
  <c r="E52" i="16" s="1"/>
  <c r="D51" i="16"/>
  <c r="R50" i="16"/>
  <c r="O50" i="16"/>
  <c r="L50" i="16"/>
  <c r="I50" i="16"/>
  <c r="F50" i="16"/>
  <c r="E50" i="16"/>
  <c r="D50" i="16"/>
  <c r="Q49" i="16"/>
  <c r="P49" i="16"/>
  <c r="N49" i="16"/>
  <c r="M49" i="16"/>
  <c r="J49" i="16"/>
  <c r="J53" i="16" s="1"/>
  <c r="J58" i="16" s="1"/>
  <c r="J59" i="16" s="1"/>
  <c r="G49" i="16"/>
  <c r="G59" i="16" s="1"/>
  <c r="R48" i="16"/>
  <c r="K48" i="16"/>
  <c r="K49" i="16" s="1"/>
  <c r="H48" i="16"/>
  <c r="H49" i="16" s="1"/>
  <c r="R47" i="16"/>
  <c r="O47" i="16"/>
  <c r="L47" i="16"/>
  <c r="I47" i="16"/>
  <c r="E47" i="16"/>
  <c r="R46" i="16"/>
  <c r="O46" i="16"/>
  <c r="L46" i="16"/>
  <c r="I46" i="16"/>
  <c r="E46" i="16"/>
  <c r="D46" i="16"/>
  <c r="R45" i="16"/>
  <c r="O45" i="16"/>
  <c r="L45" i="16"/>
  <c r="I45" i="16"/>
  <c r="E45" i="16"/>
  <c r="D45" i="16"/>
  <c r="R44" i="16"/>
  <c r="O44" i="16"/>
  <c r="L44" i="16"/>
  <c r="I44" i="16"/>
  <c r="E44" i="16"/>
  <c r="R43" i="16"/>
  <c r="O43" i="16"/>
  <c r="L43" i="16"/>
  <c r="I43" i="16"/>
  <c r="E43" i="16"/>
  <c r="D43" i="16"/>
  <c r="R42" i="16"/>
  <c r="O42" i="16"/>
  <c r="L42" i="16"/>
  <c r="I42" i="16"/>
  <c r="E42" i="16"/>
  <c r="D42" i="16"/>
  <c r="R41" i="16"/>
  <c r="O41" i="16"/>
  <c r="L41" i="16"/>
  <c r="I41" i="16"/>
  <c r="E41" i="16"/>
  <c r="D41" i="16"/>
  <c r="R40" i="16"/>
  <c r="O40" i="16"/>
  <c r="L40" i="16"/>
  <c r="I40" i="16"/>
  <c r="F40" i="16" s="1"/>
  <c r="E40" i="16"/>
  <c r="D40" i="16"/>
  <c r="Q39" i="16"/>
  <c r="P39" i="16"/>
  <c r="N39" i="16"/>
  <c r="M39" i="16"/>
  <c r="K39" i="16"/>
  <c r="J39" i="16"/>
  <c r="H39" i="16"/>
  <c r="G39" i="16"/>
  <c r="E39" i="16"/>
  <c r="R38" i="16"/>
  <c r="O38" i="16"/>
  <c r="L38" i="16"/>
  <c r="I38" i="16"/>
  <c r="E38" i="16"/>
  <c r="D38" i="16"/>
  <c r="R37" i="16"/>
  <c r="R39" i="16" s="1"/>
  <c r="O37" i="16"/>
  <c r="L37" i="16"/>
  <c r="I37" i="16"/>
  <c r="E37" i="16"/>
  <c r="D37" i="16"/>
  <c r="D39" i="16" s="1"/>
  <c r="Q36" i="16"/>
  <c r="P36" i="16"/>
  <c r="N36" i="16"/>
  <c r="M36" i="16"/>
  <c r="K36" i="16"/>
  <c r="J36" i="16"/>
  <c r="G36" i="16"/>
  <c r="R35" i="16"/>
  <c r="O35" i="16"/>
  <c r="L35" i="16"/>
  <c r="I35" i="16"/>
  <c r="E35" i="16"/>
  <c r="D35" i="16"/>
  <c r="R34" i="16"/>
  <c r="O34" i="16"/>
  <c r="O36" i="16" s="1"/>
  <c r="L34" i="16"/>
  <c r="I34" i="16"/>
  <c r="H34" i="16"/>
  <c r="H36" i="16" s="1"/>
  <c r="E34" i="16"/>
  <c r="R33" i="16"/>
  <c r="R36" i="16" s="1"/>
  <c r="O33" i="16"/>
  <c r="L33" i="16"/>
  <c r="I33" i="16"/>
  <c r="I36" i="16" s="1"/>
  <c r="E33" i="16"/>
  <c r="D33" i="16"/>
  <c r="D36" i="16" s="1"/>
  <c r="R31" i="16"/>
  <c r="O31" i="16"/>
  <c r="L31" i="16"/>
  <c r="I31" i="16"/>
  <c r="E31" i="16"/>
  <c r="R30" i="16"/>
  <c r="O30" i="16"/>
  <c r="L30" i="16"/>
  <c r="I30" i="16"/>
  <c r="E30" i="16"/>
  <c r="D30" i="16"/>
  <c r="R29" i="16"/>
  <c r="O29" i="16"/>
  <c r="L29" i="16"/>
  <c r="I29" i="16"/>
  <c r="E29" i="16"/>
  <c r="R28" i="16"/>
  <c r="O28" i="16"/>
  <c r="L28" i="16"/>
  <c r="I28" i="16"/>
  <c r="E28" i="16"/>
  <c r="D28" i="16"/>
  <c r="R27" i="16"/>
  <c r="R26" i="16" s="1"/>
  <c r="O27" i="16"/>
  <c r="L27" i="16"/>
  <c r="I27" i="16"/>
  <c r="E27" i="16"/>
  <c r="Q26" i="16"/>
  <c r="P26" i="16"/>
  <c r="N26" i="16"/>
  <c r="M26" i="16"/>
  <c r="K26" i="16"/>
  <c r="J26" i="16"/>
  <c r="G26" i="16"/>
  <c r="R23" i="16"/>
  <c r="Q23" i="16"/>
  <c r="P23" i="16"/>
  <c r="N23" i="16"/>
  <c r="K23" i="16"/>
  <c r="J23" i="16"/>
  <c r="R22" i="16"/>
  <c r="O22" i="16"/>
  <c r="L22" i="16"/>
  <c r="I22" i="16"/>
  <c r="E22" i="16"/>
  <c r="R21" i="16"/>
  <c r="O21" i="16"/>
  <c r="L21" i="16"/>
  <c r="H21" i="16"/>
  <c r="H23" i="16" s="1"/>
  <c r="R20" i="16"/>
  <c r="O20" i="16"/>
  <c r="O23" i="16" s="1"/>
  <c r="L20" i="16"/>
  <c r="I20" i="16"/>
  <c r="E20" i="16"/>
  <c r="D20" i="16"/>
  <c r="D23" i="16" s="1"/>
  <c r="Q19" i="16"/>
  <c r="P19" i="16"/>
  <c r="N19" i="16"/>
  <c r="O19" i="16" s="1"/>
  <c r="M19" i="16"/>
  <c r="M24" i="16" s="1"/>
  <c r="K19" i="16"/>
  <c r="J19" i="16"/>
  <c r="G19" i="16"/>
  <c r="G24" i="16" s="1"/>
  <c r="R18" i="16"/>
  <c r="O18" i="16"/>
  <c r="L18" i="16"/>
  <c r="I18" i="16"/>
  <c r="E18" i="16"/>
  <c r="D18" i="16"/>
  <c r="R17" i="16"/>
  <c r="O17" i="16"/>
  <c r="L17" i="16"/>
  <c r="H17" i="16"/>
  <c r="E17" i="16" s="1"/>
  <c r="R16" i="16"/>
  <c r="O16" i="16"/>
  <c r="L16" i="16"/>
  <c r="I16" i="16"/>
  <c r="E16" i="16"/>
  <c r="D16" i="16"/>
  <c r="R15" i="16"/>
  <c r="O15" i="16"/>
  <c r="L15" i="16"/>
  <c r="I15" i="16"/>
  <c r="E15" i="16"/>
  <c r="D15" i="16"/>
  <c r="R14" i="16"/>
  <c r="O14" i="16"/>
  <c r="L14" i="16"/>
  <c r="I14" i="16"/>
  <c r="E14" i="16"/>
  <c r="D14" i="16"/>
  <c r="R13" i="16"/>
  <c r="O13" i="16"/>
  <c r="L13" i="16"/>
  <c r="I13" i="16"/>
  <c r="E13" i="16"/>
  <c r="D13" i="16"/>
  <c r="R12" i="16"/>
  <c r="O12" i="16"/>
  <c r="L12" i="16"/>
  <c r="I12" i="16"/>
  <c r="E12" i="16"/>
  <c r="D12" i="16"/>
  <c r="R11" i="16"/>
  <c r="O11" i="16"/>
  <c r="L11" i="16"/>
  <c r="I11" i="16"/>
  <c r="E11" i="16"/>
  <c r="D11" i="16"/>
  <c r="R10" i="16"/>
  <c r="O10" i="16"/>
  <c r="L10" i="16"/>
  <c r="I10" i="16"/>
  <c r="E10" i="16"/>
  <c r="D10" i="16"/>
  <c r="R9" i="16"/>
  <c r="O9" i="16"/>
  <c r="L9" i="16"/>
  <c r="I9" i="16"/>
  <c r="E9" i="16"/>
  <c r="D9" i="16"/>
  <c r="R8" i="16"/>
  <c r="O8" i="16"/>
  <c r="L8" i="16"/>
  <c r="I8" i="16"/>
  <c r="E8" i="16"/>
  <c r="D8" i="16"/>
  <c r="R7" i="16"/>
  <c r="O7" i="16"/>
  <c r="L7" i="16"/>
  <c r="I7" i="16"/>
  <c r="E7" i="16"/>
  <c r="D7" i="16"/>
  <c r="R6" i="16"/>
  <c r="O6" i="16"/>
  <c r="L6" i="16"/>
  <c r="I6" i="16"/>
  <c r="E6" i="16"/>
  <c r="D6" i="16"/>
  <c r="R5" i="16"/>
  <c r="O5" i="16"/>
  <c r="L5" i="16"/>
  <c r="H5" i="16"/>
  <c r="E5" i="16" s="1"/>
  <c r="T12" i="56"/>
  <c r="T7" i="56"/>
  <c r="U6" i="56"/>
  <c r="L13" i="56"/>
  <c r="D13" i="56"/>
  <c r="L12" i="56"/>
  <c r="L11" i="56"/>
  <c r="D11" i="56"/>
  <c r="L7" i="56"/>
  <c r="D6" i="56"/>
  <c r="D17" i="53"/>
  <c r="N14" i="53"/>
  <c r="J23" i="53"/>
  <c r="F23" i="53"/>
  <c r="J11" i="53"/>
  <c r="S24" i="12" l="1"/>
  <c r="F8" i="12"/>
  <c r="F17" i="12"/>
  <c r="G24" i="12"/>
  <c r="D19" i="12"/>
  <c r="F31" i="12"/>
  <c r="F28" i="12"/>
  <c r="F30" i="12"/>
  <c r="U50" i="12"/>
  <c r="F18" i="16"/>
  <c r="F14" i="16"/>
  <c r="L26" i="16"/>
  <c r="E26" i="16"/>
  <c r="F30" i="16"/>
  <c r="L36" i="16"/>
  <c r="F6" i="16"/>
  <c r="F8" i="16"/>
  <c r="F9" i="16"/>
  <c r="F12" i="16"/>
  <c r="F13" i="16"/>
  <c r="F31" i="16"/>
  <c r="F42" i="16"/>
  <c r="F43" i="16"/>
  <c r="F47" i="16"/>
  <c r="G60" i="12"/>
  <c r="I5" i="12"/>
  <c r="I19" i="12" s="1"/>
  <c r="O5" i="12"/>
  <c r="O19" i="12" s="1"/>
  <c r="O24" i="12" s="1"/>
  <c r="F7" i="12"/>
  <c r="F10" i="12"/>
  <c r="I34" i="12"/>
  <c r="I37" i="12" s="1"/>
  <c r="F43" i="12"/>
  <c r="O50" i="12"/>
  <c r="K50" i="12"/>
  <c r="K60" i="12" s="1"/>
  <c r="E54" i="12"/>
  <c r="E59" i="12" s="1"/>
  <c r="S60" i="12"/>
  <c r="E76" i="12"/>
  <c r="Q60" i="12"/>
  <c r="Q86" i="12" s="1"/>
  <c r="F6" i="12"/>
  <c r="F9" i="12"/>
  <c r="F11" i="12"/>
  <c r="F15" i="12"/>
  <c r="I23" i="12"/>
  <c r="I24" i="12" s="1"/>
  <c r="D23" i="12"/>
  <c r="J24" i="12"/>
  <c r="Q24" i="12"/>
  <c r="L37" i="12"/>
  <c r="I40" i="12"/>
  <c r="D40" i="12"/>
  <c r="F41" i="12"/>
  <c r="F47" i="12"/>
  <c r="M54" i="12"/>
  <c r="F55" i="12"/>
  <c r="N60" i="12"/>
  <c r="F65" i="12"/>
  <c r="F76" i="12"/>
  <c r="O69" i="58" s="1"/>
  <c r="P86" i="12"/>
  <c r="R60" i="12"/>
  <c r="R86" i="12" s="1"/>
  <c r="L5" i="12"/>
  <c r="L19" i="12" s="1"/>
  <c r="U5" i="12"/>
  <c r="U19" i="12"/>
  <c r="U24" i="12" s="1"/>
  <c r="F13" i="12"/>
  <c r="F16" i="12"/>
  <c r="F18" i="12"/>
  <c r="M24" i="12"/>
  <c r="R24" i="12"/>
  <c r="F29" i="12"/>
  <c r="E34" i="12"/>
  <c r="E37" i="12" s="1"/>
  <c r="O37" i="12"/>
  <c r="F36" i="12"/>
  <c r="L40" i="12"/>
  <c r="F42" i="12"/>
  <c r="F44" i="12"/>
  <c r="F46" i="12"/>
  <c r="F48" i="12"/>
  <c r="E49" i="12"/>
  <c r="D53" i="12"/>
  <c r="U59" i="12"/>
  <c r="F56" i="12"/>
  <c r="D82" i="12"/>
  <c r="N86" i="12"/>
  <c r="K24" i="12"/>
  <c r="N24" i="12"/>
  <c r="E50" i="12"/>
  <c r="G86" i="12"/>
  <c r="S86" i="12"/>
  <c r="F27" i="12"/>
  <c r="I26" i="12"/>
  <c r="O54" i="12"/>
  <c r="O59" i="12" s="1"/>
  <c r="M59" i="12"/>
  <c r="M60" i="12" s="1"/>
  <c r="T86" i="12"/>
  <c r="U60" i="12"/>
  <c r="L65" i="12"/>
  <c r="E21" i="12"/>
  <c r="E23" i="12" s="1"/>
  <c r="L21" i="12"/>
  <c r="F21" i="12" s="1"/>
  <c r="H26" i="12"/>
  <c r="E26" i="12" s="1"/>
  <c r="L26" i="12"/>
  <c r="I49" i="12"/>
  <c r="F49" i="12" s="1"/>
  <c r="H50" i="12"/>
  <c r="L50" i="12"/>
  <c r="F51" i="12"/>
  <c r="I52" i="12"/>
  <c r="F52" i="12" s="1"/>
  <c r="H53" i="12"/>
  <c r="H60" i="12" s="1"/>
  <c r="H86" i="12" s="1"/>
  <c r="J54" i="12"/>
  <c r="F34" i="12"/>
  <c r="F38" i="12"/>
  <c r="F40" i="12" s="1"/>
  <c r="F20" i="12"/>
  <c r="I54" i="12"/>
  <c r="O24" i="16"/>
  <c r="E19" i="16"/>
  <c r="D19" i="16"/>
  <c r="F16" i="16"/>
  <c r="N24" i="16"/>
  <c r="L39" i="16"/>
  <c r="D49" i="16"/>
  <c r="F45" i="16"/>
  <c r="F46" i="16"/>
  <c r="I48" i="16"/>
  <c r="O52" i="16"/>
  <c r="N59" i="16"/>
  <c r="F64" i="16"/>
  <c r="F75" i="16"/>
  <c r="D24" i="16"/>
  <c r="F7" i="16"/>
  <c r="F11" i="16"/>
  <c r="K24" i="16"/>
  <c r="R19" i="16"/>
  <c r="R24" i="16" s="1"/>
  <c r="F29" i="16"/>
  <c r="F26" i="16" s="1"/>
  <c r="F35" i="16"/>
  <c r="F37" i="16"/>
  <c r="O39" i="16"/>
  <c r="O49" i="16"/>
  <c r="F41" i="16"/>
  <c r="K59" i="16"/>
  <c r="R52" i="16"/>
  <c r="E58" i="16"/>
  <c r="D58" i="16"/>
  <c r="D81" i="16"/>
  <c r="P59" i="16"/>
  <c r="F10" i="16"/>
  <c r="F15" i="16"/>
  <c r="L23" i="16"/>
  <c r="F22" i="16"/>
  <c r="J24" i="16"/>
  <c r="Q24" i="16"/>
  <c r="F27" i="16"/>
  <c r="F28" i="16"/>
  <c r="E36" i="16"/>
  <c r="F34" i="16"/>
  <c r="R49" i="16"/>
  <c r="F44" i="16"/>
  <c r="F52" i="16"/>
  <c r="F57" i="16"/>
  <c r="Q59" i="16"/>
  <c r="Q85" i="16" s="1"/>
  <c r="D75" i="16"/>
  <c r="L49" i="16"/>
  <c r="P85" i="16"/>
  <c r="H59" i="16"/>
  <c r="G85" i="16"/>
  <c r="K85" i="16"/>
  <c r="M85" i="16"/>
  <c r="J85" i="16"/>
  <c r="N85" i="16"/>
  <c r="E48" i="16"/>
  <c r="E49" i="16" s="1"/>
  <c r="E59" i="16" s="1"/>
  <c r="H19" i="16"/>
  <c r="H24" i="16" s="1"/>
  <c r="L19" i="16"/>
  <c r="P24" i="16"/>
  <c r="O26" i="16"/>
  <c r="L48" i="16"/>
  <c r="F48" i="16" s="1"/>
  <c r="I52" i="16"/>
  <c r="L53" i="16"/>
  <c r="L58" i="16" s="1"/>
  <c r="O58" i="16"/>
  <c r="I49" i="16"/>
  <c r="I5" i="16"/>
  <c r="I17" i="16"/>
  <c r="F17" i="16" s="1"/>
  <c r="F20" i="16"/>
  <c r="I21" i="16"/>
  <c r="F38" i="16"/>
  <c r="F54" i="16"/>
  <c r="I39" i="16"/>
  <c r="E21" i="16"/>
  <c r="E23" i="16" s="1"/>
  <c r="E24" i="16" s="1"/>
  <c r="I26" i="16"/>
  <c r="F33" i="16"/>
  <c r="F16" i="53"/>
  <c r="D24" i="12" l="1"/>
  <c r="D86" i="12" s="1"/>
  <c r="K86" i="12"/>
  <c r="F50" i="12"/>
  <c r="E60" i="12"/>
  <c r="F37" i="12"/>
  <c r="O60" i="12"/>
  <c r="O86" i="12" s="1"/>
  <c r="F58" i="16"/>
  <c r="R59" i="16"/>
  <c r="R85" i="16" s="1"/>
  <c r="D59" i="16"/>
  <c r="D85" i="16" s="1"/>
  <c r="F36" i="16"/>
  <c r="F49" i="16"/>
  <c r="E24" i="12"/>
  <c r="E86" i="12" s="1"/>
  <c r="F5" i="12"/>
  <c r="F19" i="12" s="1"/>
  <c r="F26" i="12"/>
  <c r="F53" i="12"/>
  <c r="I53" i="12"/>
  <c r="U86" i="12"/>
  <c r="M86" i="12"/>
  <c r="I59" i="12"/>
  <c r="F23" i="12"/>
  <c r="D54" i="12"/>
  <c r="J59" i="12"/>
  <c r="J60" i="12" s="1"/>
  <c r="J86" i="12" s="1"/>
  <c r="L54" i="12"/>
  <c r="L59" i="12" s="1"/>
  <c r="L60" i="12" s="1"/>
  <c r="L23" i="12"/>
  <c r="L24" i="12" s="1"/>
  <c r="I50" i="12"/>
  <c r="O59" i="16"/>
  <c r="O85" i="16" s="1"/>
  <c r="E85" i="16"/>
  <c r="F39" i="16"/>
  <c r="F59" i="16" s="1"/>
  <c r="I59" i="16"/>
  <c r="L24" i="16"/>
  <c r="H85" i="16"/>
  <c r="L59" i="16"/>
  <c r="I19" i="16"/>
  <c r="F5" i="16"/>
  <c r="F19" i="16" s="1"/>
  <c r="I23" i="16"/>
  <c r="F21" i="16"/>
  <c r="F23" i="16" s="1"/>
  <c r="F24" i="12" l="1"/>
  <c r="L86" i="12"/>
  <c r="I60" i="12"/>
  <c r="I86" i="12" s="1"/>
  <c r="F24" i="16"/>
  <c r="L85" i="16"/>
  <c r="F54" i="12"/>
  <c r="F59" i="12" s="1"/>
  <c r="F60" i="12" s="1"/>
  <c r="I24" i="16"/>
  <c r="I85" i="16" s="1"/>
  <c r="F85" i="16"/>
  <c r="F86" i="12" l="1"/>
  <c r="F8" i="53" l="1"/>
  <c r="D8" i="53"/>
  <c r="H12" i="53"/>
  <c r="E11" i="53"/>
  <c r="D11" i="53"/>
  <c r="C13" i="20" l="1"/>
  <c r="C11" i="20"/>
  <c r="G15" i="7"/>
  <c r="G18" i="7"/>
  <c r="G25" i="7"/>
  <c r="G26" i="7"/>
  <c r="G29" i="7"/>
  <c r="G31" i="7"/>
  <c r="G35" i="7" s="1"/>
  <c r="G75" i="7"/>
  <c r="G36" i="7" l="1"/>
  <c r="G98" i="7"/>
  <c r="F72" i="7"/>
  <c r="E72" i="7"/>
  <c r="E73" i="7"/>
  <c r="D72" i="7"/>
  <c r="H23" i="18" l="1"/>
  <c r="I23" i="18"/>
  <c r="H11" i="18"/>
  <c r="H12" i="18"/>
  <c r="H13" i="18"/>
  <c r="H14" i="18"/>
  <c r="H15" i="18"/>
  <c r="H7" i="18"/>
  <c r="H8" i="18"/>
  <c r="I8" i="18"/>
  <c r="D26" i="18"/>
  <c r="D25" i="18"/>
  <c r="D23" i="18"/>
  <c r="D22" i="18"/>
  <c r="W7" i="5"/>
  <c r="D24" i="18" l="1"/>
  <c r="B29" i="3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18" i="20"/>
  <c r="D11" i="20"/>
  <c r="D13" i="20" s="1"/>
  <c r="E10" i="20"/>
  <c r="E11" i="20" s="1"/>
  <c r="E13" i="20" s="1"/>
  <c r="D61" i="19"/>
  <c r="E57" i="19"/>
  <c r="E59" i="19"/>
  <c r="E62" i="19"/>
  <c r="E63" i="19"/>
  <c r="E64" i="19"/>
  <c r="E65" i="19"/>
  <c r="E66" i="19"/>
  <c r="E67" i="19"/>
  <c r="E68" i="19"/>
  <c r="E69" i="19"/>
  <c r="E70" i="19"/>
  <c r="E71" i="19"/>
  <c r="E72" i="19"/>
  <c r="E58" i="19"/>
  <c r="D56" i="19"/>
  <c r="E56" i="19" s="1"/>
  <c r="E48" i="19"/>
  <c r="E49" i="19"/>
  <c r="E50" i="19"/>
  <c r="E47" i="19"/>
  <c r="D46" i="19"/>
  <c r="D39" i="19"/>
  <c r="D33" i="19"/>
  <c r="D28" i="19"/>
  <c r="E25" i="19"/>
  <c r="E26" i="19"/>
  <c r="E27" i="19"/>
  <c r="E29" i="19"/>
  <c r="E30" i="19"/>
  <c r="E31" i="19"/>
  <c r="E32" i="19"/>
  <c r="E34" i="19"/>
  <c r="E35" i="19"/>
  <c r="E36" i="19"/>
  <c r="E37" i="19"/>
  <c r="E38" i="19"/>
  <c r="E40" i="19"/>
  <c r="E41" i="19"/>
  <c r="E42" i="19"/>
  <c r="E43" i="19"/>
  <c r="E24" i="19"/>
  <c r="D23" i="19"/>
  <c r="D44" i="19" s="1"/>
  <c r="D15" i="19"/>
  <c r="E7" i="19"/>
  <c r="E8" i="19"/>
  <c r="E9" i="19"/>
  <c r="E10" i="19"/>
  <c r="E6" i="19"/>
  <c r="E46" i="52"/>
  <c r="I44" i="52"/>
  <c r="H44" i="52"/>
  <c r="H45" i="52"/>
  <c r="C46" i="52"/>
  <c r="D44" i="52"/>
  <c r="J44" i="52" s="1"/>
  <c r="H4" i="52"/>
  <c r="I4" i="52"/>
  <c r="J4" i="52"/>
  <c r="H5" i="52"/>
  <c r="I5" i="52"/>
  <c r="H6" i="52"/>
  <c r="I6" i="52"/>
  <c r="H7" i="52"/>
  <c r="I7" i="52"/>
  <c r="H8" i="52"/>
  <c r="I8" i="52"/>
  <c r="J8" i="52"/>
  <c r="H9" i="52"/>
  <c r="I9" i="52"/>
  <c r="H10" i="52"/>
  <c r="I10" i="52"/>
  <c r="H11" i="52"/>
  <c r="I11" i="52"/>
  <c r="H12" i="52"/>
  <c r="I12" i="52"/>
  <c r="J12" i="52"/>
  <c r="H13" i="52"/>
  <c r="I13" i="52"/>
  <c r="H14" i="52"/>
  <c r="I14" i="52"/>
  <c r="H15" i="52"/>
  <c r="I15" i="52"/>
  <c r="H16" i="52"/>
  <c r="I16" i="52"/>
  <c r="J16" i="52"/>
  <c r="H17" i="52"/>
  <c r="I17" i="52"/>
  <c r="H18" i="52"/>
  <c r="I18" i="52"/>
  <c r="H19" i="52"/>
  <c r="I19" i="52"/>
  <c r="H20" i="52"/>
  <c r="I20" i="52"/>
  <c r="J20" i="52"/>
  <c r="H21" i="52"/>
  <c r="I21" i="52"/>
  <c r="H22" i="52"/>
  <c r="I22" i="52"/>
  <c r="H23" i="52"/>
  <c r="I23" i="52"/>
  <c r="H24" i="52"/>
  <c r="I24" i="52"/>
  <c r="J24" i="52"/>
  <c r="H25" i="52"/>
  <c r="I25" i="52"/>
  <c r="H26" i="52"/>
  <c r="I26" i="52"/>
  <c r="H27" i="52"/>
  <c r="I27" i="52"/>
  <c r="H28" i="52"/>
  <c r="I28" i="52"/>
  <c r="J28" i="52"/>
  <c r="H29" i="52"/>
  <c r="I29" i="52"/>
  <c r="H30" i="52"/>
  <c r="I30" i="52"/>
  <c r="H31" i="52"/>
  <c r="I31" i="52"/>
  <c r="H32" i="52"/>
  <c r="I32" i="52"/>
  <c r="J32" i="52"/>
  <c r="H33" i="52"/>
  <c r="I33" i="52"/>
  <c r="H34" i="52"/>
  <c r="I34" i="52"/>
  <c r="H35" i="52"/>
  <c r="I35" i="52"/>
  <c r="H36" i="52"/>
  <c r="I36" i="52"/>
  <c r="J36" i="52"/>
  <c r="H37" i="52"/>
  <c r="I37" i="52"/>
  <c r="H38" i="52"/>
  <c r="I38" i="52"/>
  <c r="H39" i="52"/>
  <c r="I39" i="52"/>
  <c r="H40" i="52"/>
  <c r="I40" i="52"/>
  <c r="J40" i="52"/>
  <c r="H41" i="52"/>
  <c r="I41" i="52"/>
  <c r="H42" i="52"/>
  <c r="I42" i="52"/>
  <c r="H43" i="52"/>
  <c r="I43" i="52"/>
  <c r="I45" i="52"/>
  <c r="I3" i="52"/>
  <c r="G4" i="52"/>
  <c r="G5" i="52"/>
  <c r="G6" i="52"/>
  <c r="G7" i="52"/>
  <c r="G8" i="52"/>
  <c r="G9" i="52"/>
  <c r="G10" i="52"/>
  <c r="G11" i="52"/>
  <c r="G12" i="52"/>
  <c r="G13" i="52"/>
  <c r="G14" i="52"/>
  <c r="G15" i="52"/>
  <c r="G16" i="52"/>
  <c r="G17" i="52"/>
  <c r="G18" i="52"/>
  <c r="G19" i="52"/>
  <c r="G20" i="52"/>
  <c r="G21" i="52"/>
  <c r="G22" i="52"/>
  <c r="G23" i="52"/>
  <c r="G24" i="52"/>
  <c r="G25" i="52"/>
  <c r="G26" i="52"/>
  <c r="G27" i="52"/>
  <c r="G28" i="52"/>
  <c r="G29" i="52"/>
  <c r="G30" i="52"/>
  <c r="G31" i="52"/>
  <c r="G32" i="52"/>
  <c r="G33" i="52"/>
  <c r="G34" i="52"/>
  <c r="G35" i="52"/>
  <c r="G36" i="52"/>
  <c r="G37" i="52"/>
  <c r="G38" i="52"/>
  <c r="G39" i="52"/>
  <c r="G40" i="52"/>
  <c r="G41" i="52"/>
  <c r="G42" i="52"/>
  <c r="G43" i="52"/>
  <c r="G45" i="52"/>
  <c r="G46" i="52" s="1"/>
  <c r="G3" i="52"/>
  <c r="D4" i="52"/>
  <c r="D5" i="52"/>
  <c r="J5" i="52" s="1"/>
  <c r="D6" i="52"/>
  <c r="J6" i="52" s="1"/>
  <c r="D7" i="52"/>
  <c r="J7" i="52" s="1"/>
  <c r="D8" i="52"/>
  <c r="D9" i="52"/>
  <c r="J9" i="52" s="1"/>
  <c r="D10" i="52"/>
  <c r="J10" i="52" s="1"/>
  <c r="D11" i="52"/>
  <c r="J11" i="52" s="1"/>
  <c r="D12" i="52"/>
  <c r="D13" i="52"/>
  <c r="J13" i="52" s="1"/>
  <c r="D14" i="52"/>
  <c r="J14" i="52" s="1"/>
  <c r="D15" i="52"/>
  <c r="J15" i="52" s="1"/>
  <c r="D16" i="52"/>
  <c r="D17" i="52"/>
  <c r="J17" i="52" s="1"/>
  <c r="D18" i="52"/>
  <c r="J18" i="52" s="1"/>
  <c r="D19" i="52"/>
  <c r="J19" i="52" s="1"/>
  <c r="D20" i="52"/>
  <c r="D21" i="52"/>
  <c r="J21" i="52" s="1"/>
  <c r="D22" i="52"/>
  <c r="J22" i="52" s="1"/>
  <c r="D23" i="52"/>
  <c r="J23" i="52" s="1"/>
  <c r="D24" i="52"/>
  <c r="D25" i="52"/>
  <c r="J25" i="52" s="1"/>
  <c r="D26" i="52"/>
  <c r="J26" i="52" s="1"/>
  <c r="D27" i="52"/>
  <c r="J27" i="52" s="1"/>
  <c r="D28" i="52"/>
  <c r="D29" i="52"/>
  <c r="J29" i="52" s="1"/>
  <c r="D30" i="52"/>
  <c r="J30" i="52" s="1"/>
  <c r="D31" i="52"/>
  <c r="J31" i="52" s="1"/>
  <c r="D32" i="52"/>
  <c r="D33" i="52"/>
  <c r="J33" i="52" s="1"/>
  <c r="D34" i="52"/>
  <c r="J34" i="52" s="1"/>
  <c r="D35" i="52"/>
  <c r="J35" i="52" s="1"/>
  <c r="D36" i="52"/>
  <c r="D37" i="52"/>
  <c r="J37" i="52" s="1"/>
  <c r="D38" i="52"/>
  <c r="J38" i="52" s="1"/>
  <c r="D39" i="52"/>
  <c r="J39" i="52" s="1"/>
  <c r="D40" i="52"/>
  <c r="D41" i="52"/>
  <c r="J41" i="52" s="1"/>
  <c r="D42" i="52"/>
  <c r="J42" i="52" s="1"/>
  <c r="D43" i="52"/>
  <c r="D45" i="52"/>
  <c r="D3" i="52"/>
  <c r="J3" i="52" s="1"/>
  <c r="E37" i="52"/>
  <c r="E33" i="52"/>
  <c r="E38" i="52" s="1"/>
  <c r="E28" i="52"/>
  <c r="E25" i="52"/>
  <c r="E22" i="52"/>
  <c r="E17" i="52"/>
  <c r="E14" i="52"/>
  <c r="D34" i="43"/>
  <c r="D21" i="43"/>
  <c r="D22" i="43"/>
  <c r="D33" i="43"/>
  <c r="D32" i="43"/>
  <c r="D20" i="43"/>
  <c r="D19" i="43"/>
  <c r="D6" i="43"/>
  <c r="D7" i="43"/>
  <c r="D8" i="43"/>
  <c r="D9" i="43"/>
  <c r="D10" i="43"/>
  <c r="D5" i="43"/>
  <c r="D4" i="45"/>
  <c r="D5" i="45"/>
  <c r="D6" i="45"/>
  <c r="D7" i="45"/>
  <c r="D8" i="45"/>
  <c r="D9" i="45"/>
  <c r="D10" i="45"/>
  <c r="D11" i="45"/>
  <c r="D12" i="45"/>
  <c r="D13" i="45"/>
  <c r="D14" i="45"/>
  <c r="D15" i="45"/>
  <c r="D16" i="45"/>
  <c r="D17" i="45"/>
  <c r="D18" i="45"/>
  <c r="D19" i="45"/>
  <c r="D20" i="45"/>
  <c r="D21" i="45"/>
  <c r="D22" i="45"/>
  <c r="D23" i="45"/>
  <c r="D3" i="45"/>
  <c r="D4" i="44"/>
  <c r="D5" i="44"/>
  <c r="D6" i="44"/>
  <c r="D7" i="44"/>
  <c r="D8" i="44"/>
  <c r="D9" i="44"/>
  <c r="D10" i="44"/>
  <c r="D11" i="44"/>
  <c r="D12" i="44"/>
  <c r="D13" i="44"/>
  <c r="D15" i="44"/>
  <c r="D16" i="44"/>
  <c r="D17" i="44"/>
  <c r="D18" i="44"/>
  <c r="D19" i="44"/>
  <c r="D20" i="44"/>
  <c r="D3" i="44"/>
  <c r="O43" i="58"/>
  <c r="D24" i="17"/>
  <c r="C24" i="17"/>
  <c r="D26" i="43" l="1"/>
  <c r="D13" i="43"/>
  <c r="E13" i="19"/>
  <c r="E15" i="19" s="1"/>
  <c r="E28" i="19"/>
  <c r="E46" i="19"/>
  <c r="J43" i="52"/>
  <c r="D73" i="19"/>
  <c r="D46" i="52"/>
  <c r="J46" i="52" s="1"/>
  <c r="E61" i="19"/>
  <c r="E73" i="19" s="1"/>
  <c r="E39" i="19"/>
  <c r="E33" i="19"/>
  <c r="E23" i="19"/>
  <c r="H46" i="52"/>
  <c r="J45" i="52"/>
  <c r="E29" i="52"/>
  <c r="E44" i="19" l="1"/>
  <c r="F77" i="58"/>
  <c r="E77" i="58"/>
  <c r="D77" i="58"/>
  <c r="O73" i="58"/>
  <c r="N73" i="58"/>
  <c r="M73" i="58"/>
  <c r="L73" i="58"/>
  <c r="K73" i="58"/>
  <c r="E73" i="58" s="1"/>
  <c r="D40" i="17" s="1"/>
  <c r="J73" i="58"/>
  <c r="I73" i="58"/>
  <c r="H73" i="58"/>
  <c r="G73" i="58"/>
  <c r="D73" i="58" s="1"/>
  <c r="C40" i="17" s="1"/>
  <c r="O71" i="58"/>
  <c r="N71" i="58"/>
  <c r="M71" i="58"/>
  <c r="L71" i="58"/>
  <c r="K71" i="58"/>
  <c r="J71" i="58"/>
  <c r="I71" i="58"/>
  <c r="H71" i="58"/>
  <c r="G71" i="58"/>
  <c r="E69" i="58"/>
  <c r="H69" i="58"/>
  <c r="G69" i="58"/>
  <c r="E66" i="58"/>
  <c r="H66" i="58"/>
  <c r="G66" i="58"/>
  <c r="H65" i="58"/>
  <c r="E65" i="58" s="1"/>
  <c r="G65" i="58"/>
  <c r="O62" i="58"/>
  <c r="N62" i="58"/>
  <c r="M62" i="58"/>
  <c r="D62" i="58" s="1"/>
  <c r="L62" i="58"/>
  <c r="K62" i="58"/>
  <c r="J62" i="58"/>
  <c r="G62" i="58"/>
  <c r="O61" i="58"/>
  <c r="N61" i="58"/>
  <c r="M61" i="58"/>
  <c r="D61" i="58" s="1"/>
  <c r="L61" i="58"/>
  <c r="K61" i="58"/>
  <c r="J61" i="58"/>
  <c r="G61" i="58"/>
  <c r="O60" i="58"/>
  <c r="N60" i="58"/>
  <c r="M60" i="58"/>
  <c r="D60" i="58" s="1"/>
  <c r="L60" i="58"/>
  <c r="K60" i="58"/>
  <c r="J60" i="58"/>
  <c r="G60" i="58"/>
  <c r="O59" i="58"/>
  <c r="N59" i="58"/>
  <c r="M59" i="58"/>
  <c r="L59" i="58"/>
  <c r="K59" i="58"/>
  <c r="J59" i="58"/>
  <c r="H59" i="58"/>
  <c r="G59" i="58"/>
  <c r="O58" i="58"/>
  <c r="N58" i="58"/>
  <c r="N63" i="58" s="1"/>
  <c r="M58" i="58"/>
  <c r="L58" i="58"/>
  <c r="K58" i="58"/>
  <c r="J58" i="58"/>
  <c r="J63" i="58" s="1"/>
  <c r="G58" i="58"/>
  <c r="G63" i="58" s="1"/>
  <c r="O56" i="58"/>
  <c r="N56" i="58"/>
  <c r="M56" i="58"/>
  <c r="L56" i="58"/>
  <c r="K56" i="58"/>
  <c r="J56" i="58"/>
  <c r="G56" i="58"/>
  <c r="O54" i="58"/>
  <c r="N54" i="58"/>
  <c r="M54" i="58"/>
  <c r="L54" i="58"/>
  <c r="L55" i="58" s="1"/>
  <c r="K54" i="58"/>
  <c r="J54" i="58"/>
  <c r="G54" i="58"/>
  <c r="O53" i="58"/>
  <c r="N53" i="58"/>
  <c r="M53" i="58"/>
  <c r="D53" i="58" s="1"/>
  <c r="L53" i="58"/>
  <c r="K53" i="58"/>
  <c r="J53" i="58"/>
  <c r="G53" i="58"/>
  <c r="O47" i="58"/>
  <c r="L47" i="58"/>
  <c r="I47" i="58"/>
  <c r="E47" i="58"/>
  <c r="D47" i="58"/>
  <c r="N46" i="58"/>
  <c r="N48" i="58" s="1"/>
  <c r="K46" i="58"/>
  <c r="K48" i="58" s="1"/>
  <c r="H46" i="58"/>
  <c r="L45" i="58"/>
  <c r="I45" i="58"/>
  <c r="E45" i="58"/>
  <c r="D45" i="58"/>
  <c r="L44" i="58"/>
  <c r="F44" i="58" s="1"/>
  <c r="I44" i="58"/>
  <c r="E44" i="58"/>
  <c r="D44" i="58"/>
  <c r="O46" i="58"/>
  <c r="L43" i="58"/>
  <c r="I43" i="58"/>
  <c r="E43" i="58"/>
  <c r="O41" i="58"/>
  <c r="L41" i="58"/>
  <c r="E41" i="58"/>
  <c r="O40" i="58"/>
  <c r="L40" i="58"/>
  <c r="I40" i="58"/>
  <c r="E40" i="58"/>
  <c r="D40" i="58"/>
  <c r="O39" i="58"/>
  <c r="D39" i="58"/>
  <c r="C14" i="17" s="1"/>
  <c r="I39" i="58"/>
  <c r="E39" i="58"/>
  <c r="C39" i="58"/>
  <c r="O38" i="58"/>
  <c r="L38" i="58"/>
  <c r="I38" i="58"/>
  <c r="E38" i="58"/>
  <c r="D38" i="58"/>
  <c r="L37" i="58"/>
  <c r="I37" i="58"/>
  <c r="F37" i="58"/>
  <c r="E37" i="58"/>
  <c r="D37" i="58"/>
  <c r="N36" i="58"/>
  <c r="N42" i="58" s="1"/>
  <c r="K36" i="58"/>
  <c r="K42" i="58" s="1"/>
  <c r="H36" i="58"/>
  <c r="O35" i="58"/>
  <c r="L35" i="58"/>
  <c r="I35" i="58"/>
  <c r="E35" i="58"/>
  <c r="D35" i="58"/>
  <c r="O34" i="58"/>
  <c r="L34" i="58"/>
  <c r="I34" i="58"/>
  <c r="E34" i="58"/>
  <c r="D34" i="58"/>
  <c r="O33" i="58"/>
  <c r="L33" i="58"/>
  <c r="I33" i="58"/>
  <c r="E33" i="58"/>
  <c r="D33" i="58"/>
  <c r="O32" i="58"/>
  <c r="L32" i="58"/>
  <c r="I32" i="58"/>
  <c r="E32" i="58"/>
  <c r="D32" i="58"/>
  <c r="O31" i="58"/>
  <c r="L31" i="58"/>
  <c r="I31" i="58"/>
  <c r="E31" i="58"/>
  <c r="D31" i="58"/>
  <c r="O30" i="58"/>
  <c r="L30" i="58"/>
  <c r="I30" i="58"/>
  <c r="E30" i="58"/>
  <c r="D30" i="58"/>
  <c r="D29" i="58"/>
  <c r="L29" i="58"/>
  <c r="I29" i="58"/>
  <c r="E29" i="58"/>
  <c r="O28" i="58"/>
  <c r="L28" i="58"/>
  <c r="I28" i="58"/>
  <c r="E28" i="58"/>
  <c r="D28" i="58"/>
  <c r="I27" i="58"/>
  <c r="E27" i="58"/>
  <c r="O26" i="58"/>
  <c r="L26" i="58"/>
  <c r="I26" i="58"/>
  <c r="E26" i="58"/>
  <c r="D26" i="58"/>
  <c r="O25" i="58"/>
  <c r="L25" i="58"/>
  <c r="I25" i="58"/>
  <c r="E25" i="58"/>
  <c r="D25" i="58"/>
  <c r="O24" i="58"/>
  <c r="L24" i="58"/>
  <c r="I24" i="58"/>
  <c r="E24" i="58"/>
  <c r="D24" i="58"/>
  <c r="O23" i="58"/>
  <c r="L23" i="58"/>
  <c r="I23" i="58"/>
  <c r="E23" i="58"/>
  <c r="D23" i="58"/>
  <c r="O22" i="58"/>
  <c r="L22" i="58"/>
  <c r="I22" i="58"/>
  <c r="E22" i="58"/>
  <c r="D22" i="58"/>
  <c r="O21" i="58"/>
  <c r="L21" i="58"/>
  <c r="I21" i="58"/>
  <c r="E21" i="58"/>
  <c r="D21" i="58"/>
  <c r="O20" i="58"/>
  <c r="L20" i="58"/>
  <c r="I20" i="58"/>
  <c r="E20" i="58"/>
  <c r="D20" i="58"/>
  <c r="O19" i="58"/>
  <c r="L19" i="58"/>
  <c r="I19" i="58"/>
  <c r="E19" i="58"/>
  <c r="D19" i="58"/>
  <c r="O18" i="58"/>
  <c r="L18" i="58"/>
  <c r="I18" i="58"/>
  <c r="E18" i="58"/>
  <c r="D18" i="58"/>
  <c r="O17" i="58"/>
  <c r="L17" i="58"/>
  <c r="I17" i="58"/>
  <c r="E17" i="58"/>
  <c r="D17" i="58"/>
  <c r="L16" i="58"/>
  <c r="I16" i="58"/>
  <c r="E16" i="58"/>
  <c r="H15" i="58"/>
  <c r="E15" i="58" s="1"/>
  <c r="O14" i="58"/>
  <c r="L14" i="58"/>
  <c r="E14" i="58"/>
  <c r="D14" i="58"/>
  <c r="O13" i="58"/>
  <c r="L13" i="58"/>
  <c r="E13" i="58"/>
  <c r="D13" i="58"/>
  <c r="O12" i="58"/>
  <c r="L12" i="58"/>
  <c r="E12" i="58"/>
  <c r="D12" i="58"/>
  <c r="O11" i="58"/>
  <c r="L11" i="58"/>
  <c r="E11" i="58"/>
  <c r="D11" i="58"/>
  <c r="O10" i="58"/>
  <c r="L10" i="58"/>
  <c r="E10" i="58"/>
  <c r="D10" i="58"/>
  <c r="O9" i="58"/>
  <c r="L9" i="58"/>
  <c r="E9" i="58"/>
  <c r="D9" i="58"/>
  <c r="O8" i="58"/>
  <c r="L8" i="58"/>
  <c r="E8" i="58"/>
  <c r="D8" i="58"/>
  <c r="O7" i="58"/>
  <c r="L7" i="58"/>
  <c r="E7" i="58"/>
  <c r="D7" i="58"/>
  <c r="O6" i="58"/>
  <c r="L6" i="58"/>
  <c r="E6" i="58"/>
  <c r="D6" i="58"/>
  <c r="O5" i="58"/>
  <c r="L5" i="58"/>
  <c r="E5" i="58"/>
  <c r="D5" i="58"/>
  <c r="O15" i="58"/>
  <c r="L4" i="58"/>
  <c r="I4" i="58"/>
  <c r="E4" i="58"/>
  <c r="AB15" i="56"/>
  <c r="AA15" i="56"/>
  <c r="AH9" i="57" s="1"/>
  <c r="Z15" i="56"/>
  <c r="Y15" i="56"/>
  <c r="X15" i="56"/>
  <c r="W15" i="56"/>
  <c r="V15" i="56"/>
  <c r="T15" i="56"/>
  <c r="X9" i="57" s="1"/>
  <c r="S15" i="56"/>
  <c r="Q15" i="56"/>
  <c r="P15" i="56"/>
  <c r="O15" i="56"/>
  <c r="I9" i="57" s="1"/>
  <c r="N15" i="56"/>
  <c r="M15" i="56"/>
  <c r="G9" i="57" s="1"/>
  <c r="L15" i="56"/>
  <c r="E9" i="57" s="1"/>
  <c r="K15" i="56"/>
  <c r="J15" i="56"/>
  <c r="I15" i="56"/>
  <c r="H9" i="57" s="1"/>
  <c r="H15" i="56"/>
  <c r="G15" i="56"/>
  <c r="F9" i="57" s="1"/>
  <c r="F15" i="56"/>
  <c r="AC13" i="56"/>
  <c r="R13" i="56"/>
  <c r="AC12" i="56"/>
  <c r="R12" i="56"/>
  <c r="AC11" i="56"/>
  <c r="R11" i="56"/>
  <c r="U15" i="56"/>
  <c r="Y9" i="57" s="1"/>
  <c r="E15" i="56"/>
  <c r="D9" i="57" s="1"/>
  <c r="AC5" i="56"/>
  <c r="R5" i="56"/>
  <c r="T21" i="55"/>
  <c r="AH8" i="57" s="1"/>
  <c r="S21" i="55"/>
  <c r="R21" i="55"/>
  <c r="Q21" i="55"/>
  <c r="P21" i="55"/>
  <c r="O21" i="55"/>
  <c r="N21" i="55"/>
  <c r="Y8" i="57" s="1"/>
  <c r="M21" i="55"/>
  <c r="X8" i="57" s="1"/>
  <c r="L21" i="55"/>
  <c r="J21" i="55"/>
  <c r="I21" i="55"/>
  <c r="H21" i="55"/>
  <c r="I8" i="57" s="1"/>
  <c r="G21" i="55"/>
  <c r="H8" i="57" s="1"/>
  <c r="F21" i="55"/>
  <c r="G8" i="57" s="1"/>
  <c r="E21" i="55"/>
  <c r="E8" i="57" s="1"/>
  <c r="U20" i="55"/>
  <c r="K20" i="55"/>
  <c r="U19" i="55"/>
  <c r="K19" i="55"/>
  <c r="U18" i="55"/>
  <c r="K18" i="55"/>
  <c r="U17" i="55"/>
  <c r="K17" i="55"/>
  <c r="U16" i="55"/>
  <c r="K16" i="55"/>
  <c r="U15" i="55"/>
  <c r="K15" i="55"/>
  <c r="U14" i="55"/>
  <c r="K14" i="55"/>
  <c r="U13" i="55"/>
  <c r="K13" i="55"/>
  <c r="U12" i="55"/>
  <c r="K12" i="55"/>
  <c r="U11" i="55"/>
  <c r="K11" i="55"/>
  <c r="U10" i="55"/>
  <c r="K10" i="55"/>
  <c r="U9" i="55"/>
  <c r="K9" i="55"/>
  <c r="U6" i="55"/>
  <c r="K6" i="55"/>
  <c r="U5" i="55"/>
  <c r="D21" i="55"/>
  <c r="D8" i="57" s="1"/>
  <c r="C21" i="55"/>
  <c r="C8" i="57" s="1"/>
  <c r="F47" i="58" l="1"/>
  <c r="J55" i="58"/>
  <c r="D59" i="58"/>
  <c r="E59" i="58"/>
  <c r="M67" i="58"/>
  <c r="M55" i="58"/>
  <c r="D55" i="58" s="1"/>
  <c r="D56" i="58"/>
  <c r="O63" i="58"/>
  <c r="N67" i="58"/>
  <c r="N55" i="58"/>
  <c r="N75" i="58" s="1"/>
  <c r="N79" i="58" s="1"/>
  <c r="F73" i="58"/>
  <c r="E40" i="17" s="1"/>
  <c r="O55" i="58"/>
  <c r="M63" i="58"/>
  <c r="D63" i="58" s="1"/>
  <c r="D65" i="58"/>
  <c r="D69" i="58"/>
  <c r="E71" i="58"/>
  <c r="K55" i="58"/>
  <c r="K63" i="58"/>
  <c r="J67" i="58"/>
  <c r="D58" i="58"/>
  <c r="D54" i="58"/>
  <c r="L67" i="58"/>
  <c r="D71" i="58"/>
  <c r="F71" i="58"/>
  <c r="U21" i="55"/>
  <c r="F40" i="58"/>
  <c r="F35" i="58"/>
  <c r="F6" i="58"/>
  <c r="F10" i="58"/>
  <c r="F11" i="58"/>
  <c r="F12" i="58"/>
  <c r="F13" i="58"/>
  <c r="F14" i="58"/>
  <c r="E46" i="58"/>
  <c r="D23" i="17" s="1"/>
  <c r="D11" i="18" s="1"/>
  <c r="D10" i="18" s="1"/>
  <c r="E36" i="58"/>
  <c r="D13" i="17" s="1"/>
  <c r="D6" i="18" s="1"/>
  <c r="F17" i="58"/>
  <c r="F21" i="58"/>
  <c r="F25" i="58"/>
  <c r="F28" i="58"/>
  <c r="F34" i="58"/>
  <c r="F38" i="58"/>
  <c r="F18" i="58"/>
  <c r="F22" i="58"/>
  <c r="F26" i="58"/>
  <c r="L36" i="58"/>
  <c r="F30" i="58"/>
  <c r="F33" i="58"/>
  <c r="F31" i="58"/>
  <c r="H48" i="58"/>
  <c r="H49" i="58" s="1"/>
  <c r="H42" i="58"/>
  <c r="F32" i="58"/>
  <c r="H67" i="58"/>
  <c r="G55" i="58"/>
  <c r="G67" i="58"/>
  <c r="G75" i="58" s="1"/>
  <c r="K5" i="55"/>
  <c r="R6" i="56"/>
  <c r="F45" i="58"/>
  <c r="D4" i="58"/>
  <c r="F5" i="58"/>
  <c r="O4" i="58"/>
  <c r="F7" i="58"/>
  <c r="F8" i="58"/>
  <c r="F9" i="58"/>
  <c r="F19" i="58"/>
  <c r="F23" i="58"/>
  <c r="O16" i="58"/>
  <c r="F16" i="58" s="1"/>
  <c r="F20" i="58"/>
  <c r="F24" i="58"/>
  <c r="E42" i="58"/>
  <c r="I46" i="58"/>
  <c r="I48" i="58" s="1"/>
  <c r="F43" i="58"/>
  <c r="O48" i="58"/>
  <c r="F4" i="58"/>
  <c r="L27" i="58"/>
  <c r="F27" i="58" s="1"/>
  <c r="D27" i="58"/>
  <c r="K49" i="58"/>
  <c r="N49" i="58"/>
  <c r="L63" i="58"/>
  <c r="O67" i="58"/>
  <c r="D16" i="58"/>
  <c r="O29" i="58"/>
  <c r="O36" i="58" s="1"/>
  <c r="O42" i="58" s="1"/>
  <c r="L39" i="58"/>
  <c r="F39" i="58" s="1"/>
  <c r="D66" i="58"/>
  <c r="K67" i="58"/>
  <c r="D41" i="58"/>
  <c r="C16" i="17" s="1"/>
  <c r="I41" i="58"/>
  <c r="I15" i="58"/>
  <c r="I36" i="58"/>
  <c r="D43" i="58"/>
  <c r="AC15" i="56"/>
  <c r="AC6" i="56"/>
  <c r="D15" i="56"/>
  <c r="K21" i="55"/>
  <c r="M75" i="58" l="1"/>
  <c r="M79" i="58" s="1"/>
  <c r="O75" i="58"/>
  <c r="O79" i="58" s="1"/>
  <c r="D67" i="58"/>
  <c r="E67" i="58"/>
  <c r="J75" i="58"/>
  <c r="J79" i="58" s="1"/>
  <c r="L75" i="58"/>
  <c r="L79" i="58" s="1"/>
  <c r="K75" i="58"/>
  <c r="K79" i="58" s="1"/>
  <c r="R15" i="56"/>
  <c r="C9" i="57"/>
  <c r="E48" i="58"/>
  <c r="F36" i="58"/>
  <c r="E49" i="58"/>
  <c r="D46" i="58"/>
  <c r="C23" i="17" s="1"/>
  <c r="C11" i="18" s="1"/>
  <c r="F41" i="58"/>
  <c r="I42" i="58"/>
  <c r="I49" i="58" s="1"/>
  <c r="G79" i="58"/>
  <c r="L42" i="58"/>
  <c r="O49" i="58"/>
  <c r="D36" i="58"/>
  <c r="C13" i="17" s="1"/>
  <c r="C6" i="18" s="1"/>
  <c r="L46" i="58"/>
  <c r="F29" i="58"/>
  <c r="D15" i="58"/>
  <c r="C6" i="17" s="1"/>
  <c r="L15" i="58"/>
  <c r="F15" i="58" s="1"/>
  <c r="F46" i="58"/>
  <c r="D75" i="58" l="1"/>
  <c r="D79" i="58"/>
  <c r="F42" i="58"/>
  <c r="D48" i="58"/>
  <c r="L48" i="58"/>
  <c r="F48" i="58" s="1"/>
  <c r="D42" i="58"/>
  <c r="D49" i="58" l="1"/>
  <c r="L49" i="58"/>
  <c r="F49" i="58" s="1"/>
  <c r="D7" i="7" l="1"/>
  <c r="E7" i="7"/>
  <c r="D10" i="7"/>
  <c r="E10" i="7"/>
  <c r="D12" i="7"/>
  <c r="E12" i="7"/>
  <c r="D13" i="7"/>
  <c r="E13" i="7"/>
  <c r="D14" i="7"/>
  <c r="E14" i="7"/>
  <c r="D16" i="7"/>
  <c r="E16" i="7"/>
  <c r="D17" i="7"/>
  <c r="E17" i="7"/>
  <c r="D19" i="7"/>
  <c r="E19" i="7"/>
  <c r="D20" i="7"/>
  <c r="E20" i="7"/>
  <c r="D21" i="7"/>
  <c r="E21" i="7"/>
  <c r="D22" i="7"/>
  <c r="E22" i="7"/>
  <c r="D23" i="7"/>
  <c r="E23" i="7"/>
  <c r="D24" i="7"/>
  <c r="E24" i="7"/>
  <c r="D25" i="7"/>
  <c r="E25" i="7"/>
  <c r="D27" i="7"/>
  <c r="E27" i="7"/>
  <c r="D28" i="7"/>
  <c r="E28" i="7"/>
  <c r="E30" i="7"/>
  <c r="D31" i="7"/>
  <c r="E31" i="7"/>
  <c r="D32" i="7"/>
  <c r="E32" i="7"/>
  <c r="D33" i="7"/>
  <c r="E33" i="7"/>
  <c r="D34" i="7"/>
  <c r="E34" i="7"/>
  <c r="D38" i="7"/>
  <c r="E38" i="7"/>
  <c r="D39" i="7"/>
  <c r="E39" i="7"/>
  <c r="D40" i="7"/>
  <c r="E40" i="7"/>
  <c r="D41" i="7"/>
  <c r="E41" i="7"/>
  <c r="D42" i="7"/>
  <c r="E42" i="7"/>
  <c r="D43" i="7"/>
  <c r="E43" i="7"/>
  <c r="D44" i="7"/>
  <c r="E44" i="7"/>
  <c r="D45" i="7"/>
  <c r="E45" i="7"/>
  <c r="D46" i="7"/>
  <c r="E46" i="7"/>
  <c r="D47" i="7"/>
  <c r="E47" i="7"/>
  <c r="D48" i="7"/>
  <c r="E48" i="7"/>
  <c r="D49" i="7"/>
  <c r="E49" i="7"/>
  <c r="D50" i="7"/>
  <c r="E50" i="7"/>
  <c r="D51" i="7"/>
  <c r="E51" i="7"/>
  <c r="D52" i="7"/>
  <c r="E52" i="7"/>
  <c r="D53" i="7"/>
  <c r="E53" i="7"/>
  <c r="D54" i="7"/>
  <c r="E54" i="7"/>
  <c r="D55" i="7"/>
  <c r="E55" i="7"/>
  <c r="D56" i="7"/>
  <c r="E56" i="7"/>
  <c r="D57" i="7"/>
  <c r="E57" i="7"/>
  <c r="D58" i="7"/>
  <c r="E58" i="7"/>
  <c r="D59" i="7"/>
  <c r="E59" i="7"/>
  <c r="D60" i="7"/>
  <c r="E60" i="7"/>
  <c r="D61" i="7"/>
  <c r="E61" i="7"/>
  <c r="D62" i="7"/>
  <c r="E62" i="7"/>
  <c r="D63" i="7"/>
  <c r="D64" i="7"/>
  <c r="E64" i="7"/>
  <c r="D65" i="7"/>
  <c r="E65" i="7"/>
  <c r="D66" i="7"/>
  <c r="E66" i="7"/>
  <c r="D67" i="7"/>
  <c r="E67" i="7"/>
  <c r="D68" i="7"/>
  <c r="E68" i="7"/>
  <c r="D69" i="7"/>
  <c r="E69" i="7"/>
  <c r="D70" i="7"/>
  <c r="E70" i="7"/>
  <c r="D71" i="7"/>
  <c r="E71" i="7"/>
  <c r="D73" i="7"/>
  <c r="D74" i="7"/>
  <c r="E74" i="7"/>
  <c r="D77" i="7"/>
  <c r="E77" i="7"/>
  <c r="D78" i="7"/>
  <c r="E78" i="7"/>
  <c r="D79" i="7"/>
  <c r="E79" i="7"/>
  <c r="D80" i="7"/>
  <c r="E80" i="7"/>
  <c r="D81" i="7"/>
  <c r="E81" i="7"/>
  <c r="D82" i="7"/>
  <c r="E82" i="7"/>
  <c r="D83" i="7"/>
  <c r="E83" i="7"/>
  <c r="D84" i="7"/>
  <c r="E84" i="7"/>
  <c r="D85" i="7"/>
  <c r="E85" i="7"/>
  <c r="D86" i="7"/>
  <c r="E86" i="7"/>
  <c r="D87" i="7"/>
  <c r="E87" i="7"/>
  <c r="D88" i="7"/>
  <c r="E88" i="7"/>
  <c r="D89" i="7"/>
  <c r="E89" i="7"/>
  <c r="D90" i="7"/>
  <c r="E90" i="7"/>
  <c r="D91" i="7"/>
  <c r="E91" i="7"/>
  <c r="D92" i="7"/>
  <c r="E92" i="7"/>
  <c r="D93" i="7"/>
  <c r="E93" i="7"/>
  <c r="D94" i="7"/>
  <c r="E94" i="7"/>
  <c r="D95" i="7"/>
  <c r="E95" i="7"/>
  <c r="D96" i="7"/>
  <c r="E96" i="7"/>
  <c r="D97" i="7"/>
  <c r="E97" i="7"/>
  <c r="D100" i="7"/>
  <c r="E100" i="7"/>
  <c r="D101" i="7"/>
  <c r="E101" i="7"/>
  <c r="D102" i="7"/>
  <c r="E102" i="7"/>
  <c r="D104" i="7"/>
  <c r="E104" i="7"/>
  <c r="D105" i="7"/>
  <c r="E105" i="7"/>
  <c r="D106" i="7"/>
  <c r="E106" i="7"/>
  <c r="E6" i="7"/>
  <c r="D6" i="7"/>
  <c r="D12" i="9" l="1"/>
  <c r="D6" i="17" s="1"/>
  <c r="Z7" i="8"/>
  <c r="W8" i="7"/>
  <c r="E8" i="7" s="1"/>
  <c r="Z4" i="8"/>
  <c r="Y4" i="8"/>
  <c r="Z3" i="8"/>
  <c r="E16" i="8" l="1"/>
  <c r="F16" i="8"/>
  <c r="E25" i="8"/>
  <c r="F25" i="8"/>
  <c r="K23" i="8"/>
  <c r="K10" i="8"/>
  <c r="K9" i="8"/>
  <c r="D34" i="17"/>
  <c r="E34" i="17"/>
  <c r="D22" i="17"/>
  <c r="D21" i="17"/>
  <c r="D18" i="17"/>
  <c r="D17" i="17"/>
  <c r="D12" i="17"/>
  <c r="D9" i="17"/>
  <c r="D11" i="9"/>
  <c r="D43" i="9"/>
  <c r="D10" i="17" s="1"/>
  <c r="D52" i="9"/>
  <c r="D11" i="17" s="1"/>
  <c r="D69" i="9"/>
  <c r="D14" i="17" s="1"/>
  <c r="D7" i="18" s="1"/>
  <c r="D65" i="9"/>
  <c r="AG7" i="7"/>
  <c r="AG8" i="7"/>
  <c r="AG10" i="7"/>
  <c r="AG12" i="7"/>
  <c r="AG13" i="7"/>
  <c r="AG14" i="7"/>
  <c r="AG16" i="7"/>
  <c r="AG17" i="7"/>
  <c r="AG19" i="7"/>
  <c r="AG20" i="7"/>
  <c r="AG21" i="7"/>
  <c r="AG22" i="7"/>
  <c r="AG23" i="7"/>
  <c r="AG24" i="7"/>
  <c r="AG25" i="7"/>
  <c r="AG27" i="7"/>
  <c r="AG28" i="7"/>
  <c r="AG30" i="7"/>
  <c r="AG31" i="7"/>
  <c r="AG32" i="7"/>
  <c r="AG33" i="7"/>
  <c r="AG34" i="7"/>
  <c r="AG38" i="7"/>
  <c r="AG39" i="7"/>
  <c r="AG40" i="7"/>
  <c r="AG41" i="7"/>
  <c r="AG42" i="7"/>
  <c r="AG43" i="7"/>
  <c r="AG44" i="7"/>
  <c r="AG45" i="7"/>
  <c r="AG46" i="7"/>
  <c r="AG47" i="7"/>
  <c r="AG48" i="7"/>
  <c r="AG49" i="7"/>
  <c r="AG50" i="7"/>
  <c r="AG51" i="7"/>
  <c r="AG52" i="7"/>
  <c r="AG53" i="7"/>
  <c r="AG54" i="7"/>
  <c r="AG55" i="7"/>
  <c r="AG56" i="7"/>
  <c r="AG57" i="7"/>
  <c r="AG58" i="7"/>
  <c r="AG59" i="7"/>
  <c r="AG60" i="7"/>
  <c r="AG61" i="7"/>
  <c r="AG62" i="7"/>
  <c r="AG64" i="7"/>
  <c r="AG65" i="7"/>
  <c r="AG66" i="7"/>
  <c r="AG67" i="7"/>
  <c r="AG68" i="7"/>
  <c r="I12" i="18" s="1"/>
  <c r="AG69" i="7"/>
  <c r="AG70" i="7"/>
  <c r="I13" i="18" s="1"/>
  <c r="AG71" i="7"/>
  <c r="AG73" i="7"/>
  <c r="AG74" i="7"/>
  <c r="I15" i="18" s="1"/>
  <c r="AG77" i="7"/>
  <c r="AG78" i="7"/>
  <c r="AG79" i="7"/>
  <c r="AG80" i="7"/>
  <c r="AG81" i="7"/>
  <c r="AG82" i="7"/>
  <c r="AG83" i="7"/>
  <c r="AG84" i="7"/>
  <c r="AG85" i="7"/>
  <c r="AG86" i="7"/>
  <c r="AG87" i="7"/>
  <c r="AG88" i="7"/>
  <c r="AG89" i="7"/>
  <c r="AG90" i="7"/>
  <c r="AG91" i="7"/>
  <c r="AG92" i="7"/>
  <c r="AG93" i="7"/>
  <c r="AG94" i="7"/>
  <c r="AG95" i="7"/>
  <c r="AG96" i="7"/>
  <c r="AG97" i="7"/>
  <c r="AG100" i="7"/>
  <c r="AG101" i="7"/>
  <c r="AG102" i="7"/>
  <c r="AG104" i="7"/>
  <c r="AG105" i="7"/>
  <c r="AG106" i="7"/>
  <c r="AG6" i="7"/>
  <c r="AD7" i="7"/>
  <c r="AD8" i="7"/>
  <c r="AD10" i="7"/>
  <c r="AD12" i="7"/>
  <c r="AD13" i="7"/>
  <c r="AD14" i="7"/>
  <c r="AD16" i="7"/>
  <c r="AD17" i="7"/>
  <c r="AD19" i="7"/>
  <c r="AD20" i="7"/>
  <c r="AD21" i="7"/>
  <c r="AD22" i="7"/>
  <c r="AD23" i="7"/>
  <c r="AD24" i="7"/>
  <c r="AD25" i="7"/>
  <c r="AD27" i="7"/>
  <c r="AD28" i="7"/>
  <c r="AD31" i="7"/>
  <c r="AD32" i="7"/>
  <c r="AD33" i="7"/>
  <c r="AD34" i="7"/>
  <c r="AD38" i="7"/>
  <c r="AD39" i="7"/>
  <c r="AD40" i="7"/>
  <c r="AD41" i="7"/>
  <c r="AD42" i="7"/>
  <c r="AD43" i="7"/>
  <c r="AD44" i="7"/>
  <c r="AD45" i="7"/>
  <c r="AD46" i="7"/>
  <c r="AD47" i="7"/>
  <c r="AD48" i="7"/>
  <c r="AD49" i="7"/>
  <c r="AD50" i="7"/>
  <c r="AD51" i="7"/>
  <c r="AD52" i="7"/>
  <c r="AD53" i="7"/>
  <c r="AD54" i="7"/>
  <c r="AD55" i="7"/>
  <c r="AD56" i="7"/>
  <c r="AD57" i="7"/>
  <c r="AD58" i="7"/>
  <c r="AD59" i="7"/>
  <c r="AD60" i="7"/>
  <c r="AD61" i="7"/>
  <c r="AD62" i="7"/>
  <c r="AD63" i="7"/>
  <c r="AD64" i="7"/>
  <c r="AD65" i="7"/>
  <c r="AD66" i="7"/>
  <c r="AD67" i="7"/>
  <c r="AD68" i="7"/>
  <c r="AD69" i="7"/>
  <c r="AD70" i="7"/>
  <c r="AD71" i="7"/>
  <c r="AD73" i="7"/>
  <c r="AD74" i="7"/>
  <c r="AD75" i="7"/>
  <c r="AD77" i="7"/>
  <c r="AD78" i="7"/>
  <c r="AD79" i="7"/>
  <c r="AD80" i="7"/>
  <c r="AD81" i="7"/>
  <c r="AD82" i="7"/>
  <c r="AD83" i="7"/>
  <c r="AD84" i="7"/>
  <c r="AD85" i="7"/>
  <c r="AD86" i="7"/>
  <c r="AD87" i="7"/>
  <c r="AD88" i="7"/>
  <c r="AD89" i="7"/>
  <c r="AD90" i="7"/>
  <c r="AD91" i="7"/>
  <c r="AD92" i="7"/>
  <c r="AD93" i="7"/>
  <c r="AD94" i="7"/>
  <c r="AD95" i="7"/>
  <c r="AD96" i="7"/>
  <c r="AD97" i="7"/>
  <c r="AD100" i="7"/>
  <c r="AD101" i="7"/>
  <c r="AD102" i="7"/>
  <c r="AD103" i="7"/>
  <c r="AD104" i="7"/>
  <c r="AD105" i="7"/>
  <c r="AD106" i="7"/>
  <c r="AD107" i="7"/>
  <c r="AD6" i="7"/>
  <c r="AA7" i="7"/>
  <c r="AA8" i="7"/>
  <c r="AA10" i="7"/>
  <c r="AA12" i="7"/>
  <c r="AA13" i="7"/>
  <c r="AA14" i="7"/>
  <c r="AA16" i="7"/>
  <c r="AA17" i="7"/>
  <c r="AA19" i="7"/>
  <c r="AA20" i="7"/>
  <c r="AA21" i="7"/>
  <c r="AA22" i="7"/>
  <c r="AA23" i="7"/>
  <c r="AA24" i="7"/>
  <c r="AA25" i="7"/>
  <c r="AA27" i="7"/>
  <c r="AA28" i="7"/>
  <c r="AA30" i="7"/>
  <c r="AA31" i="7"/>
  <c r="AA32" i="7"/>
  <c r="AA33" i="7"/>
  <c r="AA34" i="7"/>
  <c r="AA38" i="7"/>
  <c r="AA39" i="7"/>
  <c r="AA40" i="7"/>
  <c r="AA41" i="7"/>
  <c r="AA42" i="7"/>
  <c r="AA43" i="7"/>
  <c r="AA44" i="7"/>
  <c r="AA45" i="7"/>
  <c r="AA46" i="7"/>
  <c r="AA47" i="7"/>
  <c r="AA48" i="7"/>
  <c r="AA49" i="7"/>
  <c r="AA50" i="7"/>
  <c r="AA51" i="7"/>
  <c r="AA52" i="7"/>
  <c r="AA53" i="7"/>
  <c r="AA54" i="7"/>
  <c r="AA55" i="7"/>
  <c r="AA56" i="7"/>
  <c r="AA57" i="7"/>
  <c r="AA58" i="7"/>
  <c r="AA59" i="7"/>
  <c r="AA60" i="7"/>
  <c r="AA61" i="7"/>
  <c r="AA62" i="7"/>
  <c r="AA63" i="7"/>
  <c r="AA64" i="7"/>
  <c r="AA65" i="7"/>
  <c r="AA66" i="7"/>
  <c r="AA67" i="7"/>
  <c r="AA68" i="7"/>
  <c r="AA69" i="7"/>
  <c r="AA70" i="7"/>
  <c r="AA71" i="7"/>
  <c r="AA73" i="7"/>
  <c r="AA74" i="7"/>
  <c r="AA77" i="7"/>
  <c r="AA78" i="7"/>
  <c r="AA79" i="7"/>
  <c r="AA80" i="7"/>
  <c r="AA81" i="7"/>
  <c r="AA82" i="7"/>
  <c r="AA83" i="7"/>
  <c r="AA84" i="7"/>
  <c r="AA85" i="7"/>
  <c r="AA86" i="7"/>
  <c r="AA87" i="7"/>
  <c r="AA88" i="7"/>
  <c r="AA89" i="7"/>
  <c r="AA90" i="7"/>
  <c r="AA91" i="7"/>
  <c r="AA92" i="7"/>
  <c r="AA93" i="7"/>
  <c r="AA94" i="7"/>
  <c r="AA95" i="7"/>
  <c r="AA96" i="7"/>
  <c r="AA97" i="7"/>
  <c r="AA100" i="7"/>
  <c r="AA101" i="7"/>
  <c r="AA102" i="7"/>
  <c r="AA103" i="7"/>
  <c r="AA104" i="7"/>
  <c r="AA105" i="7"/>
  <c r="AA106" i="7"/>
  <c r="AA6" i="7"/>
  <c r="X7" i="7"/>
  <c r="X10" i="7"/>
  <c r="X12" i="7"/>
  <c r="X13" i="7"/>
  <c r="X14" i="7"/>
  <c r="X16" i="7"/>
  <c r="X17" i="7"/>
  <c r="X19" i="7"/>
  <c r="X20" i="7"/>
  <c r="X21" i="7"/>
  <c r="X22" i="7"/>
  <c r="X23" i="7"/>
  <c r="X24" i="7"/>
  <c r="X25" i="7"/>
  <c r="X27" i="7"/>
  <c r="X28" i="7"/>
  <c r="X30" i="7"/>
  <c r="X31" i="7"/>
  <c r="X32" i="7"/>
  <c r="X33" i="7"/>
  <c r="X34" i="7"/>
  <c r="X38" i="7"/>
  <c r="X39" i="7"/>
  <c r="X40" i="7"/>
  <c r="X41" i="7"/>
  <c r="X42" i="7"/>
  <c r="X43" i="7"/>
  <c r="X44" i="7"/>
  <c r="X45" i="7"/>
  <c r="X46" i="7"/>
  <c r="X47" i="7"/>
  <c r="X48" i="7"/>
  <c r="X49" i="7"/>
  <c r="X50" i="7"/>
  <c r="X51" i="7"/>
  <c r="X52" i="7"/>
  <c r="X53" i="7"/>
  <c r="X54" i="7"/>
  <c r="X55" i="7"/>
  <c r="X56" i="7"/>
  <c r="X57" i="7"/>
  <c r="X58" i="7"/>
  <c r="X59" i="7"/>
  <c r="X60" i="7"/>
  <c r="X61" i="7"/>
  <c r="X62" i="7"/>
  <c r="X63" i="7"/>
  <c r="X64" i="7"/>
  <c r="X65" i="7"/>
  <c r="X66" i="7"/>
  <c r="X67" i="7"/>
  <c r="X68" i="7"/>
  <c r="X69" i="7"/>
  <c r="X70" i="7"/>
  <c r="X71" i="7"/>
  <c r="X73" i="7"/>
  <c r="X74" i="7"/>
  <c r="X77" i="7"/>
  <c r="X78" i="7"/>
  <c r="X79" i="7"/>
  <c r="X80" i="7"/>
  <c r="X81" i="7"/>
  <c r="X82" i="7"/>
  <c r="X83" i="7"/>
  <c r="X84" i="7"/>
  <c r="X85" i="7"/>
  <c r="X86" i="7"/>
  <c r="X87" i="7"/>
  <c r="X88" i="7"/>
  <c r="X89" i="7"/>
  <c r="X90" i="7"/>
  <c r="X91" i="7"/>
  <c r="X92" i="7"/>
  <c r="X93" i="7"/>
  <c r="X94" i="7"/>
  <c r="X95" i="7"/>
  <c r="X96" i="7"/>
  <c r="X97" i="7"/>
  <c r="X100" i="7"/>
  <c r="X101" i="7"/>
  <c r="X102" i="7"/>
  <c r="X104" i="7"/>
  <c r="X105" i="7"/>
  <c r="X106" i="7"/>
  <c r="X6" i="7"/>
  <c r="O7" i="7"/>
  <c r="O8" i="7"/>
  <c r="O10" i="7"/>
  <c r="O12" i="7"/>
  <c r="O13" i="7"/>
  <c r="O14" i="7"/>
  <c r="O16" i="7"/>
  <c r="O17" i="7"/>
  <c r="O19" i="7"/>
  <c r="O20" i="7"/>
  <c r="O21" i="7"/>
  <c r="O22" i="7"/>
  <c r="O23" i="7"/>
  <c r="O24" i="7"/>
  <c r="O25" i="7"/>
  <c r="O27" i="7"/>
  <c r="O28" i="7"/>
  <c r="O30" i="7"/>
  <c r="O31" i="7"/>
  <c r="O32" i="7"/>
  <c r="O33" i="7"/>
  <c r="O34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3" i="7"/>
  <c r="O74" i="7"/>
  <c r="O75" i="7"/>
  <c r="O77" i="7"/>
  <c r="O78" i="7"/>
  <c r="O79" i="7"/>
  <c r="O80" i="7"/>
  <c r="O81" i="7"/>
  <c r="O82" i="7"/>
  <c r="O83" i="7"/>
  <c r="O84" i="7"/>
  <c r="O85" i="7"/>
  <c r="O86" i="7"/>
  <c r="O87" i="7"/>
  <c r="O88" i="7"/>
  <c r="O89" i="7"/>
  <c r="O90" i="7"/>
  <c r="O91" i="7"/>
  <c r="O92" i="7"/>
  <c r="O93" i="7"/>
  <c r="O94" i="7"/>
  <c r="O95" i="7"/>
  <c r="O96" i="7"/>
  <c r="O97" i="7"/>
  <c r="O100" i="7"/>
  <c r="O101" i="7"/>
  <c r="O102" i="7"/>
  <c r="O103" i="7"/>
  <c r="O104" i="7"/>
  <c r="O105" i="7"/>
  <c r="O106" i="7"/>
  <c r="O107" i="7"/>
  <c r="O6" i="7"/>
  <c r="L7" i="7"/>
  <c r="L8" i="7"/>
  <c r="L10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7" i="7"/>
  <c r="L28" i="7"/>
  <c r="L29" i="7"/>
  <c r="L30" i="7"/>
  <c r="L31" i="7"/>
  <c r="L32" i="7"/>
  <c r="L33" i="7"/>
  <c r="L34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3" i="7"/>
  <c r="L74" i="7"/>
  <c r="L75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100" i="7"/>
  <c r="L101" i="7"/>
  <c r="L102" i="7"/>
  <c r="L103" i="7"/>
  <c r="L104" i="7"/>
  <c r="L105" i="7"/>
  <c r="L106" i="7"/>
  <c r="L107" i="7"/>
  <c r="L6" i="7"/>
  <c r="I7" i="7"/>
  <c r="I8" i="7"/>
  <c r="I10" i="7"/>
  <c r="I12" i="7"/>
  <c r="I13" i="7"/>
  <c r="I14" i="7"/>
  <c r="I16" i="7"/>
  <c r="I17" i="7"/>
  <c r="I19" i="7"/>
  <c r="I20" i="7"/>
  <c r="I21" i="7"/>
  <c r="I22" i="7"/>
  <c r="I23" i="7"/>
  <c r="I24" i="7"/>
  <c r="I25" i="7"/>
  <c r="I27" i="7"/>
  <c r="I28" i="7"/>
  <c r="I30" i="7"/>
  <c r="I31" i="7"/>
  <c r="I32" i="7"/>
  <c r="I33" i="7"/>
  <c r="I34" i="7"/>
  <c r="F34" i="7" s="1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3" i="7"/>
  <c r="I74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100" i="7"/>
  <c r="I101" i="7"/>
  <c r="I102" i="7"/>
  <c r="I103" i="7"/>
  <c r="I104" i="7"/>
  <c r="I105" i="7"/>
  <c r="I106" i="7"/>
  <c r="I107" i="7"/>
  <c r="I6" i="7"/>
  <c r="G39" i="40"/>
  <c r="H5" i="40"/>
  <c r="H6" i="40"/>
  <c r="H7" i="40"/>
  <c r="H8" i="40"/>
  <c r="H9" i="40"/>
  <c r="H10" i="40"/>
  <c r="H11" i="40"/>
  <c r="H12" i="40"/>
  <c r="H13" i="40"/>
  <c r="H14" i="40"/>
  <c r="H15" i="40"/>
  <c r="H16" i="40"/>
  <c r="H17" i="40"/>
  <c r="H18" i="40"/>
  <c r="H19" i="40"/>
  <c r="H20" i="40"/>
  <c r="H21" i="40"/>
  <c r="H22" i="40"/>
  <c r="H23" i="40"/>
  <c r="H24" i="40"/>
  <c r="H25" i="40"/>
  <c r="H26" i="40"/>
  <c r="H27" i="40"/>
  <c r="H28" i="40"/>
  <c r="H29" i="40"/>
  <c r="H30" i="40"/>
  <c r="H31" i="40"/>
  <c r="H32" i="40"/>
  <c r="H33" i="40"/>
  <c r="H34" i="40"/>
  <c r="H35" i="40"/>
  <c r="H36" i="40"/>
  <c r="H37" i="40"/>
  <c r="H38" i="40"/>
  <c r="H4" i="40"/>
  <c r="D9" i="40"/>
  <c r="D39" i="40" s="1"/>
  <c r="E12" i="37"/>
  <c r="E13" i="37"/>
  <c r="E14" i="37"/>
  <c r="E15" i="37"/>
  <c r="E16" i="37"/>
  <c r="E18" i="37" s="1"/>
  <c r="E17" i="37"/>
  <c r="E11" i="37"/>
  <c r="E5" i="37"/>
  <c r="E6" i="37"/>
  <c r="E4" i="37"/>
  <c r="O30" i="6"/>
  <c r="O31" i="6"/>
  <c r="O32" i="6"/>
  <c r="O33" i="6"/>
  <c r="O29" i="6"/>
  <c r="O27" i="6"/>
  <c r="O26" i="6"/>
  <c r="O19" i="6"/>
  <c r="O20" i="6"/>
  <c r="O21" i="6"/>
  <c r="O22" i="6"/>
  <c r="O23" i="6"/>
  <c r="O24" i="6"/>
  <c r="O18" i="6"/>
  <c r="O16" i="6"/>
  <c r="O15" i="6"/>
  <c r="O12" i="6"/>
  <c r="O13" i="6"/>
  <c r="O11" i="6"/>
  <c r="L38" i="6"/>
  <c r="L39" i="6"/>
  <c r="L40" i="6"/>
  <c r="L41" i="6"/>
  <c r="F41" i="6" s="1"/>
  <c r="L42" i="6"/>
  <c r="L43" i="6"/>
  <c r="L44" i="6"/>
  <c r="L37" i="6"/>
  <c r="L30" i="6"/>
  <c r="L31" i="6"/>
  <c r="L32" i="6"/>
  <c r="F32" i="6" s="1"/>
  <c r="L33" i="6"/>
  <c r="L29" i="6"/>
  <c r="L27" i="6"/>
  <c r="L26" i="6"/>
  <c r="L19" i="6"/>
  <c r="L20" i="6"/>
  <c r="L21" i="6"/>
  <c r="L22" i="6"/>
  <c r="L23" i="6"/>
  <c r="L24" i="6"/>
  <c r="L18" i="6"/>
  <c r="L16" i="6"/>
  <c r="L15" i="6"/>
  <c r="L12" i="6"/>
  <c r="L13" i="6"/>
  <c r="L11" i="6"/>
  <c r="I38" i="6"/>
  <c r="F38" i="6" s="1"/>
  <c r="I39" i="6"/>
  <c r="I40" i="6"/>
  <c r="I41" i="6"/>
  <c r="I42" i="6"/>
  <c r="F42" i="6" s="1"/>
  <c r="I43" i="6"/>
  <c r="I44" i="6"/>
  <c r="I37" i="6"/>
  <c r="I30" i="6"/>
  <c r="I31" i="6"/>
  <c r="I32" i="6"/>
  <c r="I33" i="6"/>
  <c r="I29" i="6"/>
  <c r="I27" i="6"/>
  <c r="I26" i="6"/>
  <c r="I19" i="6"/>
  <c r="I20" i="6"/>
  <c r="I21" i="6"/>
  <c r="I22" i="6"/>
  <c r="I23" i="6"/>
  <c r="F23" i="6" s="1"/>
  <c r="I24" i="6"/>
  <c r="I18" i="6"/>
  <c r="I16" i="6"/>
  <c r="I15" i="6"/>
  <c r="I12" i="6"/>
  <c r="I13" i="6"/>
  <c r="I11" i="6"/>
  <c r="O9" i="6"/>
  <c r="L9" i="6"/>
  <c r="I9" i="6"/>
  <c r="N7" i="6"/>
  <c r="O7" i="6"/>
  <c r="O6" i="6"/>
  <c r="O5" i="6"/>
  <c r="I6" i="6"/>
  <c r="I5" i="6"/>
  <c r="D38" i="6"/>
  <c r="E38" i="6"/>
  <c r="D39" i="6"/>
  <c r="E39" i="6"/>
  <c r="F39" i="6"/>
  <c r="D40" i="6"/>
  <c r="E40" i="6"/>
  <c r="F40" i="6"/>
  <c r="D41" i="6"/>
  <c r="E41" i="6"/>
  <c r="D42" i="6"/>
  <c r="E42" i="6"/>
  <c r="D43" i="6"/>
  <c r="E43" i="6"/>
  <c r="F43" i="6"/>
  <c r="D44" i="6"/>
  <c r="E44" i="6"/>
  <c r="F44" i="6"/>
  <c r="E37" i="6"/>
  <c r="F37" i="6"/>
  <c r="E34" i="6"/>
  <c r="D30" i="6"/>
  <c r="E30" i="6"/>
  <c r="F30" i="6"/>
  <c r="D31" i="6"/>
  <c r="E31" i="6"/>
  <c r="F31" i="6"/>
  <c r="D32" i="6"/>
  <c r="E32" i="6"/>
  <c r="D33" i="6"/>
  <c r="E33" i="6"/>
  <c r="E29" i="6"/>
  <c r="E28" i="6"/>
  <c r="D27" i="6"/>
  <c r="E27" i="6"/>
  <c r="E26" i="6"/>
  <c r="F26" i="6"/>
  <c r="D19" i="6"/>
  <c r="E19" i="6"/>
  <c r="F19" i="6"/>
  <c r="D20" i="6"/>
  <c r="E20" i="6"/>
  <c r="F20" i="6"/>
  <c r="D21" i="6"/>
  <c r="E21" i="6"/>
  <c r="F21" i="6"/>
  <c r="D22" i="6"/>
  <c r="E22" i="6"/>
  <c r="D23" i="6"/>
  <c r="E23" i="6"/>
  <c r="D24" i="6"/>
  <c r="E24" i="6"/>
  <c r="F24" i="6"/>
  <c r="E18" i="6"/>
  <c r="F18" i="6"/>
  <c r="D16" i="6"/>
  <c r="E16" i="6"/>
  <c r="F16" i="6"/>
  <c r="E15" i="6"/>
  <c r="F15" i="6"/>
  <c r="D12" i="6"/>
  <c r="E12" i="6"/>
  <c r="F12" i="6"/>
  <c r="D13" i="6"/>
  <c r="E13" i="6"/>
  <c r="F13" i="6"/>
  <c r="E11" i="6"/>
  <c r="F11" i="6"/>
  <c r="AJ6" i="5"/>
  <c r="AJ7" i="5"/>
  <c r="AJ9" i="5"/>
  <c r="AJ11" i="5"/>
  <c r="AJ12" i="5"/>
  <c r="AJ13" i="5"/>
  <c r="AJ14" i="5"/>
  <c r="AJ15" i="5"/>
  <c r="AJ16" i="5"/>
  <c r="AJ17" i="5"/>
  <c r="AJ18" i="5"/>
  <c r="AJ19" i="5"/>
  <c r="AJ20" i="5"/>
  <c r="AJ21" i="5"/>
  <c r="AJ22" i="5"/>
  <c r="AJ23" i="5"/>
  <c r="AJ24" i="5"/>
  <c r="AJ25" i="5"/>
  <c r="AJ26" i="5"/>
  <c r="AJ27" i="5"/>
  <c r="AJ28" i="5"/>
  <c r="AJ29" i="5"/>
  <c r="AJ30" i="5"/>
  <c r="AJ31" i="5"/>
  <c r="AJ32" i="5"/>
  <c r="AJ33" i="5"/>
  <c r="AJ34" i="5"/>
  <c r="AJ35" i="5"/>
  <c r="AJ37" i="5"/>
  <c r="AJ38" i="5"/>
  <c r="AJ39" i="5"/>
  <c r="AJ40" i="5"/>
  <c r="AJ41" i="5"/>
  <c r="AJ42" i="5"/>
  <c r="AJ43" i="5"/>
  <c r="AJ44" i="5"/>
  <c r="AJ45" i="5"/>
  <c r="AJ46" i="5"/>
  <c r="AJ47" i="5"/>
  <c r="AJ48" i="5"/>
  <c r="AJ49" i="5"/>
  <c r="AJ50" i="5"/>
  <c r="AJ51" i="5"/>
  <c r="AJ52" i="5"/>
  <c r="AJ54" i="5"/>
  <c r="AJ55" i="5"/>
  <c r="AJ56" i="5"/>
  <c r="AJ57" i="5"/>
  <c r="AJ58" i="5"/>
  <c r="AJ59" i="5"/>
  <c r="AJ60" i="5"/>
  <c r="AJ61" i="5"/>
  <c r="AJ62" i="5"/>
  <c r="AJ63" i="5"/>
  <c r="AJ65" i="5"/>
  <c r="AJ5" i="5"/>
  <c r="AG6" i="5"/>
  <c r="AG7" i="5"/>
  <c r="AG9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G51" i="5"/>
  <c r="AG52" i="5"/>
  <c r="AG54" i="5"/>
  <c r="AG55" i="5"/>
  <c r="AG56" i="5"/>
  <c r="AG57" i="5"/>
  <c r="AG58" i="5"/>
  <c r="AG59" i="5"/>
  <c r="AG60" i="5"/>
  <c r="AG61" i="5"/>
  <c r="AG62" i="5"/>
  <c r="AG63" i="5"/>
  <c r="AG65" i="5"/>
  <c r="AG5" i="5"/>
  <c r="AA6" i="5"/>
  <c r="AA7" i="5"/>
  <c r="AA9" i="5"/>
  <c r="AA11" i="5"/>
  <c r="AA12" i="5"/>
  <c r="AA13" i="5"/>
  <c r="AA15" i="5"/>
  <c r="AA16" i="5"/>
  <c r="AA17" i="5"/>
  <c r="AA18" i="5"/>
  <c r="AA19" i="5"/>
  <c r="AA20" i="5"/>
  <c r="AA21" i="5"/>
  <c r="AA22" i="5"/>
  <c r="AA23" i="5"/>
  <c r="AA24" i="5"/>
  <c r="AA26" i="5"/>
  <c r="AA27" i="5"/>
  <c r="AA28" i="5"/>
  <c r="AA29" i="5"/>
  <c r="AA30" i="5"/>
  <c r="AA31" i="5"/>
  <c r="AA32" i="5"/>
  <c r="AA33" i="5"/>
  <c r="AA37" i="5"/>
  <c r="AA38" i="5"/>
  <c r="AA39" i="5"/>
  <c r="AA40" i="5"/>
  <c r="AA41" i="5"/>
  <c r="AA42" i="5"/>
  <c r="AA43" i="5"/>
  <c r="AA44" i="5"/>
  <c r="AA45" i="5"/>
  <c r="AA46" i="5"/>
  <c r="AA47" i="5"/>
  <c r="AA48" i="5"/>
  <c r="AA49" i="5"/>
  <c r="AA50" i="5"/>
  <c r="AA51" i="5"/>
  <c r="AA52" i="5"/>
  <c r="AA54" i="5"/>
  <c r="AA55" i="5"/>
  <c r="AA56" i="5"/>
  <c r="AA57" i="5"/>
  <c r="AA58" i="5"/>
  <c r="AA59" i="5"/>
  <c r="AA60" i="5"/>
  <c r="AA61" i="5"/>
  <c r="AA62" i="5"/>
  <c r="AA63" i="5"/>
  <c r="AA5" i="5"/>
  <c r="X6" i="5"/>
  <c r="X9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6" i="5"/>
  <c r="X27" i="5"/>
  <c r="X29" i="5"/>
  <c r="X30" i="5"/>
  <c r="X31" i="5"/>
  <c r="X32" i="5"/>
  <c r="X33" i="5"/>
  <c r="X37" i="5"/>
  <c r="X38" i="5"/>
  <c r="X39" i="5"/>
  <c r="X40" i="5"/>
  <c r="X41" i="5"/>
  <c r="X42" i="5"/>
  <c r="X43" i="5"/>
  <c r="X44" i="5"/>
  <c r="X45" i="5"/>
  <c r="X46" i="5"/>
  <c r="X47" i="5"/>
  <c r="X48" i="5"/>
  <c r="X49" i="5"/>
  <c r="X50" i="5"/>
  <c r="X51" i="5"/>
  <c r="X52" i="5"/>
  <c r="X54" i="5"/>
  <c r="X55" i="5"/>
  <c r="X56" i="5"/>
  <c r="X57" i="5"/>
  <c r="X58" i="5"/>
  <c r="X59" i="5"/>
  <c r="X60" i="5"/>
  <c r="X61" i="5"/>
  <c r="X62" i="5"/>
  <c r="X63" i="5"/>
  <c r="X5" i="5"/>
  <c r="U6" i="5"/>
  <c r="U7" i="5"/>
  <c r="U9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U37" i="5"/>
  <c r="U38" i="5"/>
  <c r="U39" i="5"/>
  <c r="U40" i="5"/>
  <c r="U41" i="5"/>
  <c r="U42" i="5"/>
  <c r="U43" i="5"/>
  <c r="U44" i="5"/>
  <c r="U45" i="5"/>
  <c r="U46" i="5"/>
  <c r="U47" i="5"/>
  <c r="U48" i="5"/>
  <c r="U49" i="5"/>
  <c r="U50" i="5"/>
  <c r="U51" i="5"/>
  <c r="U52" i="5"/>
  <c r="U54" i="5"/>
  <c r="U55" i="5"/>
  <c r="U56" i="5"/>
  <c r="U57" i="5"/>
  <c r="U59" i="5"/>
  <c r="U60" i="5"/>
  <c r="U61" i="5"/>
  <c r="U62" i="5"/>
  <c r="U63" i="5"/>
  <c r="U5" i="5"/>
  <c r="R6" i="5"/>
  <c r="R9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6" i="5"/>
  <c r="R27" i="5"/>
  <c r="R29" i="5"/>
  <c r="R30" i="5"/>
  <c r="R31" i="5"/>
  <c r="R32" i="5"/>
  <c r="R33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4" i="5"/>
  <c r="R55" i="5"/>
  <c r="R56" i="5"/>
  <c r="R57" i="5"/>
  <c r="R58" i="5"/>
  <c r="R59" i="5"/>
  <c r="R60" i="5"/>
  <c r="R61" i="5"/>
  <c r="R62" i="5"/>
  <c r="R63" i="5"/>
  <c r="R5" i="5"/>
  <c r="O6" i="5"/>
  <c r="O7" i="5"/>
  <c r="O9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4" i="5"/>
  <c r="O55" i="5"/>
  <c r="O56" i="5"/>
  <c r="O57" i="5"/>
  <c r="O58" i="5"/>
  <c r="O59" i="5"/>
  <c r="O60" i="5"/>
  <c r="O61" i="5"/>
  <c r="O62" i="5"/>
  <c r="O63" i="5"/>
  <c r="O65" i="5"/>
  <c r="O5" i="5"/>
  <c r="L6" i="5"/>
  <c r="L7" i="5"/>
  <c r="L9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4" i="5"/>
  <c r="L55" i="5"/>
  <c r="L56" i="5"/>
  <c r="L57" i="5"/>
  <c r="L58" i="5"/>
  <c r="L59" i="5"/>
  <c r="L60" i="5"/>
  <c r="L61" i="5"/>
  <c r="L62" i="5"/>
  <c r="L63" i="5"/>
  <c r="L5" i="5"/>
  <c r="I6" i="5"/>
  <c r="I7" i="5"/>
  <c r="I9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4" i="5"/>
  <c r="I55" i="5"/>
  <c r="I56" i="5"/>
  <c r="I57" i="5"/>
  <c r="I58" i="5"/>
  <c r="I59" i="5"/>
  <c r="I60" i="5"/>
  <c r="I61" i="5"/>
  <c r="I62" i="5"/>
  <c r="I63" i="5"/>
  <c r="I5" i="5"/>
  <c r="S65" i="5"/>
  <c r="S63" i="5"/>
  <c r="T63" i="5"/>
  <c r="H58" i="5"/>
  <c r="K58" i="5"/>
  <c r="M58" i="5"/>
  <c r="N58" i="5"/>
  <c r="Q58" i="5"/>
  <c r="S58" i="5"/>
  <c r="T58" i="5"/>
  <c r="T65" i="5" s="1"/>
  <c r="W58" i="5"/>
  <c r="Z58" i="5"/>
  <c r="AE58" i="5"/>
  <c r="AF58" i="5"/>
  <c r="AH58" i="5"/>
  <c r="AI58" i="5"/>
  <c r="S52" i="5"/>
  <c r="T52" i="5"/>
  <c r="W52" i="5"/>
  <c r="S34" i="5"/>
  <c r="T34" i="5"/>
  <c r="T35" i="5" s="1"/>
  <c r="S35" i="5"/>
  <c r="S28" i="5"/>
  <c r="T28" i="5"/>
  <c r="W28" i="5"/>
  <c r="S25" i="5"/>
  <c r="T25" i="5"/>
  <c r="W25" i="5"/>
  <c r="X25" i="5" s="1"/>
  <c r="S17" i="5"/>
  <c r="T17" i="5"/>
  <c r="S14" i="5"/>
  <c r="T14" i="5"/>
  <c r="X6" i="41"/>
  <c r="X7" i="41"/>
  <c r="X9" i="41"/>
  <c r="X11" i="41"/>
  <c r="X12" i="41"/>
  <c r="X13" i="41"/>
  <c r="X14" i="41"/>
  <c r="X15" i="41"/>
  <c r="X16" i="41"/>
  <c r="X17" i="41"/>
  <c r="X18" i="41"/>
  <c r="X19" i="41"/>
  <c r="X20" i="41"/>
  <c r="X21" i="41"/>
  <c r="X22" i="41"/>
  <c r="X23" i="41"/>
  <c r="X24" i="41"/>
  <c r="X25" i="41"/>
  <c r="X26" i="41"/>
  <c r="X27" i="41"/>
  <c r="X28" i="41"/>
  <c r="X29" i="41"/>
  <c r="X30" i="41"/>
  <c r="X31" i="41"/>
  <c r="X32" i="41"/>
  <c r="X33" i="41"/>
  <c r="X34" i="41"/>
  <c r="X35" i="41"/>
  <c r="X38" i="41"/>
  <c r="X39" i="41"/>
  <c r="X40" i="41"/>
  <c r="X41" i="41"/>
  <c r="X42" i="41"/>
  <c r="X43" i="41"/>
  <c r="X44" i="41"/>
  <c r="X46" i="41"/>
  <c r="X47" i="41"/>
  <c r="X48" i="41"/>
  <c r="X49" i="41"/>
  <c r="X50" i="41"/>
  <c r="X51" i="41"/>
  <c r="X52" i="41"/>
  <c r="X53" i="41"/>
  <c r="X55" i="41"/>
  <c r="X56" i="41"/>
  <c r="X57" i="41"/>
  <c r="X58" i="41"/>
  <c r="X59" i="41"/>
  <c r="X61" i="41"/>
  <c r="X62" i="41"/>
  <c r="X63" i="41"/>
  <c r="X64" i="41"/>
  <c r="X66" i="41"/>
  <c r="X68" i="41"/>
  <c r="X5" i="41"/>
  <c r="D6" i="41"/>
  <c r="E6" i="41"/>
  <c r="D7" i="41"/>
  <c r="D9" i="41"/>
  <c r="E9" i="41"/>
  <c r="D11" i="41"/>
  <c r="E11" i="41"/>
  <c r="D12" i="41"/>
  <c r="E12" i="41"/>
  <c r="D13" i="41"/>
  <c r="E13" i="41"/>
  <c r="D14" i="41"/>
  <c r="E14" i="41"/>
  <c r="D15" i="41"/>
  <c r="E15" i="41"/>
  <c r="D16" i="41"/>
  <c r="E16" i="41"/>
  <c r="D17" i="41"/>
  <c r="J10" i="8" s="1"/>
  <c r="E17" i="41"/>
  <c r="D18" i="41"/>
  <c r="E18" i="41"/>
  <c r="D19" i="41"/>
  <c r="E19" i="41"/>
  <c r="D20" i="41"/>
  <c r="E20" i="41"/>
  <c r="D21" i="41"/>
  <c r="E21" i="41"/>
  <c r="D22" i="41"/>
  <c r="E22" i="41"/>
  <c r="D23" i="41"/>
  <c r="E23" i="41"/>
  <c r="D24" i="41"/>
  <c r="E24" i="41"/>
  <c r="D25" i="41"/>
  <c r="J11" i="8" s="1"/>
  <c r="D26" i="41"/>
  <c r="E26" i="41"/>
  <c r="D27" i="41"/>
  <c r="E27" i="41"/>
  <c r="D28" i="41"/>
  <c r="J12" i="8" s="1"/>
  <c r="D29" i="41"/>
  <c r="E29" i="41"/>
  <c r="D30" i="41"/>
  <c r="E30" i="41"/>
  <c r="D31" i="41"/>
  <c r="E31" i="41"/>
  <c r="D32" i="41"/>
  <c r="E32" i="41"/>
  <c r="D33" i="41"/>
  <c r="E33" i="41"/>
  <c r="D34" i="41"/>
  <c r="J13" i="8" s="1"/>
  <c r="D35" i="41"/>
  <c r="D38" i="41"/>
  <c r="E38" i="41"/>
  <c r="D39" i="41"/>
  <c r="E39" i="41"/>
  <c r="D40" i="41"/>
  <c r="E40" i="41"/>
  <c r="D41" i="41"/>
  <c r="E41" i="41"/>
  <c r="D42" i="41"/>
  <c r="E42" i="41"/>
  <c r="D43" i="41"/>
  <c r="E43" i="41"/>
  <c r="D44" i="41"/>
  <c r="E44" i="41"/>
  <c r="D46" i="41"/>
  <c r="E46" i="41"/>
  <c r="D47" i="41"/>
  <c r="E47" i="41"/>
  <c r="D48" i="41"/>
  <c r="E48" i="41"/>
  <c r="D49" i="41"/>
  <c r="E49" i="41"/>
  <c r="D50" i="41"/>
  <c r="E50" i="41"/>
  <c r="D51" i="41"/>
  <c r="E51" i="41"/>
  <c r="D52" i="41"/>
  <c r="E52" i="41"/>
  <c r="D53" i="41"/>
  <c r="D55" i="41"/>
  <c r="E55" i="41"/>
  <c r="D56" i="41"/>
  <c r="E56" i="41"/>
  <c r="D57" i="41"/>
  <c r="E57" i="41"/>
  <c r="D58" i="41"/>
  <c r="E58" i="41"/>
  <c r="D59" i="41"/>
  <c r="E59" i="41"/>
  <c r="D61" i="41"/>
  <c r="E61" i="41"/>
  <c r="D62" i="41"/>
  <c r="E62" i="41"/>
  <c r="D63" i="41"/>
  <c r="E63" i="41"/>
  <c r="D64" i="41"/>
  <c r="E64" i="41"/>
  <c r="D66" i="41"/>
  <c r="D68" i="41"/>
  <c r="E68" i="41"/>
  <c r="E5" i="41"/>
  <c r="D5" i="41"/>
  <c r="R9" i="41"/>
  <c r="R11" i="41"/>
  <c r="R12" i="41"/>
  <c r="R13" i="41"/>
  <c r="R15" i="41"/>
  <c r="R16" i="41"/>
  <c r="R18" i="41"/>
  <c r="R19" i="41"/>
  <c r="R20" i="41"/>
  <c r="R21" i="41"/>
  <c r="R22" i="41"/>
  <c r="R23" i="41"/>
  <c r="R24" i="41"/>
  <c r="R26" i="41"/>
  <c r="R27" i="41"/>
  <c r="R29" i="41"/>
  <c r="R30" i="41"/>
  <c r="R31" i="41"/>
  <c r="R32" i="41"/>
  <c r="R33" i="41"/>
  <c r="R38" i="41"/>
  <c r="R39" i="41"/>
  <c r="R40" i="41"/>
  <c r="R41" i="41"/>
  <c r="R42" i="41"/>
  <c r="R43" i="41"/>
  <c r="R44" i="41"/>
  <c r="R46" i="41"/>
  <c r="R47" i="41"/>
  <c r="R48" i="41"/>
  <c r="R49" i="41"/>
  <c r="R50" i="41"/>
  <c r="R51" i="41"/>
  <c r="R52" i="41"/>
  <c r="R55" i="41"/>
  <c r="R56" i="41"/>
  <c r="R57" i="41"/>
  <c r="R58" i="41"/>
  <c r="R59" i="41"/>
  <c r="R61" i="41"/>
  <c r="R62" i="41"/>
  <c r="R63" i="41"/>
  <c r="R5" i="41"/>
  <c r="O68" i="41"/>
  <c r="O6" i="41"/>
  <c r="O9" i="41"/>
  <c r="O11" i="41"/>
  <c r="O12" i="41"/>
  <c r="O13" i="41"/>
  <c r="O15" i="41"/>
  <c r="O16" i="41"/>
  <c r="O18" i="41"/>
  <c r="O19" i="41"/>
  <c r="O20" i="41"/>
  <c r="O21" i="41"/>
  <c r="O22" i="41"/>
  <c r="O23" i="41"/>
  <c r="O24" i="41"/>
  <c r="O26" i="41"/>
  <c r="O27" i="41"/>
  <c r="O29" i="41"/>
  <c r="O30" i="41"/>
  <c r="O31" i="41"/>
  <c r="O32" i="41"/>
  <c r="O33" i="41"/>
  <c r="O38" i="41"/>
  <c r="O39" i="41"/>
  <c r="O40" i="41"/>
  <c r="O41" i="41"/>
  <c r="O42" i="41"/>
  <c r="O43" i="41"/>
  <c r="O44" i="41"/>
  <c r="O46" i="41"/>
  <c r="O47" i="41"/>
  <c r="O48" i="41"/>
  <c r="O49" i="41"/>
  <c r="O50" i="41"/>
  <c r="O51" i="41"/>
  <c r="O52" i="41"/>
  <c r="O55" i="41"/>
  <c r="O56" i="41"/>
  <c r="O57" i="41"/>
  <c r="O58" i="41"/>
  <c r="O59" i="41"/>
  <c r="O61" i="41"/>
  <c r="O62" i="41"/>
  <c r="O63" i="41"/>
  <c r="O5" i="41"/>
  <c r="L6" i="41"/>
  <c r="L9" i="41"/>
  <c r="L11" i="41"/>
  <c r="L12" i="41"/>
  <c r="F12" i="41" s="1"/>
  <c r="L13" i="41"/>
  <c r="L15" i="41"/>
  <c r="F15" i="41" s="1"/>
  <c r="L16" i="41"/>
  <c r="L18" i="41"/>
  <c r="L19" i="41"/>
  <c r="L20" i="41"/>
  <c r="L21" i="41"/>
  <c r="L22" i="41"/>
  <c r="L23" i="41"/>
  <c r="L24" i="41"/>
  <c r="L26" i="41"/>
  <c r="L27" i="41"/>
  <c r="L29" i="41"/>
  <c r="L30" i="41"/>
  <c r="L31" i="41"/>
  <c r="L32" i="41"/>
  <c r="L33" i="41"/>
  <c r="L38" i="41"/>
  <c r="L39" i="41"/>
  <c r="L40" i="41"/>
  <c r="F40" i="41" s="1"/>
  <c r="L41" i="41"/>
  <c r="L42" i="41"/>
  <c r="L43" i="41"/>
  <c r="L44" i="41"/>
  <c r="L46" i="41"/>
  <c r="L47" i="41"/>
  <c r="L48" i="41"/>
  <c r="L49" i="41"/>
  <c r="L50" i="41"/>
  <c r="L51" i="41"/>
  <c r="L52" i="41"/>
  <c r="L56" i="41"/>
  <c r="L57" i="41"/>
  <c r="L58" i="41"/>
  <c r="L61" i="41"/>
  <c r="L62" i="41"/>
  <c r="F62" i="41" s="1"/>
  <c r="L63" i="41"/>
  <c r="L68" i="41"/>
  <c r="L5" i="41"/>
  <c r="I61" i="41"/>
  <c r="I62" i="41"/>
  <c r="I63" i="41"/>
  <c r="I68" i="41"/>
  <c r="I6" i="41"/>
  <c r="I9" i="41"/>
  <c r="I11" i="41"/>
  <c r="I12" i="41"/>
  <c r="I13" i="41"/>
  <c r="I15" i="41"/>
  <c r="I16" i="41"/>
  <c r="F16" i="41" s="1"/>
  <c r="I18" i="41"/>
  <c r="I19" i="41"/>
  <c r="F19" i="41" s="1"/>
  <c r="I20" i="41"/>
  <c r="I21" i="41"/>
  <c r="I22" i="41"/>
  <c r="I23" i="41"/>
  <c r="F23" i="41" s="1"/>
  <c r="I24" i="41"/>
  <c r="I26" i="41"/>
  <c r="I27" i="41"/>
  <c r="I29" i="41"/>
  <c r="I30" i="41"/>
  <c r="I31" i="41"/>
  <c r="I32" i="41"/>
  <c r="I33" i="41"/>
  <c r="I38" i="41"/>
  <c r="I39" i="41"/>
  <c r="I40" i="41"/>
  <c r="I41" i="41"/>
  <c r="I42" i="41"/>
  <c r="I43" i="41"/>
  <c r="I44" i="41"/>
  <c r="I46" i="41"/>
  <c r="F46" i="41" s="1"/>
  <c r="I48" i="41"/>
  <c r="I49" i="41"/>
  <c r="I50" i="41"/>
  <c r="I51" i="41"/>
  <c r="I52" i="41"/>
  <c r="I55" i="41"/>
  <c r="I56" i="41"/>
  <c r="I57" i="41"/>
  <c r="I58" i="41"/>
  <c r="I59" i="41"/>
  <c r="I5" i="41"/>
  <c r="W63" i="5"/>
  <c r="Z63" i="5"/>
  <c r="AE63" i="5"/>
  <c r="AF63" i="5"/>
  <c r="AH63" i="5"/>
  <c r="Q63" i="5"/>
  <c r="Q52" i="5"/>
  <c r="R52" i="5" s="1"/>
  <c r="Q34" i="5"/>
  <c r="R34" i="5" s="1"/>
  <c r="Q28" i="5"/>
  <c r="R28" i="5" s="1"/>
  <c r="Q25" i="5"/>
  <c r="R25" i="5" s="1"/>
  <c r="Q17" i="5"/>
  <c r="Q14" i="5"/>
  <c r="K7" i="6"/>
  <c r="T64" i="41"/>
  <c r="T53" i="41"/>
  <c r="T34" i="41"/>
  <c r="T28" i="41"/>
  <c r="T25" i="41"/>
  <c r="T14" i="41"/>
  <c r="T17" i="41"/>
  <c r="U17" i="41"/>
  <c r="T7" i="41"/>
  <c r="U6" i="41"/>
  <c r="U9" i="41"/>
  <c r="U11" i="41"/>
  <c r="U12" i="41"/>
  <c r="U13" i="41"/>
  <c r="U18" i="41"/>
  <c r="U19" i="41"/>
  <c r="U20" i="41"/>
  <c r="U21" i="41"/>
  <c r="U22" i="41"/>
  <c r="U23" i="41"/>
  <c r="U24" i="41"/>
  <c r="U26" i="41"/>
  <c r="U27" i="41"/>
  <c r="U29" i="41"/>
  <c r="U30" i="41"/>
  <c r="U31" i="41"/>
  <c r="U32" i="41"/>
  <c r="U33" i="41"/>
  <c r="U38" i="41"/>
  <c r="U39" i="41"/>
  <c r="U40" i="41"/>
  <c r="U41" i="41"/>
  <c r="U42" i="41"/>
  <c r="U43" i="41"/>
  <c r="U44" i="41"/>
  <c r="U46" i="41"/>
  <c r="U47" i="41"/>
  <c r="U48" i="41"/>
  <c r="U49" i="41"/>
  <c r="U50" i="41"/>
  <c r="U51" i="41"/>
  <c r="U52" i="41"/>
  <c r="U55" i="41"/>
  <c r="U56" i="41"/>
  <c r="U57" i="41"/>
  <c r="U58" i="41"/>
  <c r="U59" i="41"/>
  <c r="U61" i="41"/>
  <c r="U62" i="41"/>
  <c r="U63" i="41"/>
  <c r="U68" i="41"/>
  <c r="U5" i="41"/>
  <c r="F73" i="7" l="1"/>
  <c r="F97" i="7"/>
  <c r="F93" i="7"/>
  <c r="F89" i="7"/>
  <c r="F85" i="7"/>
  <c r="F81" i="7"/>
  <c r="F77" i="7"/>
  <c r="F71" i="7"/>
  <c r="F22" i="7"/>
  <c r="F14" i="7"/>
  <c r="F67" i="7"/>
  <c r="F59" i="7"/>
  <c r="F55" i="7"/>
  <c r="F51" i="7"/>
  <c r="F47" i="7"/>
  <c r="F43" i="7"/>
  <c r="F39" i="7"/>
  <c r="Q35" i="5"/>
  <c r="R35" i="5" s="1"/>
  <c r="F6" i="7"/>
  <c r="AA3" i="8" s="1"/>
  <c r="H39" i="40"/>
  <c r="F74" i="7"/>
  <c r="F106" i="7"/>
  <c r="F102" i="7"/>
  <c r="X28" i="5"/>
  <c r="X7" i="5"/>
  <c r="U65" i="5"/>
  <c r="U58" i="5"/>
  <c r="F56" i="41"/>
  <c r="F50" i="41"/>
  <c r="F44" i="41"/>
  <c r="F32" i="41"/>
  <c r="F27" i="41"/>
  <c r="F22" i="41"/>
  <c r="F18" i="41"/>
  <c r="F39" i="41"/>
  <c r="F31" i="41"/>
  <c r="F11" i="41"/>
  <c r="F63" i="41"/>
  <c r="F58" i="41"/>
  <c r="F26" i="41"/>
  <c r="U7" i="41"/>
  <c r="F52" i="41"/>
  <c r="F48" i="41"/>
  <c r="F43" i="41"/>
  <c r="F42" i="41"/>
  <c r="F38" i="41"/>
  <c r="F30" i="41"/>
  <c r="I7" i="18" s="1"/>
  <c r="F20" i="41"/>
  <c r="F51" i="41"/>
  <c r="F5" i="41"/>
  <c r="F49" i="41"/>
  <c r="F9" i="41"/>
  <c r="F57" i="41"/>
  <c r="F33" i="41"/>
  <c r="F29" i="41"/>
  <c r="F21" i="41"/>
  <c r="F13" i="41"/>
  <c r="F41" i="41"/>
  <c r="F24" i="41"/>
  <c r="F61" i="41"/>
  <c r="D23" i="9"/>
  <c r="D5" i="17"/>
  <c r="D7" i="17" s="1"/>
  <c r="D4" i="18" s="1"/>
  <c r="F101" i="7"/>
  <c r="F92" i="7"/>
  <c r="F84" i="7"/>
  <c r="F80" i="7"/>
  <c r="F70" i="7"/>
  <c r="F62" i="7"/>
  <c r="F54" i="7"/>
  <c r="F50" i="7"/>
  <c r="F42" i="7"/>
  <c r="F33" i="7"/>
  <c r="F21" i="7"/>
  <c r="F7" i="7"/>
  <c r="AA4" i="8" s="1"/>
  <c r="F104" i="7"/>
  <c r="F100" i="7"/>
  <c r="F95" i="7"/>
  <c r="F91" i="7"/>
  <c r="F87" i="7"/>
  <c r="F83" i="7"/>
  <c r="F79" i="7"/>
  <c r="F69" i="7"/>
  <c r="F65" i="7"/>
  <c r="F61" i="7"/>
  <c r="F57" i="7"/>
  <c r="F53" i="7"/>
  <c r="F49" i="7"/>
  <c r="F45" i="7"/>
  <c r="F41" i="7"/>
  <c r="F32" i="7"/>
  <c r="F28" i="7"/>
  <c r="F24" i="7"/>
  <c r="F20" i="7"/>
  <c r="F16" i="7"/>
  <c r="F12" i="7"/>
  <c r="I14" i="18"/>
  <c r="F64" i="7"/>
  <c r="I11" i="18"/>
  <c r="F105" i="7"/>
  <c r="F96" i="7"/>
  <c r="F88" i="7"/>
  <c r="F66" i="7"/>
  <c r="F58" i="7"/>
  <c r="F46" i="7"/>
  <c r="F38" i="7"/>
  <c r="F25" i="7"/>
  <c r="F17" i="7"/>
  <c r="F13" i="7"/>
  <c r="F94" i="7"/>
  <c r="F90" i="7"/>
  <c r="F86" i="7"/>
  <c r="F82" i="7"/>
  <c r="F78" i="7"/>
  <c r="F68" i="7"/>
  <c r="F60" i="7"/>
  <c r="F56" i="7"/>
  <c r="F52" i="7"/>
  <c r="F48" i="7"/>
  <c r="F44" i="7"/>
  <c r="F40" i="7"/>
  <c r="F31" i="7"/>
  <c r="F27" i="7"/>
  <c r="F23" i="7"/>
  <c r="F19" i="7"/>
  <c r="F10" i="7"/>
  <c r="AA7" i="8" s="1"/>
  <c r="D20" i="17"/>
  <c r="D52" i="17" s="1"/>
  <c r="D8" i="17"/>
  <c r="D54" i="9"/>
  <c r="D5" i="18" s="1"/>
  <c r="F33" i="6"/>
  <c r="F29" i="6"/>
  <c r="F27" i="6"/>
  <c r="F22" i="6"/>
  <c r="U28" i="41"/>
  <c r="U25" i="41"/>
  <c r="U64" i="41"/>
  <c r="U34" i="41"/>
  <c r="U14" i="41"/>
  <c r="T35" i="41"/>
  <c r="T66" i="41" s="1"/>
  <c r="U53" i="41"/>
  <c r="Q65" i="5"/>
  <c r="R65" i="5" s="1"/>
  <c r="AF63" i="7"/>
  <c r="D3" i="18" l="1"/>
  <c r="D16" i="18" s="1"/>
  <c r="D4" i="17"/>
  <c r="AF75" i="7"/>
  <c r="E63" i="7"/>
  <c r="Z19" i="8" s="1"/>
  <c r="E19" i="8" s="1"/>
  <c r="AG63" i="7"/>
  <c r="F63" i="7" s="1"/>
  <c r="AA19" i="8" s="1"/>
  <c r="F19" i="8" s="1"/>
  <c r="U35" i="41"/>
  <c r="U66" i="41" s="1"/>
  <c r="E36" i="17" l="1"/>
  <c r="B31" i="30" s="1"/>
  <c r="I10" i="18"/>
  <c r="D36" i="17"/>
  <c r="H10" i="18"/>
  <c r="AG75" i="7"/>
  <c r="L6" i="6"/>
  <c r="L5" i="6"/>
  <c r="E7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11" i="1"/>
  <c r="F9" i="1"/>
  <c r="F6" i="1"/>
  <c r="F5" i="1"/>
  <c r="D26" i="9"/>
  <c r="D37" i="9" s="1"/>
  <c r="D75" i="9"/>
  <c r="D78" i="9" s="1"/>
  <c r="D79" i="9" s="1"/>
  <c r="F35" i="1" l="1"/>
  <c r="L7" i="6"/>
  <c r="D72" i="9"/>
  <c r="Z52" i="5"/>
  <c r="M17" i="5"/>
  <c r="N17" i="5"/>
  <c r="W17" i="5"/>
  <c r="Z17" i="5"/>
  <c r="AE17" i="5"/>
  <c r="AF17" i="5"/>
  <c r="M14" i="5"/>
  <c r="N14" i="5"/>
  <c r="W14" i="5"/>
  <c r="Z14" i="5"/>
  <c r="AE14" i="5"/>
  <c r="AF14" i="5"/>
  <c r="Z34" i="5"/>
  <c r="AA34" i="5" s="1"/>
  <c r="Z28" i="5"/>
  <c r="AE28" i="5"/>
  <c r="Z25" i="5"/>
  <c r="AE25" i="5"/>
  <c r="E5" i="40"/>
  <c r="E6" i="40"/>
  <c r="E7" i="40"/>
  <c r="E8" i="40"/>
  <c r="E10" i="40"/>
  <c r="E11" i="40"/>
  <c r="E12" i="40"/>
  <c r="E13" i="40"/>
  <c r="E14" i="40"/>
  <c r="E15" i="40"/>
  <c r="E16" i="40"/>
  <c r="E9" i="40" s="1"/>
  <c r="E17" i="40"/>
  <c r="E18" i="40"/>
  <c r="E19" i="40"/>
  <c r="E4" i="40"/>
  <c r="E39" i="40" l="1"/>
  <c r="AA25" i="5"/>
  <c r="AA14" i="5"/>
  <c r="D15" i="17"/>
  <c r="D19" i="17" s="1"/>
  <c r="D21" i="18"/>
  <c r="D20" i="18" s="1"/>
  <c r="D27" i="18" s="1"/>
  <c r="D28" i="18" s="1"/>
  <c r="Z35" i="5"/>
  <c r="D25" i="17" l="1"/>
  <c r="Z65" i="5"/>
  <c r="AA65" i="5" s="1"/>
  <c r="AA35" i="5"/>
  <c r="E64" i="14"/>
  <c r="F61" i="14"/>
  <c r="I65" i="58" s="1"/>
  <c r="F65" i="58" s="1"/>
  <c r="AI11" i="57" l="1"/>
  <c r="V11" i="57"/>
  <c r="AG10" i="57"/>
  <c r="AF12" i="57"/>
  <c r="AD10" i="57"/>
  <c r="AC10" i="57"/>
  <c r="W10" i="57"/>
  <c r="U10" i="57"/>
  <c r="S10" i="57"/>
  <c r="O10" i="57"/>
  <c r="N10" i="57"/>
  <c r="M10" i="57"/>
  <c r="K10" i="57"/>
  <c r="F10" i="57"/>
  <c r="AI9" i="57"/>
  <c r="V9" i="57"/>
  <c r="AI8" i="57"/>
  <c r="V8" i="57"/>
  <c r="AB10" i="57"/>
  <c r="AA10" i="57"/>
  <c r="J10" i="57"/>
  <c r="I10" i="57"/>
  <c r="H10" i="57"/>
  <c r="V6" i="57"/>
  <c r="AD12" i="57"/>
  <c r="AC19" i="54"/>
  <c r="AB19" i="54"/>
  <c r="AH7" i="57" s="1"/>
  <c r="AH10" i="57" s="1"/>
  <c r="AA19" i="54"/>
  <c r="Z19" i="54"/>
  <c r="Y19" i="54"/>
  <c r="X19" i="54"/>
  <c r="W19" i="54"/>
  <c r="Z7" i="57" s="1"/>
  <c r="Z10" i="57" s="1"/>
  <c r="V19" i="54"/>
  <c r="Y7" i="57" s="1"/>
  <c r="Y10" i="57" s="1"/>
  <c r="U19" i="54"/>
  <c r="X7" i="57" s="1"/>
  <c r="AI7" i="57" s="1"/>
  <c r="T19" i="54"/>
  <c r="R19" i="54"/>
  <c r="Q19" i="54"/>
  <c r="P19" i="54"/>
  <c r="O19" i="54"/>
  <c r="N19" i="54"/>
  <c r="G7" i="57" s="1"/>
  <c r="G10" i="57" s="1"/>
  <c r="M19" i="54"/>
  <c r="E7" i="57" s="1"/>
  <c r="E10" i="57" s="1"/>
  <c r="L19" i="54"/>
  <c r="K19" i="54"/>
  <c r="J19" i="54"/>
  <c r="I19" i="54"/>
  <c r="H19" i="54"/>
  <c r="G19" i="54"/>
  <c r="F19" i="54"/>
  <c r="D7" i="57" s="1"/>
  <c r="D10" i="57" s="1"/>
  <c r="E19" i="54"/>
  <c r="C7" i="57" s="1"/>
  <c r="AD18" i="54"/>
  <c r="S18" i="54"/>
  <c r="AD17" i="54"/>
  <c r="S17" i="54"/>
  <c r="AD16" i="54"/>
  <c r="S16" i="54"/>
  <c r="AD15" i="54"/>
  <c r="S15" i="54"/>
  <c r="AD14" i="54"/>
  <c r="S14" i="54"/>
  <c r="AD13" i="54"/>
  <c r="S13" i="54"/>
  <c r="AD12" i="54"/>
  <c r="S12" i="54"/>
  <c r="AD11" i="54"/>
  <c r="S11" i="54"/>
  <c r="AD10" i="54"/>
  <c r="S10" i="54"/>
  <c r="AD9" i="54"/>
  <c r="S9" i="54"/>
  <c r="AD8" i="54"/>
  <c r="S8" i="54"/>
  <c r="AD7" i="54"/>
  <c r="S7" i="54"/>
  <c r="AD6" i="54"/>
  <c r="S6" i="54"/>
  <c r="AD5" i="54"/>
  <c r="S5" i="54"/>
  <c r="AH50" i="53"/>
  <c r="AH5" i="57" s="1"/>
  <c r="AG50" i="53"/>
  <c r="AG5" i="57" s="1"/>
  <c r="AG12" i="57" s="1"/>
  <c r="AF50" i="53"/>
  <c r="AE50" i="53"/>
  <c r="AE5" i="57" s="1"/>
  <c r="AE12" i="57" s="1"/>
  <c r="AD50" i="53"/>
  <c r="AC5" i="57" s="1"/>
  <c r="AC12" i="57" s="1"/>
  <c r="AC50" i="53"/>
  <c r="AB50" i="53"/>
  <c r="AB5" i="57" s="1"/>
  <c r="AB12" i="57" s="1"/>
  <c r="AA50" i="53"/>
  <c r="AA5" i="57" s="1"/>
  <c r="Y50" i="53"/>
  <c r="X5" i="57" s="1"/>
  <c r="X50" i="53"/>
  <c r="W5" i="57" s="1"/>
  <c r="W12" i="57" s="1"/>
  <c r="V50" i="53"/>
  <c r="U5" i="57" s="1"/>
  <c r="U12" i="57" s="1"/>
  <c r="U50" i="53"/>
  <c r="T5" i="57" s="1"/>
  <c r="T12" i="57" s="1"/>
  <c r="S50" i="53"/>
  <c r="R5" i="57" s="1"/>
  <c r="R12" i="57" s="1"/>
  <c r="R50" i="53"/>
  <c r="Q5" i="57" s="1"/>
  <c r="Q12" i="57" s="1"/>
  <c r="Q50" i="53"/>
  <c r="P5" i="57" s="1"/>
  <c r="P12" i="57" s="1"/>
  <c r="O50" i="53"/>
  <c r="N5" i="57" s="1"/>
  <c r="N12" i="57" s="1"/>
  <c r="M50" i="53"/>
  <c r="L5" i="57" s="1"/>
  <c r="L12" i="57" s="1"/>
  <c r="L50" i="53"/>
  <c r="K5" i="57" s="1"/>
  <c r="K12" i="57" s="1"/>
  <c r="K50" i="53"/>
  <c r="J5" i="57" s="1"/>
  <c r="J12" i="57" s="1"/>
  <c r="I50" i="53"/>
  <c r="H5" i="57" s="1"/>
  <c r="AI49" i="53"/>
  <c r="W49" i="53"/>
  <c r="AI48" i="53"/>
  <c r="W48" i="53"/>
  <c r="AI47" i="53"/>
  <c r="W47" i="53"/>
  <c r="AI46" i="53"/>
  <c r="W46" i="53"/>
  <c r="AI45" i="53"/>
  <c r="E50" i="53"/>
  <c r="D5" i="57" s="1"/>
  <c r="W45" i="53"/>
  <c r="AI44" i="53"/>
  <c r="W44" i="53"/>
  <c r="AI43" i="53"/>
  <c r="W43" i="53"/>
  <c r="AI42" i="53"/>
  <c r="W42" i="53"/>
  <c r="AI41" i="53"/>
  <c r="G50" i="53"/>
  <c r="F5" i="57" s="1"/>
  <c r="F12" i="57" s="1"/>
  <c r="W41" i="53"/>
  <c r="AI40" i="53"/>
  <c r="W40" i="53"/>
  <c r="AI39" i="53"/>
  <c r="W39" i="53"/>
  <c r="AI38" i="53"/>
  <c r="W38" i="53"/>
  <c r="AI37" i="53"/>
  <c r="W37" i="53"/>
  <c r="AI36" i="53"/>
  <c r="W36" i="53"/>
  <c r="AI35" i="53"/>
  <c r="W35" i="53"/>
  <c r="AI34" i="53"/>
  <c r="W34" i="53"/>
  <c r="AI33" i="53"/>
  <c r="W33" i="53"/>
  <c r="AI32" i="53"/>
  <c r="W32" i="53"/>
  <c r="AI31" i="53"/>
  <c r="W31" i="53"/>
  <c r="AI30" i="53"/>
  <c r="W30" i="53"/>
  <c r="AI29" i="53"/>
  <c r="W29" i="53"/>
  <c r="AI28" i="53"/>
  <c r="J50" i="53"/>
  <c r="I5" i="57" s="1"/>
  <c r="AI27" i="53"/>
  <c r="W27" i="53"/>
  <c r="AI26" i="53"/>
  <c r="W26" i="53"/>
  <c r="AI25" i="53"/>
  <c r="W25" i="53"/>
  <c r="AI24" i="53"/>
  <c r="W24" i="53"/>
  <c r="AI23" i="53"/>
  <c r="W23" i="53"/>
  <c r="AI22" i="53"/>
  <c r="W22" i="53"/>
  <c r="AI21" i="53"/>
  <c r="W21" i="53"/>
  <c r="AI20" i="53"/>
  <c r="W20" i="53"/>
  <c r="AI19" i="53"/>
  <c r="W19" i="53"/>
  <c r="AI18" i="53"/>
  <c r="W18" i="53"/>
  <c r="AI17" i="53"/>
  <c r="W17" i="53"/>
  <c r="AI16" i="53"/>
  <c r="W16" i="53"/>
  <c r="AI15" i="53"/>
  <c r="W15" i="53"/>
  <c r="AI14" i="53"/>
  <c r="W14" i="53"/>
  <c r="AI13" i="53"/>
  <c r="W13" i="53"/>
  <c r="T50" i="53"/>
  <c r="S5" i="57" s="1"/>
  <c r="S12" i="57" s="1"/>
  <c r="AI12" i="53"/>
  <c r="W12" i="53"/>
  <c r="AI11" i="53"/>
  <c r="W11" i="53"/>
  <c r="P50" i="53"/>
  <c r="O5" i="57" s="1"/>
  <c r="O12" i="57" s="1"/>
  <c r="AI10" i="53"/>
  <c r="N50" i="53"/>
  <c r="M5" i="57" s="1"/>
  <c r="AI9" i="53"/>
  <c r="W9" i="53"/>
  <c r="H50" i="53"/>
  <c r="G5" i="57" s="1"/>
  <c r="AI8" i="53"/>
  <c r="W8" i="53"/>
  <c r="AI7" i="53"/>
  <c r="F50" i="53"/>
  <c r="E5" i="57" s="1"/>
  <c r="AI6" i="53"/>
  <c r="W6" i="53"/>
  <c r="AI5" i="53"/>
  <c r="W5" i="53"/>
  <c r="I12" i="57" l="1"/>
  <c r="E12" i="57"/>
  <c r="AH12" i="57"/>
  <c r="G12" i="57"/>
  <c r="AD19" i="54"/>
  <c r="S19" i="54"/>
  <c r="D12" i="57"/>
  <c r="H12" i="57"/>
  <c r="AA12" i="57"/>
  <c r="AI10" i="57"/>
  <c r="V7" i="57"/>
  <c r="V10" i="57" s="1"/>
  <c r="C10" i="57"/>
  <c r="X10" i="57"/>
  <c r="X12" i="57" s="1"/>
  <c r="W7" i="53"/>
  <c r="W10" i="53"/>
  <c r="D50" i="53"/>
  <c r="W28" i="53"/>
  <c r="Z50" i="53"/>
  <c r="F67" i="14"/>
  <c r="F68" i="14"/>
  <c r="F69" i="14"/>
  <c r="F70" i="14"/>
  <c r="F71" i="14"/>
  <c r="F72" i="14"/>
  <c r="F73" i="14"/>
  <c r="F66" i="14"/>
  <c r="F63" i="14"/>
  <c r="F62" i="14"/>
  <c r="E58" i="14"/>
  <c r="H62" i="58" s="1"/>
  <c r="E62" i="58" s="1"/>
  <c r="F54" i="14"/>
  <c r="F55" i="14"/>
  <c r="F56" i="14"/>
  <c r="F57" i="14"/>
  <c r="F53" i="14"/>
  <c r="E52" i="14"/>
  <c r="H61" i="58" s="1"/>
  <c r="E61" i="58" s="1"/>
  <c r="F51" i="14"/>
  <c r="F50" i="14"/>
  <c r="E49" i="14"/>
  <c r="H60" i="58" s="1"/>
  <c r="F41" i="14"/>
  <c r="F42" i="14"/>
  <c r="F43" i="14"/>
  <c r="F44" i="14"/>
  <c r="F45" i="14"/>
  <c r="F46" i="14"/>
  <c r="F47" i="14"/>
  <c r="F48" i="14"/>
  <c r="F40" i="14"/>
  <c r="E39" i="14"/>
  <c r="F38" i="14"/>
  <c r="F39" i="14" s="1"/>
  <c r="I59" i="58" s="1"/>
  <c r="F59" i="58" s="1"/>
  <c r="F37" i="14"/>
  <c r="E36" i="14"/>
  <c r="H58" i="58" s="1"/>
  <c r="E58" i="58" s="1"/>
  <c r="F34" i="14"/>
  <c r="F35" i="14"/>
  <c r="F33" i="14"/>
  <c r="F28" i="14"/>
  <c r="F29" i="14"/>
  <c r="F30" i="14"/>
  <c r="F31" i="14"/>
  <c r="F27" i="14"/>
  <c r="F21" i="14"/>
  <c r="F22" i="14"/>
  <c r="F20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5" i="14"/>
  <c r="E60" i="58" l="1"/>
  <c r="H63" i="58"/>
  <c r="E63" i="58" s="1"/>
  <c r="I66" i="58"/>
  <c r="F64" i="14"/>
  <c r="F49" i="14"/>
  <c r="I60" i="58" s="1"/>
  <c r="F60" i="58" s="1"/>
  <c r="F36" i="14"/>
  <c r="I58" i="58" s="1"/>
  <c r="F52" i="14"/>
  <c r="I61" i="58" s="1"/>
  <c r="F61" i="58" s="1"/>
  <c r="AI50" i="53"/>
  <c r="Z5" i="57"/>
  <c r="W50" i="53"/>
  <c r="C5" i="57"/>
  <c r="V5" i="57" s="1"/>
  <c r="F58" i="14"/>
  <c r="I62" i="58" s="1"/>
  <c r="F62" i="58" s="1"/>
  <c r="E59" i="14"/>
  <c r="E6" i="9"/>
  <c r="E7" i="9"/>
  <c r="E8" i="9"/>
  <c r="E9" i="9"/>
  <c r="E10" i="9"/>
  <c r="E13" i="9"/>
  <c r="E14" i="9"/>
  <c r="E15" i="9"/>
  <c r="E16" i="9"/>
  <c r="E17" i="9"/>
  <c r="E18" i="9"/>
  <c r="E19" i="9"/>
  <c r="E20" i="9"/>
  <c r="E21" i="9"/>
  <c r="E22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8" i="9"/>
  <c r="E39" i="9"/>
  <c r="E40" i="9"/>
  <c r="E9" i="17" s="1"/>
  <c r="E41" i="9"/>
  <c r="E42" i="9"/>
  <c r="E43" i="9"/>
  <c r="E10" i="17" s="1"/>
  <c r="B7" i="30" s="1"/>
  <c r="E44" i="9"/>
  <c r="E45" i="9"/>
  <c r="E46" i="9"/>
  <c r="E47" i="9"/>
  <c r="E48" i="9"/>
  <c r="E49" i="9"/>
  <c r="E50" i="9"/>
  <c r="E51" i="9"/>
  <c r="E52" i="9"/>
  <c r="E53" i="9"/>
  <c r="E12" i="17" s="1"/>
  <c r="B9" i="30" s="1"/>
  <c r="E55" i="9"/>
  <c r="E56" i="9"/>
  <c r="E57" i="9"/>
  <c r="E58" i="9"/>
  <c r="E59" i="9"/>
  <c r="E60" i="9"/>
  <c r="E61" i="9"/>
  <c r="E62" i="9"/>
  <c r="E63" i="9"/>
  <c r="E64" i="9"/>
  <c r="E66" i="9"/>
  <c r="E67" i="9"/>
  <c r="E68" i="9"/>
  <c r="E69" i="9" s="1"/>
  <c r="E14" i="17" s="1"/>
  <c r="E70" i="9"/>
  <c r="E22" i="18" s="1"/>
  <c r="E71" i="9"/>
  <c r="E18" i="17" s="1"/>
  <c r="E73" i="9"/>
  <c r="E74" i="9"/>
  <c r="E75" i="9"/>
  <c r="E76" i="9"/>
  <c r="E23" i="17" s="1"/>
  <c r="E77" i="9"/>
  <c r="E78" i="9"/>
  <c r="E79" i="9" s="1"/>
  <c r="E5" i="9"/>
  <c r="I63" i="58" l="1"/>
  <c r="F63" i="58" s="1"/>
  <c r="F58" i="58"/>
  <c r="I67" i="58"/>
  <c r="F67" i="58" s="1"/>
  <c r="F66" i="58"/>
  <c r="E11" i="9"/>
  <c r="E5" i="17" s="1"/>
  <c r="B4" i="30" s="1"/>
  <c r="E26" i="18"/>
  <c r="E21" i="17"/>
  <c r="B18" i="30" s="1"/>
  <c r="E7" i="18"/>
  <c r="B12" i="30"/>
  <c r="E65" i="9"/>
  <c r="E13" i="17" s="1"/>
  <c r="E25" i="18"/>
  <c r="E24" i="18" s="1"/>
  <c r="E24" i="17"/>
  <c r="B20" i="30" s="1"/>
  <c r="E11" i="18"/>
  <c r="E10" i="18" s="1"/>
  <c r="B19" i="30"/>
  <c r="E23" i="18"/>
  <c r="E17" i="17"/>
  <c r="E54" i="9"/>
  <c r="E5" i="18" s="1"/>
  <c r="E11" i="17"/>
  <c r="E37" i="9"/>
  <c r="Z12" i="57"/>
  <c r="AI12" i="57" s="1"/>
  <c r="AI5" i="57"/>
  <c r="C12" i="57"/>
  <c r="V12" i="57" s="1"/>
  <c r="E12" i="9"/>
  <c r="E6" i="17"/>
  <c r="F59" i="14"/>
  <c r="E23" i="9" l="1"/>
  <c r="E72" i="9"/>
  <c r="E7" i="17"/>
  <c r="B5" i="30"/>
  <c r="E15" i="17"/>
  <c r="E21" i="18"/>
  <c r="E20" i="18" s="1"/>
  <c r="E27" i="18" s="1"/>
  <c r="B14" i="30"/>
  <c r="E8" i="17"/>
  <c r="B8" i="30"/>
  <c r="E22" i="17"/>
  <c r="E20" i="17" s="1"/>
  <c r="E52" i="17" s="1"/>
  <c r="E6" i="18"/>
  <c r="B11" i="30"/>
  <c r="R68" i="41"/>
  <c r="F68" i="41" s="1"/>
  <c r="C23" i="20"/>
  <c r="C27" i="20" s="1"/>
  <c r="C15" i="19"/>
  <c r="E4" i="17" l="1"/>
  <c r="E4" i="18"/>
  <c r="E3" i="18" s="1"/>
  <c r="E16" i="18" s="1"/>
  <c r="E28" i="18" s="1"/>
  <c r="I47" i="41"/>
  <c r="F47" i="41" s="1"/>
  <c r="C46" i="19"/>
  <c r="C39" i="19"/>
  <c r="C33" i="19"/>
  <c r="C28" i="19"/>
  <c r="C23" i="19"/>
  <c r="C44" i="19" s="1"/>
  <c r="E19" i="17" l="1"/>
  <c r="E25" i="17"/>
  <c r="B6" i="45"/>
  <c r="C6" i="37" l="1"/>
  <c r="B5" i="44" l="1"/>
  <c r="B7" i="44"/>
  <c r="B11" i="44"/>
  <c r="B19" i="44" l="1"/>
  <c r="M51" i="5" l="1"/>
  <c r="M46" i="5"/>
  <c r="R6" i="41" l="1"/>
  <c r="F6" i="41" s="1"/>
  <c r="L55" i="41"/>
  <c r="F55" i="41" s="1"/>
  <c r="C18" i="37" l="1"/>
  <c r="C9" i="40" l="1"/>
  <c r="L17" i="40"/>
  <c r="C18" i="40"/>
  <c r="L16" i="40"/>
  <c r="M31" i="40"/>
  <c r="N31" i="40"/>
  <c r="M32" i="40"/>
  <c r="N32" i="40"/>
  <c r="M33" i="40"/>
  <c r="N33" i="40"/>
  <c r="M34" i="40"/>
  <c r="N34" i="40"/>
  <c r="M35" i="40"/>
  <c r="N35" i="40"/>
  <c r="M36" i="40"/>
  <c r="N36" i="40"/>
  <c r="M37" i="40"/>
  <c r="N37" i="40"/>
  <c r="M38" i="40"/>
  <c r="N38" i="40"/>
  <c r="L32" i="40"/>
  <c r="L33" i="40"/>
  <c r="L34" i="40"/>
  <c r="L35" i="40"/>
  <c r="L37" i="40"/>
  <c r="L38" i="40"/>
  <c r="F36" i="40"/>
  <c r="L36" i="40" s="1"/>
  <c r="F31" i="40"/>
  <c r="F22" i="40" s="1"/>
  <c r="L29" i="40"/>
  <c r="G14" i="18" l="1"/>
  <c r="G13" i="18"/>
  <c r="F8" i="40" l="1"/>
  <c r="G12" i="18" l="1"/>
  <c r="M29" i="5"/>
  <c r="M23" i="5"/>
  <c r="K29" i="8" l="1"/>
  <c r="L29" i="8"/>
  <c r="J29" i="8"/>
  <c r="D12" i="1" l="1"/>
  <c r="G15" i="18" l="1"/>
  <c r="D29" i="1" l="1"/>
  <c r="D24" i="1"/>
  <c r="G11" i="18" l="1"/>
  <c r="Y18" i="7"/>
  <c r="Z18" i="7"/>
  <c r="AB18" i="7"/>
  <c r="AC18" i="7"/>
  <c r="Y15" i="7"/>
  <c r="Z15" i="7"/>
  <c r="AB15" i="7"/>
  <c r="AC15" i="7"/>
  <c r="AB30" i="7"/>
  <c r="AC35" i="7"/>
  <c r="AB29" i="7"/>
  <c r="AC29" i="7"/>
  <c r="AB26" i="7"/>
  <c r="AC26" i="7"/>
  <c r="AA15" i="7" l="1"/>
  <c r="AA18" i="7"/>
  <c r="AB35" i="7"/>
  <c r="AD35" i="7" s="1"/>
  <c r="D30" i="7"/>
  <c r="AD30" i="7"/>
  <c r="F30" i="7" s="1"/>
  <c r="AD15" i="7"/>
  <c r="AD18" i="7"/>
  <c r="AD29" i="7"/>
  <c r="AD26" i="7"/>
  <c r="AC36" i="7"/>
  <c r="AC98" i="7" s="1"/>
  <c r="AB36" i="7"/>
  <c r="W34" i="5"/>
  <c r="AH46" i="5"/>
  <c r="AB98" i="7" l="1"/>
  <c r="AD98" i="7" s="1"/>
  <c r="AD36" i="7"/>
  <c r="X34" i="5"/>
  <c r="W35" i="5"/>
  <c r="M63" i="5"/>
  <c r="N63" i="5"/>
  <c r="M52" i="5"/>
  <c r="N52" i="5"/>
  <c r="M25" i="5"/>
  <c r="N25" i="5"/>
  <c r="M28" i="5"/>
  <c r="N28" i="5"/>
  <c r="M34" i="5"/>
  <c r="N34" i="5"/>
  <c r="W65" i="5" l="1"/>
  <c r="X65" i="5" s="1"/>
  <c r="X35" i="5"/>
  <c r="N35" i="5"/>
  <c r="N65" i="5"/>
  <c r="M35" i="5"/>
  <c r="M65" i="5" s="1"/>
  <c r="B10" i="44" l="1"/>
  <c r="B6" i="44"/>
  <c r="D11" i="21" l="1"/>
  <c r="D16" i="21" s="1"/>
  <c r="C11" i="21"/>
  <c r="C16" i="21" s="1"/>
  <c r="C20" i="20" l="1"/>
  <c r="C53" i="19" l="1"/>
  <c r="C31" i="20"/>
  <c r="C7" i="37" l="1"/>
  <c r="B21" i="45" l="1"/>
  <c r="G7" i="18" l="1"/>
  <c r="W64" i="41"/>
  <c r="V64" i="41"/>
  <c r="W53" i="41"/>
  <c r="V53" i="41"/>
  <c r="W34" i="41"/>
  <c r="V34" i="41"/>
  <c r="W28" i="41"/>
  <c r="V28" i="41"/>
  <c r="W25" i="41"/>
  <c r="V25" i="41"/>
  <c r="W17" i="41"/>
  <c r="V17" i="41"/>
  <c r="W14" i="41"/>
  <c r="V14" i="41"/>
  <c r="W7" i="41"/>
  <c r="V7" i="41"/>
  <c r="W35" i="41" l="1"/>
  <c r="W66" i="41" s="1"/>
  <c r="V35" i="41"/>
  <c r="V66" i="41" s="1"/>
  <c r="M5" i="40" l="1"/>
  <c r="N5" i="40"/>
  <c r="M6" i="40"/>
  <c r="N6" i="40"/>
  <c r="M7" i="40"/>
  <c r="N7" i="40"/>
  <c r="L6" i="40"/>
  <c r="L7" i="40"/>
  <c r="L5" i="40"/>
  <c r="K7" i="8" l="1"/>
  <c r="L7" i="8"/>
  <c r="K3" i="8"/>
  <c r="L3" i="8"/>
  <c r="K4" i="8"/>
  <c r="L4" i="8"/>
  <c r="J7" i="8"/>
  <c r="J4" i="8"/>
  <c r="J3" i="8"/>
  <c r="J66" i="52" l="1"/>
  <c r="H66" i="52"/>
  <c r="H3" i="52"/>
  <c r="J23" i="8" l="1"/>
  <c r="L59" i="41"/>
  <c r="F59" i="41" s="1"/>
  <c r="L23" i="8" s="1"/>
  <c r="H7" i="41" l="1"/>
  <c r="K7" i="41"/>
  <c r="M7" i="41"/>
  <c r="N7" i="41"/>
  <c r="Q7" i="41"/>
  <c r="E7" i="41" s="1"/>
  <c r="L7" i="41" l="1"/>
  <c r="R7" i="41"/>
  <c r="O7" i="41"/>
  <c r="I7" i="41"/>
  <c r="J5" i="8"/>
  <c r="F7" i="41" l="1"/>
  <c r="B27" i="44"/>
  <c r="C23" i="18" l="1"/>
  <c r="J14" i="29" l="1"/>
  <c r="E14" i="29"/>
  <c r="F14" i="29"/>
  <c r="G14" i="29"/>
  <c r="H14" i="29"/>
  <c r="I14" i="29"/>
  <c r="D14" i="29"/>
  <c r="D7" i="37"/>
  <c r="E7" i="37"/>
  <c r="J39" i="40" l="1"/>
  <c r="K39" i="40"/>
  <c r="I39" i="40"/>
  <c r="L8" i="40"/>
  <c r="M8" i="40"/>
  <c r="N8" i="40"/>
  <c r="M9" i="40"/>
  <c r="N9" i="40"/>
  <c r="L10" i="40"/>
  <c r="M10" i="40"/>
  <c r="N10" i="40"/>
  <c r="L11" i="40"/>
  <c r="M11" i="40"/>
  <c r="N11" i="40"/>
  <c r="L12" i="40"/>
  <c r="M12" i="40"/>
  <c r="N12" i="40"/>
  <c r="L13" i="40"/>
  <c r="M13" i="40"/>
  <c r="N13" i="40"/>
  <c r="L14" i="40"/>
  <c r="M14" i="40"/>
  <c r="N14" i="40"/>
  <c r="L15" i="40"/>
  <c r="M15" i="40"/>
  <c r="N15" i="40"/>
  <c r="L18" i="40"/>
  <c r="M18" i="40"/>
  <c r="N18" i="40"/>
  <c r="M19" i="40"/>
  <c r="N19" i="40"/>
  <c r="L20" i="40"/>
  <c r="M20" i="40"/>
  <c r="N20" i="40"/>
  <c r="L21" i="40"/>
  <c r="M21" i="40"/>
  <c r="N21" i="40"/>
  <c r="M22" i="40"/>
  <c r="N22" i="40"/>
  <c r="L25" i="40"/>
  <c r="M25" i="40"/>
  <c r="N25" i="40"/>
  <c r="L24" i="40"/>
  <c r="M24" i="40"/>
  <c r="N24" i="40"/>
  <c r="L26" i="40"/>
  <c r="M26" i="40"/>
  <c r="N26" i="40"/>
  <c r="L23" i="40"/>
  <c r="M23" i="40"/>
  <c r="N23" i="40"/>
  <c r="L27" i="40"/>
  <c r="M27" i="40"/>
  <c r="N27" i="40"/>
  <c r="L28" i="40"/>
  <c r="M28" i="40"/>
  <c r="N28" i="40"/>
  <c r="L30" i="40"/>
  <c r="M30" i="40"/>
  <c r="N30" i="40"/>
  <c r="L31" i="40"/>
  <c r="M4" i="40"/>
  <c r="N4" i="40"/>
  <c r="L4" i="40"/>
  <c r="D17" i="37" l="1"/>
  <c r="D15" i="37"/>
  <c r="D14" i="37"/>
  <c r="D13" i="37"/>
  <c r="D12" i="37"/>
  <c r="D11" i="37"/>
  <c r="D18" i="37" l="1"/>
  <c r="L19" i="40" l="1"/>
  <c r="C39" i="40" l="1"/>
  <c r="L9" i="40"/>
  <c r="Y75" i="7" l="1"/>
  <c r="Z75" i="7"/>
  <c r="AA75" i="7" s="1"/>
  <c r="Y107" i="7"/>
  <c r="Z107" i="7"/>
  <c r="AA107" i="7" s="1"/>
  <c r="D14" i="1" l="1"/>
  <c r="Y35" i="7"/>
  <c r="Z35" i="7"/>
  <c r="Y29" i="7"/>
  <c r="Z29" i="7"/>
  <c r="Y26" i="7"/>
  <c r="Z26" i="7"/>
  <c r="AA35" i="7" l="1"/>
  <c r="AA29" i="7"/>
  <c r="AA26" i="7"/>
  <c r="Z36" i="7"/>
  <c r="Z98" i="7" s="1"/>
  <c r="Y36" i="7"/>
  <c r="V8" i="7"/>
  <c r="M7" i="6"/>
  <c r="AA36" i="7" l="1"/>
  <c r="D8" i="7"/>
  <c r="Y5" i="8" s="1"/>
  <c r="X8" i="7"/>
  <c r="F8" i="7" s="1"/>
  <c r="Y98" i="7"/>
  <c r="AA98" i="7" s="1"/>
  <c r="H26" i="7"/>
  <c r="I26" i="7" s="1"/>
  <c r="J26" i="7"/>
  <c r="K26" i="7"/>
  <c r="H35" i="7"/>
  <c r="I35" i="7" s="1"/>
  <c r="J35" i="7"/>
  <c r="K35" i="7"/>
  <c r="L35" i="7" s="1"/>
  <c r="M35" i="7"/>
  <c r="E11" i="21"/>
  <c r="L26" i="7" l="1"/>
  <c r="K36" i="7"/>
  <c r="J36" i="7"/>
  <c r="O18" i="30"/>
  <c r="D25" i="8"/>
  <c r="C74" i="19"/>
  <c r="D53" i="19"/>
  <c r="D74" i="19" s="1"/>
  <c r="E53" i="19"/>
  <c r="E74" i="19" s="1"/>
  <c r="C25" i="18"/>
  <c r="C21" i="17"/>
  <c r="K98" i="7" l="1"/>
  <c r="L36" i="7"/>
  <c r="J98" i="7"/>
  <c r="F39" i="40"/>
  <c r="C26" i="18"/>
  <c r="L98" i="7" l="1"/>
  <c r="L39" i="40"/>
  <c r="L22" i="40"/>
  <c r="C24" i="18"/>
  <c r="H7" i="6" l="1"/>
  <c r="I7" i="6"/>
  <c r="G7" i="6"/>
  <c r="D7" i="1"/>
  <c r="F7" i="1" s="1"/>
  <c r="B15" i="45" l="1"/>
  <c r="B10" i="45"/>
  <c r="B7" i="45"/>
  <c r="B23" i="45" l="1"/>
  <c r="C22" i="18"/>
  <c r="D34" i="1" l="1"/>
  <c r="D28" i="1"/>
  <c r="D25" i="1"/>
  <c r="D17" i="1"/>
  <c r="D35" i="1" l="1"/>
  <c r="C45" i="43"/>
  <c r="D45" i="43"/>
  <c r="B45" i="43"/>
  <c r="D27" i="44"/>
  <c r="H9" i="8" l="1"/>
  <c r="I9" i="8"/>
  <c r="H10" i="8"/>
  <c r="I10" i="8"/>
  <c r="H11" i="8"/>
  <c r="I11" i="8"/>
  <c r="H12" i="8"/>
  <c r="I12" i="8"/>
  <c r="H13" i="8"/>
  <c r="I13" i="8"/>
  <c r="G9" i="8"/>
  <c r="H7" i="8"/>
  <c r="I7" i="8"/>
  <c r="G7" i="8"/>
  <c r="Z5" i="8"/>
  <c r="AA5" i="8"/>
  <c r="Y3" i="8" l="1"/>
  <c r="Y7" i="8"/>
  <c r="Y19" i="8"/>
  <c r="D19" i="8" s="1"/>
  <c r="H14" i="8"/>
  <c r="I14" i="8"/>
  <c r="Q64" i="41"/>
  <c r="N64" i="41"/>
  <c r="M64" i="41"/>
  <c r="K64" i="41"/>
  <c r="H64" i="41"/>
  <c r="Q53" i="41"/>
  <c r="N53" i="41"/>
  <c r="M53" i="41"/>
  <c r="K53" i="41"/>
  <c r="H53" i="41"/>
  <c r="E53" i="41" s="1"/>
  <c r="K21" i="8" s="1"/>
  <c r="Q34" i="41"/>
  <c r="N34" i="41"/>
  <c r="M34" i="41"/>
  <c r="K34" i="41"/>
  <c r="H34" i="41"/>
  <c r="Q28" i="41"/>
  <c r="E28" i="41" s="1"/>
  <c r="K12" i="8" s="1"/>
  <c r="N28" i="41"/>
  <c r="M28" i="41"/>
  <c r="K28" i="41"/>
  <c r="H28" i="41"/>
  <c r="Q25" i="41"/>
  <c r="N25" i="41"/>
  <c r="M25" i="41"/>
  <c r="K25" i="41"/>
  <c r="H25" i="41"/>
  <c r="Q17" i="41"/>
  <c r="N17" i="41"/>
  <c r="M17" i="41"/>
  <c r="K17" i="41"/>
  <c r="H17" i="41"/>
  <c r="Q14" i="41"/>
  <c r="N14" i="41"/>
  <c r="M14" i="41"/>
  <c r="K14" i="41"/>
  <c r="H14" i="41"/>
  <c r="L5" i="8"/>
  <c r="K5" i="8"/>
  <c r="E9" i="6"/>
  <c r="Q7" i="8" s="1"/>
  <c r="F9" i="6"/>
  <c r="R7" i="8" s="1"/>
  <c r="D9" i="6"/>
  <c r="E6" i="6"/>
  <c r="Q4" i="8" s="1"/>
  <c r="F6" i="6"/>
  <c r="D6" i="6"/>
  <c r="E5" i="6"/>
  <c r="Q3" i="8" s="1"/>
  <c r="F5" i="6"/>
  <c r="R3" i="8" s="1"/>
  <c r="D5" i="6"/>
  <c r="S16" i="8"/>
  <c r="T16" i="8"/>
  <c r="U16" i="8"/>
  <c r="Q12" i="8"/>
  <c r="Q13" i="8"/>
  <c r="N23" i="8"/>
  <c r="E23" i="8" s="1"/>
  <c r="O23" i="8"/>
  <c r="F23" i="8" s="1"/>
  <c r="M23" i="8"/>
  <c r="D23" i="8" s="1"/>
  <c r="N12" i="8"/>
  <c r="O12" i="8"/>
  <c r="N13" i="8"/>
  <c r="O13" i="8"/>
  <c r="N7" i="8"/>
  <c r="O7" i="8"/>
  <c r="N3" i="8"/>
  <c r="O3" i="8"/>
  <c r="N4" i="8"/>
  <c r="O4" i="8"/>
  <c r="H3" i="8"/>
  <c r="I3" i="8"/>
  <c r="H4" i="8"/>
  <c r="I4" i="8"/>
  <c r="G3" i="8"/>
  <c r="E7" i="8" l="1"/>
  <c r="E4" i="8"/>
  <c r="F3" i="8"/>
  <c r="F7" i="8"/>
  <c r="H22" i="18"/>
  <c r="D39" i="17"/>
  <c r="I22" i="18"/>
  <c r="E39" i="17"/>
  <c r="B34" i="30" s="1"/>
  <c r="E34" i="41"/>
  <c r="K13" i="8" s="1"/>
  <c r="E25" i="41"/>
  <c r="K11" i="8" s="1"/>
  <c r="L14" i="41"/>
  <c r="R14" i="41"/>
  <c r="L17" i="41"/>
  <c r="R17" i="41"/>
  <c r="L25" i="41"/>
  <c r="R25" i="41"/>
  <c r="L28" i="41"/>
  <c r="R28" i="41"/>
  <c r="L34" i="41"/>
  <c r="R34" i="41"/>
  <c r="L53" i="41"/>
  <c r="R53" i="41"/>
  <c r="L64" i="41"/>
  <c r="R64" i="41"/>
  <c r="J9" i="8"/>
  <c r="I14" i="41"/>
  <c r="O14" i="41"/>
  <c r="I17" i="41"/>
  <c r="O17" i="41"/>
  <c r="I25" i="41"/>
  <c r="O25" i="41"/>
  <c r="I28" i="41"/>
  <c r="O28" i="41"/>
  <c r="I34" i="41"/>
  <c r="O34" i="41"/>
  <c r="I53" i="41"/>
  <c r="O53" i="41"/>
  <c r="I64" i="41"/>
  <c r="O64" i="41"/>
  <c r="U27" i="8"/>
  <c r="U30" i="8" s="1"/>
  <c r="N39" i="40"/>
  <c r="X18" i="8" s="1"/>
  <c r="X27" i="8" s="1"/>
  <c r="X30" i="8" s="1"/>
  <c r="M39" i="40"/>
  <c r="W18" i="8" s="1"/>
  <c r="W27" i="8" s="1"/>
  <c r="W30" i="8" s="1"/>
  <c r="M35" i="41"/>
  <c r="M66" i="41" s="1"/>
  <c r="Q35" i="41"/>
  <c r="K35" i="41"/>
  <c r="H35" i="41"/>
  <c r="N35" i="41"/>
  <c r="E3" i="8"/>
  <c r="T27" i="8"/>
  <c r="T30" i="8" s="1"/>
  <c r="S27" i="8"/>
  <c r="S30" i="8" s="1"/>
  <c r="D16" i="8"/>
  <c r="G10" i="18"/>
  <c r="C36" i="17"/>
  <c r="I5" i="8"/>
  <c r="V18" i="8"/>
  <c r="V27" i="8" s="1"/>
  <c r="V30" i="8" s="1"/>
  <c r="H5" i="8"/>
  <c r="E7" i="6"/>
  <c r="F7" i="6"/>
  <c r="D7" i="6"/>
  <c r="R4" i="8"/>
  <c r="R5" i="8" s="1"/>
  <c r="Q5" i="8"/>
  <c r="O5" i="8"/>
  <c r="N5" i="8"/>
  <c r="H75" i="7"/>
  <c r="N35" i="7"/>
  <c r="O35" i="7" s="1"/>
  <c r="N29" i="7"/>
  <c r="O29" i="7" s="1"/>
  <c r="M29" i="7"/>
  <c r="H29" i="7"/>
  <c r="N26" i="7"/>
  <c r="M26" i="7"/>
  <c r="N18" i="7"/>
  <c r="M18" i="7"/>
  <c r="H18" i="7"/>
  <c r="N15" i="7"/>
  <c r="O15" i="7" s="1"/>
  <c r="M15" i="7"/>
  <c r="H15" i="7"/>
  <c r="O18" i="7" l="1"/>
  <c r="I75" i="7"/>
  <c r="I15" i="7"/>
  <c r="I29" i="7"/>
  <c r="I18" i="7"/>
  <c r="O26" i="7"/>
  <c r="F4" i="8"/>
  <c r="F64" i="41"/>
  <c r="F34" i="41"/>
  <c r="L13" i="8" s="1"/>
  <c r="F14" i="41"/>
  <c r="L9" i="8" s="1"/>
  <c r="F53" i="41"/>
  <c r="L21" i="8" s="1"/>
  <c r="F28" i="41"/>
  <c r="L12" i="8" s="1"/>
  <c r="F17" i="41"/>
  <c r="L10" i="8" s="1"/>
  <c r="F25" i="41"/>
  <c r="L11" i="8" s="1"/>
  <c r="H27" i="8"/>
  <c r="H30" i="8" s="1"/>
  <c r="E5" i="8"/>
  <c r="I27" i="8"/>
  <c r="I30" i="8" s="1"/>
  <c r="F5" i="8"/>
  <c r="R35" i="41"/>
  <c r="E35" i="41"/>
  <c r="K14" i="8" s="1"/>
  <c r="N66" i="41"/>
  <c r="O66" i="41" s="1"/>
  <c r="O35" i="41"/>
  <c r="H66" i="41"/>
  <c r="I35" i="41"/>
  <c r="K66" i="41"/>
  <c r="L66" i="41" s="1"/>
  <c r="L35" i="41"/>
  <c r="Q66" i="41"/>
  <c r="J21" i="8"/>
  <c r="H36" i="7"/>
  <c r="I36" i="7" s="1"/>
  <c r="N36" i="7"/>
  <c r="M36" i="7"/>
  <c r="N98" i="7" l="1"/>
  <c r="O98" i="7" s="1"/>
  <c r="O36" i="7"/>
  <c r="E66" i="41"/>
  <c r="F35" i="41"/>
  <c r="L14" i="8" s="1"/>
  <c r="K27" i="8"/>
  <c r="K30" i="8" s="1"/>
  <c r="L27" i="8"/>
  <c r="L30" i="8" s="1"/>
  <c r="R66" i="41"/>
  <c r="I66" i="41"/>
  <c r="M98" i="7"/>
  <c r="D31" i="30"/>
  <c r="H31" i="30"/>
  <c r="L31" i="30"/>
  <c r="E31" i="30"/>
  <c r="I31" i="30"/>
  <c r="M31" i="30"/>
  <c r="C31" i="30"/>
  <c r="G31" i="30"/>
  <c r="F31" i="30"/>
  <c r="J31" i="30"/>
  <c r="N31" i="30"/>
  <c r="K31" i="30"/>
  <c r="H98" i="7"/>
  <c r="I98" i="7" s="1"/>
  <c r="J14" i="8"/>
  <c r="J11" i="29"/>
  <c r="J10" i="29"/>
  <c r="I9" i="29"/>
  <c r="H9" i="29"/>
  <c r="G9" i="29"/>
  <c r="F9" i="29"/>
  <c r="F17" i="29" s="1"/>
  <c r="E9" i="29"/>
  <c r="E17" i="29" s="1"/>
  <c r="D9" i="29"/>
  <c r="E5" i="29"/>
  <c r="O37" i="30"/>
  <c r="O35" i="30"/>
  <c r="N17" i="30"/>
  <c r="M17" i="30"/>
  <c r="L17" i="30"/>
  <c r="K17" i="30"/>
  <c r="J17" i="30"/>
  <c r="I17" i="30"/>
  <c r="H17" i="30"/>
  <c r="G17" i="30"/>
  <c r="F17" i="30"/>
  <c r="E17" i="30"/>
  <c r="D17" i="30"/>
  <c r="C17" i="30"/>
  <c r="O16" i="30"/>
  <c r="O15" i="30"/>
  <c r="O14" i="30"/>
  <c r="E16" i="21"/>
  <c r="AF15" i="7"/>
  <c r="AG15" i="7" s="1"/>
  <c r="AF18" i="7"/>
  <c r="AG18" i="7" s="1"/>
  <c r="AF26" i="7"/>
  <c r="AF29" i="7"/>
  <c r="AG29" i="7" s="1"/>
  <c r="AF35" i="7"/>
  <c r="AG35" i="7" s="1"/>
  <c r="H63" i="5"/>
  <c r="K63" i="5"/>
  <c r="AI63" i="5"/>
  <c r="E23" i="14"/>
  <c r="H54" i="58" s="1"/>
  <c r="E54" i="58" s="1"/>
  <c r="F23" i="14"/>
  <c r="I54" i="58" s="1"/>
  <c r="F54" i="58" s="1"/>
  <c r="G4" i="8"/>
  <c r="C17" i="17"/>
  <c r="C12" i="17"/>
  <c r="D63" i="1"/>
  <c r="AF103" i="7"/>
  <c r="P103" i="7"/>
  <c r="Q103" i="7"/>
  <c r="R103" i="7"/>
  <c r="S103" i="7"/>
  <c r="S107" i="7" s="1"/>
  <c r="T103" i="7"/>
  <c r="T107" i="7" s="1"/>
  <c r="U103" i="7"/>
  <c r="U107" i="7" s="1"/>
  <c r="V103" i="7"/>
  <c r="V107" i="7" s="1"/>
  <c r="W103" i="7"/>
  <c r="C9" i="17"/>
  <c r="C7" i="18"/>
  <c r="F80" i="14"/>
  <c r="E80" i="14"/>
  <c r="F74" i="14"/>
  <c r="I69" i="58" s="1"/>
  <c r="E74" i="14"/>
  <c r="F26" i="14"/>
  <c r="I56" i="58" s="1"/>
  <c r="F56" i="58" s="1"/>
  <c r="E32" i="17" s="1"/>
  <c r="E26" i="14"/>
  <c r="H56" i="58" s="1"/>
  <c r="E56" i="58" s="1"/>
  <c r="D32" i="17" s="1"/>
  <c r="H5" i="18" s="1"/>
  <c r="F19" i="14"/>
  <c r="I53" i="58" s="1"/>
  <c r="E19" i="14"/>
  <c r="H53" i="58" s="1"/>
  <c r="AH52" i="5"/>
  <c r="AI52" i="5"/>
  <c r="AH14" i="5"/>
  <c r="AI14" i="5"/>
  <c r="AH17" i="5"/>
  <c r="AI17" i="5"/>
  <c r="AH25" i="5"/>
  <c r="AI25" i="5"/>
  <c r="AH28" i="5"/>
  <c r="AI28" i="5"/>
  <c r="AH34" i="5"/>
  <c r="AI34" i="5"/>
  <c r="H28" i="5"/>
  <c r="K28" i="5"/>
  <c r="AF28" i="5"/>
  <c r="H34" i="5"/>
  <c r="K34" i="5"/>
  <c r="AE34" i="5"/>
  <c r="AF34" i="5"/>
  <c r="H52" i="5"/>
  <c r="K52" i="5"/>
  <c r="L52" i="5" s="1"/>
  <c r="AE52" i="5"/>
  <c r="AF52" i="5"/>
  <c r="O11" i="8"/>
  <c r="AF25" i="5"/>
  <c r="K25" i="5"/>
  <c r="H25" i="5"/>
  <c r="O10" i="8"/>
  <c r="K17" i="5"/>
  <c r="H17" i="5"/>
  <c r="K14" i="5"/>
  <c r="O9" i="8"/>
  <c r="H14" i="5"/>
  <c r="P35" i="7"/>
  <c r="Q35" i="7"/>
  <c r="R35" i="7"/>
  <c r="S35" i="7"/>
  <c r="T35" i="7"/>
  <c r="U35" i="7"/>
  <c r="V35" i="7"/>
  <c r="W35" i="7"/>
  <c r="P29" i="7"/>
  <c r="D29" i="7" s="1"/>
  <c r="Q29" i="7"/>
  <c r="R29" i="7"/>
  <c r="F29" i="7" s="1"/>
  <c r="S29" i="7"/>
  <c r="T29" i="7"/>
  <c r="U29" i="7"/>
  <c r="V29" i="7"/>
  <c r="W29" i="7"/>
  <c r="X29" i="7" s="1"/>
  <c r="S26" i="7"/>
  <c r="T26" i="7"/>
  <c r="U26" i="7"/>
  <c r="V26" i="7"/>
  <c r="W26" i="7"/>
  <c r="X26" i="7" s="1"/>
  <c r="S18" i="7"/>
  <c r="T18" i="7"/>
  <c r="U18" i="7"/>
  <c r="V18" i="7"/>
  <c r="W18" i="7"/>
  <c r="S15" i="7"/>
  <c r="T15" i="7"/>
  <c r="U15" i="7"/>
  <c r="V15" i="7"/>
  <c r="W15" i="7"/>
  <c r="Q75" i="7"/>
  <c r="E75" i="7" s="1"/>
  <c r="R75" i="7"/>
  <c r="S75" i="7"/>
  <c r="T75" i="7"/>
  <c r="U75" i="7"/>
  <c r="V75" i="7"/>
  <c r="W75" i="7"/>
  <c r="R26" i="7"/>
  <c r="Q26" i="7"/>
  <c r="P26" i="7"/>
  <c r="D26" i="7" s="1"/>
  <c r="R18" i="7"/>
  <c r="Q18" i="7"/>
  <c r="P18" i="7"/>
  <c r="R15" i="7"/>
  <c r="Q15" i="7"/>
  <c r="P15" i="7"/>
  <c r="D15" i="7" s="1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G28" i="6"/>
  <c r="D37" i="6"/>
  <c r="D15" i="6"/>
  <c r="D18" i="6"/>
  <c r="D26" i="6"/>
  <c r="D29" i="6"/>
  <c r="D11" i="6"/>
  <c r="E45" i="6"/>
  <c r="Q21" i="8" s="1"/>
  <c r="F45" i="6"/>
  <c r="R21" i="8" s="1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G45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G34" i="6"/>
  <c r="F25" i="6"/>
  <c r="R11" i="8" s="1"/>
  <c r="E25" i="6"/>
  <c r="Q11" i="8" s="1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17" i="6"/>
  <c r="R10" i="8" s="1"/>
  <c r="E17" i="6"/>
  <c r="Q10" i="8" s="1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4" i="6"/>
  <c r="R9" i="8" s="1"/>
  <c r="E14" i="6"/>
  <c r="Q9" i="8" s="1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D43" i="1"/>
  <c r="E52" i="1"/>
  <c r="E65" i="1" s="1"/>
  <c r="F52" i="1"/>
  <c r="F65" i="1" s="1"/>
  <c r="D52" i="1"/>
  <c r="G13" i="8"/>
  <c r="G12" i="8"/>
  <c r="G11" i="8"/>
  <c r="G10" i="8"/>
  <c r="W107" i="7" l="1"/>
  <c r="X107" i="7" s="1"/>
  <c r="X103" i="7"/>
  <c r="AF107" i="7"/>
  <c r="AG103" i="7"/>
  <c r="AG107" i="7" s="1"/>
  <c r="AA29" i="8" s="1"/>
  <c r="F29" i="8" s="1"/>
  <c r="D18" i="7"/>
  <c r="Y10" i="8" s="1"/>
  <c r="E35" i="7"/>
  <c r="E18" i="7"/>
  <c r="X15" i="7"/>
  <c r="F15" i="7" s="1"/>
  <c r="AA9" i="8" s="1"/>
  <c r="F9" i="8" s="1"/>
  <c r="E103" i="7"/>
  <c r="D42" i="17" s="1"/>
  <c r="E15" i="7"/>
  <c r="X75" i="7"/>
  <c r="F75" i="7" s="1"/>
  <c r="AA18" i="8" s="1"/>
  <c r="F18" i="8" s="1"/>
  <c r="E35" i="17" s="1"/>
  <c r="X18" i="7"/>
  <c r="F18" i="7" s="1"/>
  <c r="AA10" i="8" s="1"/>
  <c r="F10" i="8" s="1"/>
  <c r="E29" i="7"/>
  <c r="D103" i="7"/>
  <c r="C42" i="17" s="1"/>
  <c r="G25" i="18" s="1"/>
  <c r="E53" i="58"/>
  <c r="H55" i="58"/>
  <c r="F69" i="58"/>
  <c r="I55" i="58"/>
  <c r="F55" i="58" s="1"/>
  <c r="E31" i="17" s="1"/>
  <c r="F53" i="58"/>
  <c r="B27" i="30"/>
  <c r="I5" i="18"/>
  <c r="AG26" i="7"/>
  <c r="F26" i="7" s="1"/>
  <c r="AA11" i="8" s="1"/>
  <c r="F11" i="8" s="1"/>
  <c r="E26" i="7"/>
  <c r="D35" i="7"/>
  <c r="X35" i="7"/>
  <c r="F35" i="7" s="1"/>
  <c r="AA13" i="8" s="1"/>
  <c r="F13" i="8" s="1"/>
  <c r="I52" i="5"/>
  <c r="O21" i="8" s="1"/>
  <c r="F21" i="8" s="1"/>
  <c r="E38" i="17" s="1"/>
  <c r="B33" i="30" s="1"/>
  <c r="F66" i="41"/>
  <c r="F107" i="7"/>
  <c r="F34" i="6"/>
  <c r="R13" i="8" s="1"/>
  <c r="F28" i="6"/>
  <c r="R12" i="8" s="1"/>
  <c r="N9" i="8"/>
  <c r="N10" i="8"/>
  <c r="N21" i="8"/>
  <c r="E21" i="8" s="1"/>
  <c r="D38" i="17" s="1"/>
  <c r="E24" i="14"/>
  <c r="E84" i="14" s="1"/>
  <c r="Y9" i="8"/>
  <c r="Y11" i="8"/>
  <c r="Y12" i="8"/>
  <c r="O31" i="30"/>
  <c r="Z12" i="8"/>
  <c r="E12" i="8" s="1"/>
  <c r="F24" i="14"/>
  <c r="F84" i="14" s="1"/>
  <c r="Z10" i="8"/>
  <c r="Z11" i="8"/>
  <c r="Z13" i="8"/>
  <c r="E13" i="8" s="1"/>
  <c r="Z9" i="8"/>
  <c r="AA12" i="8"/>
  <c r="F12" i="8" s="1"/>
  <c r="J9" i="29"/>
  <c r="J17" i="29" s="1"/>
  <c r="J27" i="8"/>
  <c r="J30" i="8" s="1"/>
  <c r="O17" i="30"/>
  <c r="H17" i="29"/>
  <c r="D17" i="29"/>
  <c r="G17" i="29"/>
  <c r="I17" i="29"/>
  <c r="C11" i="17"/>
  <c r="C10" i="17"/>
  <c r="C5" i="17"/>
  <c r="Q107" i="7"/>
  <c r="R107" i="7"/>
  <c r="Z18" i="8"/>
  <c r="E18" i="8" s="1"/>
  <c r="D35" i="17" s="1"/>
  <c r="H9" i="18" s="1"/>
  <c r="C21" i="18"/>
  <c r="C20" i="18" s="1"/>
  <c r="G5" i="8"/>
  <c r="C18" i="17"/>
  <c r="G14" i="8"/>
  <c r="W36" i="7"/>
  <c r="Q36" i="7"/>
  <c r="T35" i="6"/>
  <c r="T58" i="6" s="1"/>
  <c r="D17" i="6"/>
  <c r="N35" i="6"/>
  <c r="O35" i="6"/>
  <c r="O58" i="6" s="1"/>
  <c r="L35" i="6"/>
  <c r="L58" i="6" s="1"/>
  <c r="E35" i="6"/>
  <c r="E58" i="6" s="1"/>
  <c r="Q14" i="8"/>
  <c r="Q27" i="8" s="1"/>
  <c r="Q30" i="8" s="1"/>
  <c r="D14" i="6"/>
  <c r="J35" i="6"/>
  <c r="R35" i="6"/>
  <c r="O14" i="8"/>
  <c r="H35" i="5"/>
  <c r="AE35" i="5"/>
  <c r="AE65" i="5" s="1"/>
  <c r="N11" i="8"/>
  <c r="M7" i="8"/>
  <c r="AH35" i="5"/>
  <c r="AH65" i="5" s="1"/>
  <c r="G35" i="6"/>
  <c r="G58" i="6" s="1"/>
  <c r="P75" i="7"/>
  <c r="D75" i="7" s="1"/>
  <c r="P107" i="7"/>
  <c r="D107" i="7" s="1"/>
  <c r="T36" i="7"/>
  <c r="T98" i="7" s="1"/>
  <c r="C39" i="17"/>
  <c r="M3" i="8"/>
  <c r="K35" i="6"/>
  <c r="K58" i="6" s="1"/>
  <c r="S35" i="6"/>
  <c r="S58" i="6" s="1"/>
  <c r="P4" i="8"/>
  <c r="R36" i="7"/>
  <c r="AF36" i="7"/>
  <c r="I35" i="6"/>
  <c r="I58" i="6" s="1"/>
  <c r="D34" i="6"/>
  <c r="D45" i="6"/>
  <c r="H35" i="6"/>
  <c r="H58" i="6" s="1"/>
  <c r="U35" i="6"/>
  <c r="U58" i="6" s="1"/>
  <c r="P7" i="8"/>
  <c r="Q35" i="6"/>
  <c r="P35" i="6"/>
  <c r="M4" i="8"/>
  <c r="M12" i="8"/>
  <c r="M10" i="8"/>
  <c r="K35" i="5"/>
  <c r="K65" i="5" s="1"/>
  <c r="L65" i="5" s="1"/>
  <c r="M35" i="6"/>
  <c r="M58" i="6" s="1"/>
  <c r="D25" i="6"/>
  <c r="D65" i="1"/>
  <c r="D28" i="6"/>
  <c r="P12" i="8" s="1"/>
  <c r="U36" i="7"/>
  <c r="U98" i="7" s="1"/>
  <c r="S36" i="7"/>
  <c r="S98" i="7" s="1"/>
  <c r="M9" i="8"/>
  <c r="M13" i="8"/>
  <c r="M11" i="8"/>
  <c r="AI35" i="5"/>
  <c r="AI65" i="5" s="1"/>
  <c r="P36" i="7"/>
  <c r="V36" i="7"/>
  <c r="AF35" i="5"/>
  <c r="AF65" i="5" s="1"/>
  <c r="E107" i="7" l="1"/>
  <c r="Z29" i="8"/>
  <c r="E29" i="8" s="1"/>
  <c r="D53" i="17"/>
  <c r="D51" i="17" s="1"/>
  <c r="H25" i="18"/>
  <c r="F103" i="7"/>
  <c r="E42" i="17" s="1"/>
  <c r="O27" i="8"/>
  <c r="O30" i="8" s="1"/>
  <c r="N14" i="8"/>
  <c r="N27" i="8" s="1"/>
  <c r="N30" i="8" s="1"/>
  <c r="E10" i="8"/>
  <c r="E55" i="58"/>
  <c r="D31" i="17" s="1"/>
  <c r="H4" i="18" s="1"/>
  <c r="H75" i="58"/>
  <c r="B26" i="30"/>
  <c r="I4" i="18"/>
  <c r="I75" i="58"/>
  <c r="AF98" i="7"/>
  <c r="AG98" i="7" s="1"/>
  <c r="AG36" i="7"/>
  <c r="W98" i="7"/>
  <c r="E36" i="7"/>
  <c r="V98" i="7"/>
  <c r="X36" i="7"/>
  <c r="F36" i="7" s="1"/>
  <c r="D36" i="7"/>
  <c r="E9" i="8"/>
  <c r="E11" i="8"/>
  <c r="E37" i="17"/>
  <c r="I21" i="18"/>
  <c r="I20" i="18" s="1"/>
  <c r="H21" i="18"/>
  <c r="H20" i="18" s="1"/>
  <c r="D37" i="17"/>
  <c r="I9" i="18"/>
  <c r="B30" i="30"/>
  <c r="F35" i="6"/>
  <c r="F58" i="6" s="1"/>
  <c r="R14" i="8"/>
  <c r="R27" i="8" s="1"/>
  <c r="R30" i="8" s="1"/>
  <c r="H65" i="5"/>
  <c r="H34" i="30"/>
  <c r="D9" i="30"/>
  <c r="H9" i="30"/>
  <c r="L9" i="30"/>
  <c r="G9" i="30"/>
  <c r="K9" i="30"/>
  <c r="J9" i="30"/>
  <c r="C9" i="30"/>
  <c r="E9" i="30"/>
  <c r="I9" i="30"/>
  <c r="M9" i="30"/>
  <c r="F9" i="30"/>
  <c r="N9" i="30"/>
  <c r="P9" i="8"/>
  <c r="D9" i="8" s="1"/>
  <c r="P10" i="8"/>
  <c r="D10" i="8" s="1"/>
  <c r="P11" i="8"/>
  <c r="D11" i="8" s="1"/>
  <c r="P13" i="8"/>
  <c r="G27" i="8"/>
  <c r="G30" i="8" s="1"/>
  <c r="P21" i="8"/>
  <c r="Y13" i="8"/>
  <c r="P98" i="7"/>
  <c r="Q98" i="7"/>
  <c r="R98" i="7"/>
  <c r="D12" i="8"/>
  <c r="C10" i="18"/>
  <c r="B16" i="30"/>
  <c r="C8" i="17"/>
  <c r="C53" i="17"/>
  <c r="D4" i="8"/>
  <c r="D7" i="8"/>
  <c r="C32" i="17" s="1"/>
  <c r="G5" i="18" s="1"/>
  <c r="C22" i="17"/>
  <c r="C7" i="17"/>
  <c r="C4" i="18" s="1"/>
  <c r="AA14" i="8"/>
  <c r="Z14" i="8"/>
  <c r="Y29" i="8"/>
  <c r="C15" i="17"/>
  <c r="N58" i="6"/>
  <c r="J58" i="6"/>
  <c r="R58" i="6"/>
  <c r="P58" i="6"/>
  <c r="P3" i="8"/>
  <c r="P5" i="8" s="1"/>
  <c r="M14" i="8"/>
  <c r="M5" i="8"/>
  <c r="Q58" i="6"/>
  <c r="G22" i="18"/>
  <c r="C5" i="18"/>
  <c r="D35" i="6"/>
  <c r="D98" i="7" l="1"/>
  <c r="H27" i="18"/>
  <c r="E53" i="17"/>
  <c r="E51" i="17" s="1"/>
  <c r="I25" i="18"/>
  <c r="I27" i="18" s="1"/>
  <c r="B37" i="30"/>
  <c r="E75" i="58"/>
  <c r="H79" i="58"/>
  <c r="E79" i="58" s="1"/>
  <c r="F75" i="58"/>
  <c r="I79" i="58"/>
  <c r="F79" i="58" s="1"/>
  <c r="E98" i="7"/>
  <c r="X98" i="7"/>
  <c r="F98" i="7" s="1"/>
  <c r="I65" i="5"/>
  <c r="Z27" i="8"/>
  <c r="Z30" i="8" s="1"/>
  <c r="E14" i="8"/>
  <c r="D33" i="17" s="1"/>
  <c r="H6" i="18" s="1"/>
  <c r="H3" i="18" s="1"/>
  <c r="H16" i="18" s="1"/>
  <c r="H28" i="18" s="1"/>
  <c r="AA27" i="8"/>
  <c r="F27" i="8" s="1"/>
  <c r="F30" i="8" s="1"/>
  <c r="F14" i="8"/>
  <c r="J34" i="30"/>
  <c r="G34" i="30"/>
  <c r="L34" i="30"/>
  <c r="I34" i="30"/>
  <c r="N34" i="30"/>
  <c r="C34" i="30"/>
  <c r="M34" i="30"/>
  <c r="F34" i="30"/>
  <c r="D34" i="30"/>
  <c r="E34" i="30"/>
  <c r="K34" i="30"/>
  <c r="M21" i="8"/>
  <c r="M27" i="8" s="1"/>
  <c r="M30" i="8" s="1"/>
  <c r="D5" i="30"/>
  <c r="H5" i="30"/>
  <c r="L5" i="30"/>
  <c r="K5" i="30"/>
  <c r="E5" i="30"/>
  <c r="I5" i="30"/>
  <c r="M5" i="30"/>
  <c r="G5" i="30"/>
  <c r="F5" i="30"/>
  <c r="J5" i="30"/>
  <c r="N5" i="30"/>
  <c r="C5" i="30"/>
  <c r="B21" i="30"/>
  <c r="B22" i="30" s="1"/>
  <c r="D21" i="30"/>
  <c r="D22" i="30" s="1"/>
  <c r="H21" i="30"/>
  <c r="H22" i="30" s="1"/>
  <c r="L21" i="30"/>
  <c r="L22" i="30" s="1"/>
  <c r="K21" i="30"/>
  <c r="K22" i="30" s="1"/>
  <c r="E21" i="30"/>
  <c r="E22" i="30" s="1"/>
  <c r="I21" i="30"/>
  <c r="I22" i="30" s="1"/>
  <c r="M21" i="30"/>
  <c r="M22" i="30" s="1"/>
  <c r="G21" i="30"/>
  <c r="G22" i="30" s="1"/>
  <c r="F21" i="30"/>
  <c r="F22" i="30" s="1"/>
  <c r="J21" i="30"/>
  <c r="J22" i="30" s="1"/>
  <c r="N21" i="30"/>
  <c r="N22" i="30" s="1"/>
  <c r="C21" i="30"/>
  <c r="C22" i="30" s="1"/>
  <c r="D12" i="30"/>
  <c r="H12" i="30"/>
  <c r="L12" i="30"/>
  <c r="G12" i="30"/>
  <c r="C12" i="30"/>
  <c r="E12" i="30"/>
  <c r="I12" i="30"/>
  <c r="M12" i="30"/>
  <c r="F12" i="30"/>
  <c r="J12" i="30"/>
  <c r="N12" i="30"/>
  <c r="K12" i="30"/>
  <c r="G4" i="30"/>
  <c r="K4" i="30"/>
  <c r="C4" i="30"/>
  <c r="L4" i="30"/>
  <c r="F4" i="30"/>
  <c r="D4" i="30"/>
  <c r="H4" i="30"/>
  <c r="J4" i="30"/>
  <c r="E4" i="30"/>
  <c r="I4" i="30"/>
  <c r="M4" i="30"/>
  <c r="N4" i="30"/>
  <c r="O20" i="30"/>
  <c r="D7" i="30"/>
  <c r="H7" i="30"/>
  <c r="L7" i="30"/>
  <c r="K7" i="30"/>
  <c r="J7" i="30"/>
  <c r="E7" i="30"/>
  <c r="I7" i="30"/>
  <c r="M7" i="30"/>
  <c r="G7" i="30"/>
  <c r="C7" i="30"/>
  <c r="F7" i="30"/>
  <c r="N7" i="30"/>
  <c r="O9" i="30"/>
  <c r="E8" i="30"/>
  <c r="I8" i="30"/>
  <c r="M8" i="30"/>
  <c r="D8" i="30"/>
  <c r="H8" i="30"/>
  <c r="L8" i="30"/>
  <c r="C8" i="30"/>
  <c r="G8" i="30"/>
  <c r="F8" i="30"/>
  <c r="J8" i="30"/>
  <c r="N8" i="30"/>
  <c r="K8" i="30"/>
  <c r="B10" i="30"/>
  <c r="P14" i="8"/>
  <c r="D13" i="8"/>
  <c r="B6" i="30"/>
  <c r="Y14" i="8"/>
  <c r="B17" i="30"/>
  <c r="C20" i="17"/>
  <c r="D5" i="8"/>
  <c r="C31" i="17" s="1"/>
  <c r="G4" i="18" s="1"/>
  <c r="D29" i="8"/>
  <c r="D3" i="8"/>
  <c r="C4" i="17"/>
  <c r="C3" i="18"/>
  <c r="D58" i="6"/>
  <c r="B35" i="30"/>
  <c r="G23" i="18"/>
  <c r="E33" i="17" l="1"/>
  <c r="D30" i="17"/>
  <c r="D41" i="17" s="1"/>
  <c r="D43" i="17" s="1"/>
  <c r="D56" i="17" s="1"/>
  <c r="AA30" i="8"/>
  <c r="E27" i="8"/>
  <c r="E30" i="8" s="1"/>
  <c r="O34" i="30"/>
  <c r="D6" i="30"/>
  <c r="E6" i="30"/>
  <c r="F6" i="30"/>
  <c r="D21" i="8"/>
  <c r="C38" i="17" s="1"/>
  <c r="G21" i="18" s="1"/>
  <c r="H6" i="30"/>
  <c r="I6" i="30"/>
  <c r="M6" i="30"/>
  <c r="N6" i="30"/>
  <c r="L6" i="30"/>
  <c r="O5" i="30"/>
  <c r="K10" i="30"/>
  <c r="J6" i="30"/>
  <c r="K6" i="30"/>
  <c r="G6" i="30"/>
  <c r="O12" i="30"/>
  <c r="O19" i="30"/>
  <c r="C6" i="30"/>
  <c r="O4" i="30"/>
  <c r="N10" i="30"/>
  <c r="G10" i="30"/>
  <c r="J10" i="30"/>
  <c r="D10" i="30"/>
  <c r="C10" i="30"/>
  <c r="O7" i="30"/>
  <c r="E10" i="30"/>
  <c r="H10" i="30"/>
  <c r="F10" i="30"/>
  <c r="I10" i="30"/>
  <c r="L10" i="30"/>
  <c r="O8" i="30"/>
  <c r="M10" i="30"/>
  <c r="D11" i="30"/>
  <c r="H11" i="30"/>
  <c r="L11" i="30"/>
  <c r="C11" i="30"/>
  <c r="J11" i="30"/>
  <c r="G11" i="30"/>
  <c r="F11" i="30"/>
  <c r="E11" i="30"/>
  <c r="I11" i="30"/>
  <c r="M11" i="30"/>
  <c r="K11" i="30"/>
  <c r="N11" i="30"/>
  <c r="D14" i="8"/>
  <c r="C33" i="17" s="1"/>
  <c r="G6" i="18" s="1"/>
  <c r="P27" i="8"/>
  <c r="P30" i="8" s="1"/>
  <c r="B13" i="30"/>
  <c r="B23" i="30" s="1"/>
  <c r="C52" i="17"/>
  <c r="C16" i="18"/>
  <c r="C19" i="17"/>
  <c r="C25" i="17"/>
  <c r="Y18" i="8"/>
  <c r="G8" i="18"/>
  <c r="C34" i="17"/>
  <c r="O21" i="30" l="1"/>
  <c r="I6" i="18"/>
  <c r="I3" i="18" s="1"/>
  <c r="I16" i="18" s="1"/>
  <c r="I28" i="18" s="1"/>
  <c r="B28" i="30"/>
  <c r="E30" i="17"/>
  <c r="E41" i="17" s="1"/>
  <c r="O6" i="30"/>
  <c r="D47" i="17"/>
  <c r="G20" i="18"/>
  <c r="I13" i="30"/>
  <c r="I23" i="30" s="1"/>
  <c r="N13" i="30"/>
  <c r="N23" i="30" s="1"/>
  <c r="K13" i="30"/>
  <c r="K23" i="30" s="1"/>
  <c r="M13" i="30"/>
  <c r="M23" i="30" s="1"/>
  <c r="D13" i="30"/>
  <c r="D23" i="30" s="1"/>
  <c r="O10" i="30"/>
  <c r="F13" i="30"/>
  <c r="F23" i="30" s="1"/>
  <c r="J13" i="30"/>
  <c r="J23" i="30" s="1"/>
  <c r="G13" i="30"/>
  <c r="G23" i="30" s="1"/>
  <c r="H13" i="30"/>
  <c r="H23" i="30" s="1"/>
  <c r="E13" i="30"/>
  <c r="E23" i="30" s="1"/>
  <c r="L13" i="30"/>
  <c r="L23" i="30" s="1"/>
  <c r="H27" i="30"/>
  <c r="G27" i="30"/>
  <c r="K27" i="30"/>
  <c r="C27" i="30"/>
  <c r="F27" i="30"/>
  <c r="N27" i="30"/>
  <c r="J27" i="30"/>
  <c r="E27" i="30"/>
  <c r="I27" i="30"/>
  <c r="M27" i="30"/>
  <c r="D27" i="30"/>
  <c r="L27" i="30"/>
  <c r="O11" i="30"/>
  <c r="C13" i="30"/>
  <c r="C23" i="30" s="1"/>
  <c r="C27" i="18"/>
  <c r="C51" i="17"/>
  <c r="C37" i="17"/>
  <c r="Y27" i="8"/>
  <c r="Y30" i="8" s="1"/>
  <c r="D18" i="8"/>
  <c r="C35" i="17" s="1"/>
  <c r="G9" i="18" s="1"/>
  <c r="O22" i="30" l="1"/>
  <c r="E47" i="17"/>
  <c r="E43" i="17"/>
  <c r="E56" i="17" s="1"/>
  <c r="O13" i="30"/>
  <c r="F29" i="30"/>
  <c r="J29" i="30"/>
  <c r="N29" i="30"/>
  <c r="E29" i="30"/>
  <c r="M29" i="30"/>
  <c r="G29" i="30"/>
  <c r="K29" i="30"/>
  <c r="D29" i="30"/>
  <c r="H29" i="30"/>
  <c r="L29" i="30"/>
  <c r="I29" i="30"/>
  <c r="C29" i="30"/>
  <c r="H26" i="30"/>
  <c r="G26" i="30"/>
  <c r="K26" i="30"/>
  <c r="C26" i="30"/>
  <c r="F26" i="30"/>
  <c r="N26" i="30"/>
  <c r="J26" i="30"/>
  <c r="E26" i="30"/>
  <c r="I26" i="30"/>
  <c r="M26" i="30"/>
  <c r="D26" i="30"/>
  <c r="L26" i="30"/>
  <c r="O27" i="30"/>
  <c r="B36" i="30"/>
  <c r="G36" i="30"/>
  <c r="F36" i="30"/>
  <c r="J36" i="30"/>
  <c r="N36" i="30"/>
  <c r="I36" i="30"/>
  <c r="E36" i="30"/>
  <c r="M36" i="30"/>
  <c r="D36" i="30"/>
  <c r="H36" i="30"/>
  <c r="L36" i="30"/>
  <c r="K36" i="30"/>
  <c r="C28" i="18"/>
  <c r="G27" i="18"/>
  <c r="G3" i="18"/>
  <c r="G16" i="18" s="1"/>
  <c r="D27" i="8"/>
  <c r="D30" i="8" s="1"/>
  <c r="O23" i="30" l="1"/>
  <c r="O29" i="30"/>
  <c r="C36" i="30"/>
  <c r="O33" i="30"/>
  <c r="G28" i="30"/>
  <c r="F28" i="30"/>
  <c r="J28" i="30"/>
  <c r="N28" i="30"/>
  <c r="I28" i="30"/>
  <c r="E28" i="30"/>
  <c r="M28" i="30"/>
  <c r="C28" i="30"/>
  <c r="D28" i="30"/>
  <c r="H28" i="30"/>
  <c r="L28" i="30"/>
  <c r="K28" i="30"/>
  <c r="O26" i="30"/>
  <c r="G28" i="18"/>
  <c r="C30" i="17"/>
  <c r="O36" i="30" l="1"/>
  <c r="B32" i="30"/>
  <c r="B38" i="30" s="1"/>
  <c r="B40" i="30" s="1"/>
  <c r="E30" i="30"/>
  <c r="E32" i="30" s="1"/>
  <c r="E38" i="30" s="1"/>
  <c r="I30" i="30"/>
  <c r="I32" i="30" s="1"/>
  <c r="I38" i="30" s="1"/>
  <c r="M30" i="30"/>
  <c r="M32" i="30" s="1"/>
  <c r="M38" i="30" s="1"/>
  <c r="D30" i="30"/>
  <c r="D32" i="30" s="1"/>
  <c r="D38" i="30" s="1"/>
  <c r="F30" i="30"/>
  <c r="F32" i="30" s="1"/>
  <c r="F38" i="30" s="1"/>
  <c r="J30" i="30"/>
  <c r="J32" i="30" s="1"/>
  <c r="J38" i="30" s="1"/>
  <c r="N30" i="30"/>
  <c r="N32" i="30" s="1"/>
  <c r="N38" i="30" s="1"/>
  <c r="L30" i="30"/>
  <c r="L32" i="30" s="1"/>
  <c r="L38" i="30" s="1"/>
  <c r="G30" i="30"/>
  <c r="G32" i="30" s="1"/>
  <c r="G38" i="30" s="1"/>
  <c r="K30" i="30"/>
  <c r="K32" i="30" s="1"/>
  <c r="K38" i="30" s="1"/>
  <c r="C30" i="30"/>
  <c r="C32" i="30" s="1"/>
  <c r="C38" i="30" s="1"/>
  <c r="C40" i="30" s="1"/>
  <c r="D3" i="30" s="1"/>
  <c r="H30" i="30"/>
  <c r="H32" i="30" s="1"/>
  <c r="H38" i="30" s="1"/>
  <c r="O28" i="30"/>
  <c r="C41" i="17"/>
  <c r="C43" i="17" s="1"/>
  <c r="D40" i="30" l="1"/>
  <c r="E3" i="30" s="1"/>
  <c r="E40" i="30" s="1"/>
  <c r="F3" i="30" s="1"/>
  <c r="F40" i="30" s="1"/>
  <c r="G3" i="30" s="1"/>
  <c r="G40" i="30" s="1"/>
  <c r="H3" i="30" s="1"/>
  <c r="H40" i="30" s="1"/>
  <c r="I3" i="30" s="1"/>
  <c r="I40" i="30" s="1"/>
  <c r="J3" i="30" s="1"/>
  <c r="J40" i="30" s="1"/>
  <c r="K3" i="30" s="1"/>
  <c r="K40" i="30" s="1"/>
  <c r="L3" i="30" s="1"/>
  <c r="L40" i="30" s="1"/>
  <c r="M3" i="30" s="1"/>
  <c r="M40" i="30" s="1"/>
  <c r="N3" i="30" s="1"/>
  <c r="N40" i="30" s="1"/>
  <c r="O30" i="30"/>
  <c r="O32" i="30" s="1"/>
  <c r="O38" i="30" s="1"/>
  <c r="C56" i="17"/>
  <c r="C47" i="17"/>
  <c r="O40" i="30" l="1"/>
</calcChain>
</file>

<file path=xl/comments1.xml><?xml version="1.0" encoding="utf-8"?>
<comments xmlns="http://schemas.openxmlformats.org/spreadsheetml/2006/main">
  <authors>
    <author>Felhasználó</author>
  </authors>
  <commentList>
    <comment ref="D9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ASP többlettám: 879e</t>
        </r>
      </text>
    </comment>
    <comment ref="D24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BM pályázat bevétele</t>
        </r>
      </text>
    </comment>
    <comment ref="C29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KEHOP csat: 451823
KeHOP víz: 122820</t>
        </r>
      </text>
    </comment>
    <comment ref="D29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EFOP 4.1.9: 27806
Kehop átkönyvelés: -234619
TOP 5.3.1: 22723
</t>
        </r>
      </text>
    </comment>
    <comment ref="C76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6500 MNN
PH tartalék: 1050
TOP 2.12. Zöldváros.264223
TOP 4.1.1 Egészségház: 20362
TOP 3.2.1 Isk.energetika: 1943
ASP: 2961
800 M: 126184
Csat: 503
Óvoda hiány fedezet: 14684
Szociális többlet kiadás fedezet: 950</t>
        </r>
      </text>
    </comment>
    <comment ref="C77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TOP 2.12. Zöldváros.180902
TOP 4.1.1 Egészségház: 65886+9750=75636
TOP 3.2.1 Isk.energetika: 74631
800M: 195964
100Mfejl.tart-9750(Egészségház)-13242 (PH fejlesztés)-575 (kisajátítás):76433
Ph beruházás: 6100</t>
        </r>
      </text>
    </comment>
  </commentList>
</comments>
</file>

<file path=xl/comments2.xml><?xml version="1.0" encoding="utf-8"?>
<comments xmlns="http://schemas.openxmlformats.org/spreadsheetml/2006/main">
  <authors>
    <author>Felhasználó</author>
  </authors>
  <commentList>
    <comment ref="B5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Beethoven: 14444
Pápay: 2521
</t>
        </r>
      </text>
    </comment>
    <comment ref="B7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Beethoven áfa: 4374
Pápay áfa: 951</t>
        </r>
      </text>
    </comment>
  </commentList>
</comments>
</file>

<file path=xl/comments3.xml><?xml version="1.0" encoding="utf-8"?>
<comments xmlns="http://schemas.openxmlformats.org/spreadsheetml/2006/main">
  <authors>
    <author>Felhasználó</author>
  </authors>
  <commentList>
    <comment ref="G47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800M: 178623
Kiemelt korm.beruházás: 55100
VÜ kapcs.beruh: 48000-9750(Egészségház önerő)-7150 (PH beruházás)-13242 (PH fejlesztési státuszok fedezete)-11262 (fejlesztési fel.átcsop.fejlesztési ct-ba MG Kft)=6596
Kisajátítás: 14180-575=13605</t>
        </r>
      </text>
    </comment>
    <comment ref="J55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800M 19877
Út, közmű: 59870</t>
        </r>
      </text>
    </comment>
  </commentList>
</comments>
</file>

<file path=xl/comments4.xml><?xml version="1.0" encoding="utf-8"?>
<comments xmlns="http://schemas.openxmlformats.org/spreadsheetml/2006/main">
  <authors>
    <author>Felhasználó</author>
  </authors>
  <commentList>
    <comment ref="AF20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Bethlen G.pályázat kiadás</t>
        </r>
      </text>
    </comment>
    <comment ref="G25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Vagyonbiztosítás: 1472e
Tűz-és munkav: 464e
Gyepmester: 840e
Földhivatali díjak: 300e</t>
        </r>
      </text>
    </comment>
    <comment ref="AF25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Bethlen G.pályázat kiadás</t>
        </r>
      </text>
    </comment>
  </commentList>
</comments>
</file>

<file path=xl/sharedStrings.xml><?xml version="1.0" encoding="utf-8"?>
<sst xmlns="http://schemas.openxmlformats.org/spreadsheetml/2006/main" count="2540" uniqueCount="962">
  <si>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</si>
  <si>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</si>
  <si>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</si>
  <si>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</si>
  <si>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</si>
  <si>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</si>
  <si>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</si>
  <si>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</si>
  <si>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</si>
  <si>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</si>
  <si>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</si>
  <si>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</si>
  <si>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</si>
  <si>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</si>
  <si>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</si>
  <si>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</si>
  <si>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</si>
  <si>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</si>
  <si>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</si>
  <si>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</si>
  <si>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</si>
  <si>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</si>
  <si>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</si>
  <si>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</si>
  <si>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</si>
  <si>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</si>
  <si>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ebből:biztosítási díjak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</si>
  <si>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</si>
  <si>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</si>
  <si>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</si>
  <si>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</si>
  <si>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Egyéb külső személyi juttatások</t>
  </si>
  <si>
    <t>K123</t>
  </si>
  <si>
    <t>K12</t>
  </si>
  <si>
    <t>K1</t>
  </si>
  <si>
    <t>K2</t>
  </si>
  <si>
    <t>ebből: szociális hozzájárulási adó</t>
  </si>
  <si>
    <t>ebből: rehabilitációs hozzájárulás</t>
  </si>
  <si>
    <t>ebből: egészségügyi hozzájárulás</t>
  </si>
  <si>
    <t>ebből: munkaadót a foglalkoztatottak részére történő kifizetésekkel kapcsolatban terhelő más járulék jellegű kötelezettségek</t>
  </si>
  <si>
    <t>ebből: munkáltatót terhelő személyi jövedelemadó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</si>
  <si>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</si>
  <si>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</si>
  <si>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</si>
  <si>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</si>
  <si>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</si>
  <si>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</si>
  <si>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</si>
  <si>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</si>
  <si>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</si>
  <si>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</si>
  <si>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</si>
  <si>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</si>
  <si>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</si>
  <si>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</si>
  <si>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</si>
  <si>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</si>
  <si>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</si>
  <si>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</si>
  <si>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</si>
  <si>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</si>
  <si>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>ebből: államháztartáson belül</t>
  </si>
  <si>
    <t xml:space="preserve">Szakmai tevékenységet segítő szolgáltatások </t>
  </si>
  <si>
    <t>K336</t>
  </si>
  <si>
    <t xml:space="preserve">Egyéb szolgáltatások 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</si>
  <si>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</si>
  <si>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</si>
  <si>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</si>
  <si>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</si>
  <si>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</si>
  <si>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</si>
  <si>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</si>
  <si>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</si>
  <si>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</si>
  <si>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</si>
  <si>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</si>
  <si>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</si>
  <si>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</si>
  <si>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</si>
  <si>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</si>
  <si>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</si>
  <si>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</si>
  <si>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</si>
  <si>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</si>
  <si>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</si>
  <si>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Pénzbeli kárpótlások, kártérítések</t>
  </si>
  <si>
    <t>K43</t>
  </si>
  <si>
    <t>K44</t>
  </si>
  <si>
    <t>ebből: ápolási díj</t>
  </si>
  <si>
    <t>K45</t>
  </si>
  <si>
    <t>K46</t>
  </si>
  <si>
    <t>K47</t>
  </si>
  <si>
    <t>ebből: oktatásban résztvevők pénzbeli juttatásai</t>
  </si>
  <si>
    <t>K48</t>
  </si>
  <si>
    <t>K4</t>
  </si>
  <si>
    <t>Elvonások és befizetések</t>
  </si>
  <si>
    <t>K502</t>
  </si>
  <si>
    <t>Működési célú visszatérítendő támogatások, kölcsönök nyújtása államháztartáson belülre (=135+…+144)</t>
  </si>
  <si>
    <t>K504</t>
  </si>
  <si>
    <t>ebből: helyi önkormányzatok és költségvetési szerveik</t>
  </si>
  <si>
    <t>ebből: társulások és költségvetési szerveik</t>
  </si>
  <si>
    <t>K506</t>
  </si>
  <si>
    <t>Működési célú visszatérítendő támogatások, kölcsönök nyújtása államháztartáson kívülre (=170+…+180)</t>
  </si>
  <si>
    <t>K508</t>
  </si>
  <si>
    <t>ebből:önkormányzati többségi tulajdonú nem pénzügyi vállalkozások</t>
  </si>
  <si>
    <t>K511</t>
  </si>
  <si>
    <t>Tartalékok</t>
  </si>
  <si>
    <t>K512</t>
  </si>
  <si>
    <t>K5</t>
  </si>
  <si>
    <t>Immateriális javak beszerzése, létesítése</t>
  </si>
  <si>
    <t>K61</t>
  </si>
  <si>
    <t>K62</t>
  </si>
  <si>
    <t>ebből: termőföld-vásárlás kiadásai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</si>
  <si>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</si>
  <si>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</si>
  <si>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</si>
  <si>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</si>
  <si>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</si>
  <si>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</si>
  <si>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</si>
  <si>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</si>
  <si>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</si>
  <si>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</si>
  <si>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</si>
  <si>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</si>
  <si>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</si>
  <si>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</si>
  <si>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</si>
  <si>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</si>
  <si>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</si>
  <si>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</si>
  <si>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</si>
  <si>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</si>
  <si>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K88</t>
  </si>
  <si>
    <t>K8</t>
  </si>
  <si>
    <t>K1-K8</t>
  </si>
  <si>
    <t>Családi támogatások</t>
  </si>
  <si>
    <t>ebből: önkormányzati segély (átmeneti segély, rendkívüli gyermekvédelmi tám., temetési segély)</t>
  </si>
  <si>
    <t xml:space="preserve">ebből: óvodáztatási támogatás </t>
  </si>
  <si>
    <t xml:space="preserve">Betegséggel kapcsolatos (nem társadalombiztosítási) ellátások </t>
  </si>
  <si>
    <t xml:space="preserve">ebből: helyi megállapítású közgyógyellátás </t>
  </si>
  <si>
    <t xml:space="preserve">Foglalkoztatással, munkanélküliséggel kapcsolatos ellátások </t>
  </si>
  <si>
    <t xml:space="preserve">ebből: foglalkoztatást helyettesítő támogatás </t>
  </si>
  <si>
    <t xml:space="preserve">Lakhatással kapcsolatos ellátások </t>
  </si>
  <si>
    <t xml:space="preserve">ebből: lakásfenntartási támogatás </t>
  </si>
  <si>
    <t xml:space="preserve">Intézményi ellátottak pénzbeli juttatásai </t>
  </si>
  <si>
    <t xml:space="preserve">Egyéb nem intézményi ellátások </t>
  </si>
  <si>
    <t>ebből: rendszeres szociális segély</t>
  </si>
  <si>
    <t>ebből: köztemetés</t>
  </si>
  <si>
    <t xml:space="preserve">ebből: rászorultságtól függõ normatív kedvezmények </t>
  </si>
  <si>
    <t xml:space="preserve">Ellátottak pénzbeli juttatásai </t>
  </si>
  <si>
    <t xml:space="preserve">Dologi kiadások </t>
  </si>
  <si>
    <t>Különféle befizetések és egyéb dologi kiadások</t>
  </si>
  <si>
    <t xml:space="preserve">Egyéb pénzügyi műveletek kiadásai </t>
  </si>
  <si>
    <t xml:space="preserve">Kamatkiadások   </t>
  </si>
  <si>
    <t>Kiküldetések, reklám- és propagandakiadások</t>
  </si>
  <si>
    <t xml:space="preserve">Szolgáltatási kiadások </t>
  </si>
  <si>
    <t xml:space="preserve">Költségvetési kiadások </t>
  </si>
  <si>
    <t>Egyéb felhalmozási célú kiadások</t>
  </si>
  <si>
    <t xml:space="preserve">Egyéb felhalmozási célú támogatások államháztartáson kívülre </t>
  </si>
  <si>
    <t xml:space="preserve">Felújítások </t>
  </si>
  <si>
    <t>Beruházások</t>
  </si>
  <si>
    <t xml:space="preserve">Ingatlanok beszerzése, létesítése </t>
  </si>
  <si>
    <t>Egyéb működési célú kiadások</t>
  </si>
  <si>
    <t>Egyéb működési célú támogatások államháztartáson kívülre</t>
  </si>
  <si>
    <t xml:space="preserve">Egyéb működési célú támogatások államháztartáson belülre </t>
  </si>
  <si>
    <t>Közvetített szolgáltatások</t>
  </si>
  <si>
    <t xml:space="preserve">Bérleti és lízing díjak </t>
  </si>
  <si>
    <t>ebből: államháztartáson kívül</t>
  </si>
  <si>
    <t xml:space="preserve">Kommunikációs szolgáltatások </t>
  </si>
  <si>
    <t xml:space="preserve">Készletbeszerzés </t>
  </si>
  <si>
    <t xml:space="preserve">Munkaadókat terhelő járulékok és szociális hozzájárulási adó                                                                   </t>
  </si>
  <si>
    <t xml:space="preserve">Személyi juttatások összesen </t>
  </si>
  <si>
    <t xml:space="preserve">Külső személyi juttatások </t>
  </si>
  <si>
    <t xml:space="preserve">Foglalkoztatottak személyi juttatásai </t>
  </si>
  <si>
    <t>Foglalkoztatottak egyéb személyi juttatásai</t>
  </si>
  <si>
    <t>011130- Önkormányzati jogalkotás</t>
  </si>
  <si>
    <t>Eredeti ei.</t>
  </si>
  <si>
    <t>Mód. Ei.</t>
  </si>
  <si>
    <t>Telj. Ei.</t>
  </si>
  <si>
    <t>Összesen</t>
  </si>
  <si>
    <t>066020 Város- és községgazdálkodási egyéb szolgáltatások</t>
  </si>
  <si>
    <t>Megnevezése</t>
  </si>
  <si>
    <t xml:space="preserve">Működési célú visszatérítendő támogatások, kölcsönök nyújtása államháztartáson kívülre </t>
  </si>
  <si>
    <t>Működési célú visszatérítendő támogatások, kölcsönök nyújtása államháztartáson belülre</t>
  </si>
  <si>
    <t>091110- Óvodai nevelés, ellátás szakmai feladatai</t>
  </si>
  <si>
    <t>074031- Család és nővédelmi eü gondozás</t>
  </si>
  <si>
    <t>074032- Ifjúság-eüi gondozás</t>
  </si>
  <si>
    <t>072420- Eü laboratóriumi szolg.</t>
  </si>
  <si>
    <t>Kötelező feladat</t>
  </si>
  <si>
    <t>Önként vállalt feladat</t>
  </si>
  <si>
    <t>072210 - Járóbetegek gyógyító szakellátása</t>
  </si>
  <si>
    <t>074011- Foglalkozás eü-i alapellátás</t>
  </si>
  <si>
    <t>091250- Alapfokú művokt. Összefüggő működési feladatok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</si>
  <si>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</si>
  <si>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</si>
  <si>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</si>
  <si>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</si>
  <si>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</si>
  <si>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</si>
  <si>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</si>
  <si>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</si>
  <si>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B115</t>
  </si>
  <si>
    <t>B116</t>
  </si>
  <si>
    <t>B11</t>
  </si>
  <si>
    <t>Egyéb működési célú támogatások bevételei államháztartáson belülről</t>
  </si>
  <si>
    <t>B16</t>
  </si>
  <si>
    <t>B1</t>
  </si>
  <si>
    <t>Egyéb felhalmozási célú támogatások bevételei államháztartáson belülről</t>
  </si>
  <si>
    <t>B25</t>
  </si>
  <si>
    <t>B2</t>
  </si>
  <si>
    <t>Magánszemélyek jövedelemadói</t>
  </si>
  <si>
    <t>B311</t>
  </si>
  <si>
    <t xml:space="preserve">Társaságok jövedelemadói </t>
  </si>
  <si>
    <t>B312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</si>
  <si>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</si>
  <si>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</si>
  <si>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</si>
  <si>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</si>
  <si>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</si>
  <si>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</si>
  <si>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</si>
  <si>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</si>
  <si>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</si>
  <si>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</si>
  <si>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</si>
  <si>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</si>
  <si>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</si>
  <si>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</si>
  <si>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</si>
  <si>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</si>
  <si>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</si>
  <si>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>B35</t>
  </si>
  <si>
    <t xml:space="preserve">Egyéb közhatalmi bevételek </t>
  </si>
  <si>
    <t>B36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</si>
  <si>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</si>
  <si>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</si>
  <si>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</si>
  <si>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</si>
  <si>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</si>
  <si>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</si>
  <si>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</si>
  <si>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</si>
  <si>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</si>
  <si>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</si>
  <si>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</si>
  <si>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</si>
  <si>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</si>
  <si>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</si>
  <si>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</si>
  <si>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</si>
  <si>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</si>
  <si>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</si>
  <si>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</si>
  <si>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</si>
  <si>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</t>
  </si>
  <si>
    <t>B5</t>
  </si>
  <si>
    <t>Egyéb működési célú átvett pénzeszközök</t>
  </si>
  <si>
    <t>B63</t>
  </si>
  <si>
    <t>B6</t>
  </si>
  <si>
    <t>Egyéb felhalmozási célú átvett pénzeszközök</t>
  </si>
  <si>
    <t>B73</t>
  </si>
  <si>
    <t>B7</t>
  </si>
  <si>
    <t>B1-B7</t>
  </si>
  <si>
    <t>Jogalkotás</t>
  </si>
  <si>
    <t>Szociális ellátások</t>
  </si>
  <si>
    <t>Egyéb tevékenységek</t>
  </si>
  <si>
    <t xml:space="preserve">Hosszú lejáratú hitelek, kölcsönök törlesztése </t>
  </si>
  <si>
    <t>K9111</t>
  </si>
  <si>
    <t>Hitel-, kölcsöntörlesztés államháztartáson kívülre (=01+02+03)</t>
  </si>
  <si>
    <t>K911</t>
  </si>
  <si>
    <t>K9</t>
  </si>
  <si>
    <t>Előző év költségvetési maradványának igénybevétele</t>
  </si>
  <si>
    <t>B8131</t>
  </si>
  <si>
    <t>B813</t>
  </si>
  <si>
    <t>B8</t>
  </si>
  <si>
    <t xml:space="preserve">Költségvetési bevételek </t>
  </si>
  <si>
    <t>Finanszírozási kiadások</t>
  </si>
  <si>
    <t xml:space="preserve">Működési célú átvett pénzeszközök </t>
  </si>
  <si>
    <t xml:space="preserve">Felhalmozási bevételek </t>
  </si>
  <si>
    <t xml:space="preserve">Működési bevételek </t>
  </si>
  <si>
    <t>Mindösszesen</t>
  </si>
  <si>
    <t>Megnevezés</t>
  </si>
  <si>
    <t xml:space="preserve">Felhalmozási célú átvett pénzeszközök </t>
  </si>
  <si>
    <t>B816</t>
  </si>
  <si>
    <t>Központi, irányítószervi támogatás</t>
  </si>
  <si>
    <t>Finanszírozási bevételek</t>
  </si>
  <si>
    <t>Kiadások összesen</t>
  </si>
  <si>
    <t>091140- Óvodai nevelés, ellátás működési feladatai</t>
  </si>
  <si>
    <t>091120- SNI gyermekek óvodai nevelés, ellátás szakmai feladatai</t>
  </si>
  <si>
    <t>Polgármesteri Hivatal</t>
  </si>
  <si>
    <t>Brunszvik Teréz Óvoda</t>
  </si>
  <si>
    <t>Brunszvik-Beethoven Rendezvényszervező Központ</t>
  </si>
  <si>
    <t>Pályázat</t>
  </si>
  <si>
    <t>011130-Önkormányzati hivatalok jogalkotó és általános igazgatási tevékenysége</t>
  </si>
  <si>
    <t>082091-Közművelődés- közösségi és társadalmi részvétel fejlesztése</t>
  </si>
  <si>
    <t>082061-Múzeumi gyűjteményi tevékenység</t>
  </si>
  <si>
    <t>082030-Művészeti tevékenység</t>
  </si>
  <si>
    <t>082044- Könyvtári szolgáltatások</t>
  </si>
  <si>
    <t>Intézmények összesen</t>
  </si>
  <si>
    <t>083030- Egyéb kiadói tevékenység</t>
  </si>
  <si>
    <t>B E V É T E L E K</t>
  </si>
  <si>
    <t>1. sz. táblázat</t>
  </si>
  <si>
    <t>A</t>
  </si>
  <si>
    <t>C</t>
  </si>
  <si>
    <t>D</t>
  </si>
  <si>
    <t>E</t>
  </si>
  <si>
    <t>1.</t>
  </si>
  <si>
    <t>K I A D Á S O K</t>
  </si>
  <si>
    <t>2. sz. táblázat</t>
  </si>
  <si>
    <t>B</t>
  </si>
  <si>
    <t>1.1.</t>
  </si>
  <si>
    <t>1.2.</t>
  </si>
  <si>
    <t>Felújítások</t>
  </si>
  <si>
    <t>KÖLTSÉGVETÉSI BEVÉTELEK ÉS KIADÁSOK EGYENLEGE</t>
  </si>
  <si>
    <t>3. sz. táblázat</t>
  </si>
  <si>
    <t>FINANSZÍROZÁSI CÉLÚ BEVÉTELEK ÉS KIADÁSOK EGYENLEGE</t>
  </si>
  <si>
    <t>4. sz. táblázat</t>
  </si>
  <si>
    <r>
      <t xml:space="preserve">Finanszírozási célú műveletek egyenlege </t>
    </r>
    <r>
      <rPr>
        <sz val="8"/>
        <rFont val="Times New Roman CE"/>
        <charset val="238"/>
      </rPr>
      <t>(1.1 - 1.2) +/-</t>
    </r>
  </si>
  <si>
    <t>5 sz. táblázat</t>
  </si>
  <si>
    <t>ebből:Központi ktgvetési szervek</t>
  </si>
  <si>
    <t>ebből: központi kezelésű előirányzatok</t>
  </si>
  <si>
    <t>ebből: fejezeti kezelésű előirányzatok, EU-s programok és azok hazai társfinanszírozása</t>
  </si>
  <si>
    <t>ebből: egyéb fejezeti kezelésű előirányzatok</t>
  </si>
  <si>
    <t>ebből: TB pénzügy alapjai</t>
  </si>
  <si>
    <t>ebből: elkülönített állami pénzalapok</t>
  </si>
  <si>
    <t>ebből: nezmetiségi önkormányzatok és költségvetési szerveik</t>
  </si>
  <si>
    <t>ebből: térségi fejlesztési tanácsok és költségvetési szerveik</t>
  </si>
  <si>
    <t>Működési célú támogatások államháztartáson belülről</t>
  </si>
  <si>
    <t xml:space="preserve">Felhalmozási célú támogatások államháztartáson belülről </t>
  </si>
  <si>
    <t xml:space="preserve">Önkormányzatok működési támogatásai </t>
  </si>
  <si>
    <t>ebből:központi ktgvetési szervek</t>
  </si>
  <si>
    <t xml:space="preserve">Jövedelemadók </t>
  </si>
  <si>
    <t>Termékek és szolgáltatások adói</t>
  </si>
  <si>
    <t xml:space="preserve">Közhatalmi bevételek </t>
  </si>
  <si>
    <t xml:space="preserve">Maradvány igénybevétele </t>
  </si>
  <si>
    <t xml:space="preserve">Finanszírozási bevételek </t>
  </si>
  <si>
    <t>Bevételek</t>
  </si>
  <si>
    <t>Kiadások</t>
  </si>
  <si>
    <t>Működési bevételek</t>
  </si>
  <si>
    <t>Személyi juttatások</t>
  </si>
  <si>
    <t>Munkaadókat terhelő járulékok</t>
  </si>
  <si>
    <t>Dologi kiadások</t>
  </si>
  <si>
    <t>Ellátottak juttatási</t>
  </si>
  <si>
    <t>I. Működtetés összesen</t>
  </si>
  <si>
    <t>Felhalmozásra átvett pénzeszközök</t>
  </si>
  <si>
    <t>II.Fejlesztés összesen</t>
  </si>
  <si>
    <t>Sorsz.</t>
  </si>
  <si>
    <t>Beruházás  megnevezése</t>
  </si>
  <si>
    <t>Áthúzódó EU-s pályázatok összesen</t>
  </si>
  <si>
    <t>Egyéb beruházások</t>
  </si>
  <si>
    <t xml:space="preserve">Áthúzódó egyéb beruházások </t>
  </si>
  <si>
    <t>Egyéb beruházások összesen</t>
  </si>
  <si>
    <t>Hazai támogatású fejlesztési programok</t>
  </si>
  <si>
    <t>Hazai támogatású fejlesztési programok összesen</t>
  </si>
  <si>
    <t>Intézményi beruházások összesen</t>
  </si>
  <si>
    <t>BERUHÁZÁSOK ÖSSZESEN:</t>
  </si>
  <si>
    <t>Európai uniós támogatással megvalósuló felújítások összesen</t>
  </si>
  <si>
    <t>Egyéb felújítások</t>
  </si>
  <si>
    <t>Egyéb felújítások összesen</t>
  </si>
  <si>
    <t>Intézményi felújítások összesen</t>
  </si>
  <si>
    <t>Sorszám</t>
  </si>
  <si>
    <t>Intézmények</t>
  </si>
  <si>
    <t>BB Központ</t>
  </si>
  <si>
    <t>INTÉZMÉNYEK ÖSSZESEN:</t>
  </si>
  <si>
    <t>Területi Védőnői Szolgálat</t>
  </si>
  <si>
    <t xml:space="preserve">Mezei Őrszolgálat </t>
  </si>
  <si>
    <t>MINDÖSSZESEN:</t>
  </si>
  <si>
    <t>ebből: Építményadó</t>
  </si>
  <si>
    <t>ebből: Telekadó</t>
  </si>
  <si>
    <t>ebből: Kommunális adó</t>
  </si>
  <si>
    <t>K9112</t>
  </si>
  <si>
    <t>K9113</t>
  </si>
  <si>
    <t>Rövid lejáratú hitelek, kölcsönök törlesztése</t>
  </si>
  <si>
    <t>Likviditási célú hitelek, kölcsönök törlesztése</t>
  </si>
  <si>
    <t>K915</t>
  </si>
  <si>
    <t>Központi, irányító szervi támogatás folyósítása</t>
  </si>
  <si>
    <t>Működési célú tám.ért.kiadások</t>
  </si>
  <si>
    <t>K82</t>
  </si>
  <si>
    <t>Felhalmozási célú visszatérítendő támogatások, kölcsönök nyújtása ÁH belülre</t>
  </si>
  <si>
    <t>B23</t>
  </si>
  <si>
    <t>Felh.célú visszatérítendő támogatások, kölcsönök visszatérülése ÁH belülről</t>
  </si>
  <si>
    <t>Működési célú maradvány</t>
  </si>
  <si>
    <t>Felhalmozási célú maradvány</t>
  </si>
  <si>
    <t>KÖLTSÉGVETÉSI BEVÉTELEK ÖSSZESEN</t>
  </si>
  <si>
    <t>BEVÉTELEK ÖSSZESEN</t>
  </si>
  <si>
    <t xml:space="preserve">Polgármesteri Hivatal </t>
  </si>
  <si>
    <t>Adatok E forintban</t>
  </si>
  <si>
    <t>B21</t>
  </si>
  <si>
    <t>Felhalmozási célú önkormnyzati támogatások</t>
  </si>
  <si>
    <t>Adatok E Ft-ban</t>
  </si>
  <si>
    <t>K84</t>
  </si>
  <si>
    <t>Egyéb felhalmozási célú támogatások áh belülre</t>
  </si>
  <si>
    <t xml:space="preserve">Egyéb felhalmozási célú támogatások áh kívülre </t>
  </si>
  <si>
    <t>ebből működési maradvány</t>
  </si>
  <si>
    <t>ebből felhalmozási maradvány</t>
  </si>
  <si>
    <t>a</t>
  </si>
  <si>
    <t>b</t>
  </si>
  <si>
    <t xml:space="preserve"> Működési célú bevételek</t>
  </si>
  <si>
    <t>I.</t>
  </si>
  <si>
    <t>2.</t>
  </si>
  <si>
    <t>a.</t>
  </si>
  <si>
    <t>b.</t>
  </si>
  <si>
    <t>c.</t>
  </si>
  <si>
    <t>d.</t>
  </si>
  <si>
    <t>II.</t>
  </si>
  <si>
    <t>III.</t>
  </si>
  <si>
    <t>Működési célú támogatások ÁH belülről</t>
  </si>
  <si>
    <t>KÖLTSÉGVETÉSI KIADÁSOK ÖSSZESEN</t>
  </si>
  <si>
    <t>KIADÁSOK ÖSSZESEN</t>
  </si>
  <si>
    <t xml:space="preserve"> Működési célú kiadások</t>
  </si>
  <si>
    <t>II</t>
  </si>
  <si>
    <t>Felhalmozási kiadások</t>
  </si>
  <si>
    <t>III</t>
  </si>
  <si>
    <t>Költségvetési hiány, többlet ( költségvetési bevételek  - költségvetési kiadások) (+/-)</t>
  </si>
  <si>
    <t>Finanszírozási célú műv. bevételei (1. sz. mell.1. sz. táblázat III.)</t>
  </si>
  <si>
    <t>Finanszírozási célú műv. kiadásai (1. sz. mell .2. sz. táblázat III:)</t>
  </si>
  <si>
    <t>Működési célú tám. Áh belülről</t>
  </si>
  <si>
    <t>Műk. célú átvett pénzeszközök</t>
  </si>
  <si>
    <t>Egyéb felhalmozási kiadások</t>
  </si>
  <si>
    <t>Tartalék</t>
  </si>
  <si>
    <t>Európai uniós támogatással megvalósuló beruházások összesen</t>
  </si>
  <si>
    <t xml:space="preserve">Európai uniós támogatással megvalósuló beruházások </t>
  </si>
  <si>
    <t>Foglalkoztatottak személyi juttatásai</t>
  </si>
  <si>
    <t>Külső személyi juttatások</t>
  </si>
  <si>
    <t>Személyi juttatások összesen</t>
  </si>
  <si>
    <t>Munkaadókat terhelő járulékok és szociális hozzájárulási adó</t>
  </si>
  <si>
    <t>ebből: fogl.kapcs.egyéb járulék</t>
  </si>
  <si>
    <t>Készletbeszerzés</t>
  </si>
  <si>
    <t>Kommunikációs szolgáltatások</t>
  </si>
  <si>
    <t>Bérleti és lízing díjak</t>
  </si>
  <si>
    <t>Szakmai tevékenységet segítő szolgáltatások</t>
  </si>
  <si>
    <t>Egyéb szolgáltatások</t>
  </si>
  <si>
    <t>Szolgáltatási kiadások</t>
  </si>
  <si>
    <t>Fizetendő általános forgalmi adó</t>
  </si>
  <si>
    <t>Kamatkiadások</t>
  </si>
  <si>
    <t>Egyéb pénzügyi műveletek kiadásai</t>
  </si>
  <si>
    <t>Ingatlanok beszerzése, létesítése</t>
  </si>
  <si>
    <t>Egyéb tárgyi eszközök felújítása</t>
  </si>
  <si>
    <t>Költségvetési kiadások</t>
  </si>
  <si>
    <t>Működési kiadások</t>
  </si>
  <si>
    <t>Közhatalmi bevételek</t>
  </si>
  <si>
    <t>Január</t>
  </si>
  <si>
    <t>Február</t>
  </si>
  <si>
    <t>Március</t>
  </si>
  <si>
    <t>Április</t>
  </si>
  <si>
    <t>Május</t>
  </si>
  <si>
    <t>Június</t>
  </si>
  <si>
    <t>Július</t>
  </si>
  <si>
    <t>Szeptember</t>
  </si>
  <si>
    <t>Október</t>
  </si>
  <si>
    <t>November</t>
  </si>
  <si>
    <t>December</t>
  </si>
  <si>
    <t>Köztemető fenntartása</t>
  </si>
  <si>
    <t>Felhalmozási bevételek</t>
  </si>
  <si>
    <t xml:space="preserve"> Ezer forintban !</t>
  </si>
  <si>
    <t>3.</t>
  </si>
  <si>
    <t>4.</t>
  </si>
  <si>
    <t>5.</t>
  </si>
  <si>
    <t>6.</t>
  </si>
  <si>
    <t>7.</t>
  </si>
  <si>
    <t>8.</t>
  </si>
  <si>
    <t>9.</t>
  </si>
  <si>
    <t>10.</t>
  </si>
  <si>
    <t>Összesen:</t>
  </si>
  <si>
    <t>Ezer forintban !</t>
  </si>
  <si>
    <t>Tárgyévi terv</t>
  </si>
  <si>
    <t>Auguszt.</t>
  </si>
  <si>
    <t>Egyenleg</t>
  </si>
  <si>
    <t>Többéves kihatással járó döntésekből származó kötelezettségek célok szerint, évenkénti bontásban</t>
  </si>
  <si>
    <t>Sor-
szám</t>
  </si>
  <si>
    <t>Kötelezettség jogcíme</t>
  </si>
  <si>
    <t>Köt. váll.
 éve</t>
  </si>
  <si>
    <t>Tárgyév előtti tőke kifizetés összesen</t>
  </si>
  <si>
    <t>Kiadás vonzata évenként</t>
  </si>
  <si>
    <t>Tárgyév</t>
  </si>
  <si>
    <t>Tárgyévi teljesítés</t>
  </si>
  <si>
    <t>Tárgyévet követő év</t>
  </si>
  <si>
    <t>Tárgyévet követő 2. év</t>
  </si>
  <si>
    <t>10=(4+5+7+8+9)</t>
  </si>
  <si>
    <t>Működési célú hiteltörlesztés (tőke+kamat)</t>
  </si>
  <si>
    <t>Felhalmozási célú hiteltörlesztés (tőke+kamat)</t>
  </si>
  <si>
    <t xml:space="preserve">    Egyéb elismert kötelezettségek</t>
  </si>
  <si>
    <t>Összesen (1+5+10)</t>
  </si>
  <si>
    <t>Sportszervezetek támogatása</t>
  </si>
  <si>
    <t>011130</t>
  </si>
  <si>
    <t>Út, autópálya építése</t>
  </si>
  <si>
    <t>Egyéb szárazföldi személyszállítás</t>
  </si>
  <si>
    <t>Nem veszélyes hulladék vegyes begyűjtése, szállítása, átrakása</t>
  </si>
  <si>
    <t>Közvilágítás</t>
  </si>
  <si>
    <t>Zöldterület-kezlés</t>
  </si>
  <si>
    <t>Város- és községgazdálkodás</t>
  </si>
  <si>
    <t>Sportlétesítmények, edzőtáborok működtetése</t>
  </si>
  <si>
    <t>Egyéb működési célú támogatások áh-n kívülre</t>
  </si>
  <si>
    <t>084032</t>
  </si>
  <si>
    <t>Civil szervezetek programtámogatása</t>
  </si>
  <si>
    <t>081041</t>
  </si>
  <si>
    <t>Cofog</t>
  </si>
  <si>
    <t>Rovatrend</t>
  </si>
  <si>
    <t>107060</t>
  </si>
  <si>
    <t>TKT-nak pénzeszköz átadás</t>
  </si>
  <si>
    <t>Városfejlesztés saját forrásból</t>
  </si>
  <si>
    <t>Városfejlesztés EU forrásból</t>
  </si>
  <si>
    <t>Védőnő, Eü</t>
  </si>
  <si>
    <t>Átadott pénzeszközök</t>
  </si>
  <si>
    <t xml:space="preserve">092111-Köznev.int tanuló szakmai feladatai                     </t>
  </si>
  <si>
    <t>Működési célú támogatások visszatérülése ÁH-n kívülről</t>
  </si>
  <si>
    <t>Zsidó Hitközség</t>
  </si>
  <si>
    <t xml:space="preserve">Továbbszámlázott szolg.  bevétele </t>
  </si>
  <si>
    <t>Működési célú kamatbevétel</t>
  </si>
  <si>
    <t>Intézményi működési bevételek összesen</t>
  </si>
  <si>
    <t>Felhalmozási saját bevételek összesen</t>
  </si>
  <si>
    <t xml:space="preserve">  </t>
  </si>
  <si>
    <t>Építményadó</t>
  </si>
  <si>
    <t>Telekadó</t>
  </si>
  <si>
    <t>Magánszemélyek komm. adója</t>
  </si>
  <si>
    <t>Iparűzési adó</t>
  </si>
  <si>
    <t>Helyi  adók összesen</t>
  </si>
  <si>
    <t>Gépjárműadó</t>
  </si>
  <si>
    <t>Átengedett központi adók összesen</t>
  </si>
  <si>
    <t>Talajterhelési díj</t>
  </si>
  <si>
    <t>Termőföld bérbead.szárm.jöv.adó</t>
  </si>
  <si>
    <t>Egyéb közhatalmi bevételek összesen</t>
  </si>
  <si>
    <t>Közhatalmi bevételek mindösszesen</t>
  </si>
  <si>
    <t>Működési célú támogatások</t>
  </si>
  <si>
    <t>Felhalmozási célú támogatások</t>
  </si>
  <si>
    <t>Működési célú átvett pénzeszköz</t>
  </si>
  <si>
    <t>Felhalmozási célú átvett pénzeszköz</t>
  </si>
  <si>
    <t xml:space="preserve">Mezőőri szolgáltatás bevétele </t>
  </si>
  <si>
    <t>Tulajdonosi bevételek (csatorna, víz)</t>
  </si>
  <si>
    <t>BBKP könyvtár bevétele</t>
  </si>
  <si>
    <t>BBKP Óvodamúzeum bevétele</t>
  </si>
  <si>
    <t>BBKP Rendezvények bevétele</t>
  </si>
  <si>
    <t>Kiszámlázott áfa</t>
  </si>
  <si>
    <t xml:space="preserve">Pótlékok, bírságok </t>
  </si>
  <si>
    <t>Normatíva jogcíme</t>
  </si>
  <si>
    <t xml:space="preserve">Önkormányzati hivatal műk. </t>
  </si>
  <si>
    <t>Település-üzemeltetés tám.</t>
  </si>
  <si>
    <t>Beszámítás összege (elvárt bevétel, visszavonás)</t>
  </si>
  <si>
    <t>Egyéb köt. Önk. Feladatok</t>
  </si>
  <si>
    <t>Pénzbeli szociális ellátás támogatása</t>
  </si>
  <si>
    <t>Helyi önk műk ált támogatás összesen</t>
  </si>
  <si>
    <t>Óvodaped bértámogatása</t>
  </si>
  <si>
    <t>Óvodaped pótlólagos támogatás</t>
  </si>
  <si>
    <t>Óvodaműködtetési támogatás</t>
  </si>
  <si>
    <t>Elismert bértámogatás</t>
  </si>
  <si>
    <t>Üzemeltetési támogatás</t>
  </si>
  <si>
    <t>Gyermekétkeztetés támogatás</t>
  </si>
  <si>
    <t>Köznevelési támogatások összesen</t>
  </si>
  <si>
    <t>Házi segítségnyújtás</t>
  </si>
  <si>
    <t>Tanyagondnoki szolgálat</t>
  </si>
  <si>
    <t>Idősek nappali ellátása</t>
  </si>
  <si>
    <t>Szociális feladatok összesen</t>
  </si>
  <si>
    <t>Könyvtári, közművelődési feladat támogatása</t>
  </si>
  <si>
    <t>Üdülőhelyi feladatok támogatása</t>
  </si>
  <si>
    <t>Köznevelési feladatok egyéb tám</t>
  </si>
  <si>
    <t>Lakott külterülettel kapcsol. Tám</t>
  </si>
  <si>
    <t>Bérkompenzáció</t>
  </si>
  <si>
    <t>TÁMOGATÁSOK ÖSSZESEN</t>
  </si>
  <si>
    <t>Ebből:  Tartalék</t>
  </si>
  <si>
    <t>Kieg.támogatás óvodaped. Minősítésből adódó kiadáshoz</t>
  </si>
  <si>
    <t>Hivatal működési támogatása</t>
  </si>
  <si>
    <t>D: tel.típus kt. Létszám max.</t>
  </si>
  <si>
    <t>ÖSSZESEN</t>
  </si>
  <si>
    <t>ebből: Zöldterület gazdálkodás</t>
  </si>
  <si>
    <t>ebből: Közutak fenntartása</t>
  </si>
  <si>
    <t>ebből: Közvilágítás fenntartása</t>
  </si>
  <si>
    <t>ebből: Köztemető fenntartása</t>
  </si>
  <si>
    <t>Hitelek, kölcsön felvétel pénzügyi vállalkozástól</t>
  </si>
  <si>
    <t>B811</t>
  </si>
  <si>
    <t>013350- Az önkormányzati vagyonnal való gazdálkodással kapcsolatos feladat</t>
  </si>
  <si>
    <t>ebből fordított áfa</t>
  </si>
  <si>
    <t>Bérleti díj bevétel</t>
  </si>
  <si>
    <t>Áfavisszatérülés</t>
  </si>
  <si>
    <t>INTÉZMÉNYI BERUHÁZÁSOK</t>
  </si>
  <si>
    <t>Martongazdának átadott pe városüzemeltetési feladatokra</t>
  </si>
  <si>
    <t>Áfa megtérülés</t>
  </si>
  <si>
    <t xml:space="preserve">Tárgyévet követő  évek
</t>
  </si>
  <si>
    <t>Egyéb működési célú támogatások áh-n belülre</t>
  </si>
  <si>
    <t>096015- Gyermekétkeztetés köznevelési intézményben</t>
  </si>
  <si>
    <t>104035- Gyermekétkeztetés bölcsödében és fogyatékosok nappali intézményében</t>
  </si>
  <si>
    <t>Költségvetési egyenleg</t>
  </si>
  <si>
    <t>Újság hirdetés bevétele</t>
  </si>
  <si>
    <t>Rendkívüli települési támogatás (pénzbeni és természetbeni ellátások)</t>
  </si>
  <si>
    <t>Köztemetés</t>
  </si>
  <si>
    <t>BBKP Terembérlet</t>
  </si>
  <si>
    <t>PH házasságkötés bevétele</t>
  </si>
  <si>
    <t>MINDÖSSZESEN</t>
  </si>
  <si>
    <t>1.sz. melléklet</t>
  </si>
  <si>
    <t>2.sz. melléklet</t>
  </si>
  <si>
    <t>3.sz. melléklet</t>
  </si>
  <si>
    <t>4.sz. melléklet</t>
  </si>
  <si>
    <t>5.sz. melléklet</t>
  </si>
  <si>
    <t>6.sz. melléklet</t>
  </si>
  <si>
    <t>Martonvásár Város Önkormányzat- Intézmények bevételei és kiadásai mindösszesen</t>
  </si>
  <si>
    <t>7.sz. melléklet</t>
  </si>
  <si>
    <t>Martonvásár Város Önkormányzat beruházási (felhalmozási) célú kiadásai feladatonként</t>
  </si>
  <si>
    <t>8.sz. melléklet</t>
  </si>
  <si>
    <t>Martonvásár Város Önkormányzat felújítási célú kiadásai feladatonként</t>
  </si>
  <si>
    <t>9.sz.melléklet</t>
  </si>
  <si>
    <t>3/a.sz. melléklet</t>
  </si>
  <si>
    <t>3/b.sz. melléklet</t>
  </si>
  <si>
    <t>3/c.sz. melléklet</t>
  </si>
  <si>
    <t>Martonvásár Város Önkormányzata - Előirányzat felhasználási ütemterv</t>
  </si>
  <si>
    <t>Martonvásár Város Önkormányzata</t>
  </si>
  <si>
    <t>Szent László Völgye TKT</t>
  </si>
  <si>
    <t>Csatorna fejlesztési ct.</t>
  </si>
  <si>
    <t>Városmenedzsment MT szerint fogl.</t>
  </si>
  <si>
    <t>Martonsport Kft-nek átadott pe</t>
  </si>
  <si>
    <t>Polgárőrség támogatása</t>
  </si>
  <si>
    <t>Rászoruló gyermekek szünidei étkeztetésének támogatása</t>
  </si>
  <si>
    <t>Család- és gyermekjóléti szolgálat</t>
  </si>
  <si>
    <t>Család- és gyermekjóléti központ</t>
  </si>
  <si>
    <t>Szociális étkeztetés</t>
  </si>
  <si>
    <t>Támogató szolgáltatás</t>
  </si>
  <si>
    <t>Idősek nappali feladatainak ellátása</t>
  </si>
  <si>
    <t>Házi segítségnyújtás ellátása</t>
  </si>
  <si>
    <t>Támogatószolgálati feladatok ellátása</t>
  </si>
  <si>
    <t>102030</t>
  </si>
  <si>
    <t>Orvosi ügylet, tagdíj, belső ellenőrzés</t>
  </si>
  <si>
    <t xml:space="preserve">Szociális étkeztetés </t>
  </si>
  <si>
    <t>101222</t>
  </si>
  <si>
    <t>107052</t>
  </si>
  <si>
    <t>104042</t>
  </si>
  <si>
    <t>104043</t>
  </si>
  <si>
    <t>107051</t>
  </si>
  <si>
    <t>Kisajátítási céltartalék</t>
  </si>
  <si>
    <t>Általános tartalék</t>
  </si>
  <si>
    <t xml:space="preserve">Fejlesztési célú ct. </t>
  </si>
  <si>
    <t>K513</t>
  </si>
  <si>
    <t>K89</t>
  </si>
  <si>
    <t>B411</t>
  </si>
  <si>
    <t>Működési célú költségvetési támogatások és kiegészítő támogatások</t>
  </si>
  <si>
    <t>Elszámolásból származó bevételek</t>
  </si>
  <si>
    <t>B65</t>
  </si>
  <si>
    <t>B64</t>
  </si>
  <si>
    <t>B75</t>
  </si>
  <si>
    <t>TKT-nak pénzeszköz átadás felhalmozási</t>
  </si>
  <si>
    <t>TKT-nak pénzeszköz átadás normatíva</t>
  </si>
  <si>
    <t>Martongazda Kft-nek átadott felhalmozási c. pénzeszköz</t>
  </si>
  <si>
    <t>Iskolatej</t>
  </si>
  <si>
    <t>Mezőőri szolgálat</t>
  </si>
  <si>
    <t>Közfoglalkoztatás támogatása</t>
  </si>
  <si>
    <t>Műk.célú pénzeszk.átvétel SZLV TKT</t>
  </si>
  <si>
    <t>Eü. Finanszírozás</t>
  </si>
  <si>
    <t>Iskolatej támogatás</t>
  </si>
  <si>
    <t xml:space="preserve">Egyéb felhalmozási célú támogatások </t>
  </si>
  <si>
    <t>5/a.sz. melléklet</t>
  </si>
  <si>
    <t>5/b.sz. melléklet</t>
  </si>
  <si>
    <t>5/c.sz. melléklet</t>
  </si>
  <si>
    <t>5/d.sz. melléklet</t>
  </si>
  <si>
    <t>5/e.sz. melléklet</t>
  </si>
  <si>
    <t>5/f.sz. melléklet</t>
  </si>
  <si>
    <t>5/g.sz. melléklet</t>
  </si>
  <si>
    <t>6/a.sz. melléklet</t>
  </si>
  <si>
    <t>6/b.sz.melléklet</t>
  </si>
  <si>
    <t>Felhalmozási bevétel</t>
  </si>
  <si>
    <t>bértömeg gazd.</t>
  </si>
  <si>
    <t>K122</t>
  </si>
  <si>
    <t>OMSZ pe átvétel (kerítés építés)</t>
  </si>
  <si>
    <t>Geróts terem bérbeadása</t>
  </si>
  <si>
    <t>Rendőrség támogatása</t>
  </si>
  <si>
    <t>Mentőszolgálat támogatása</t>
  </si>
  <si>
    <t>045120-Út, autópálya építése</t>
  </si>
  <si>
    <t>066020- Város- és községgazdálkodás</t>
  </si>
  <si>
    <t>Családi napközi / bölcsőde</t>
  </si>
  <si>
    <t>013350</t>
  </si>
  <si>
    <t>Malom, Martongazda telephely</t>
  </si>
  <si>
    <t>Hátralékok behajtása</t>
  </si>
  <si>
    <t>Telekadó hátralék</t>
  </si>
  <si>
    <t>Magánsz.komm.adó hátralék</t>
  </si>
  <si>
    <t>Rendezvények céltartléka</t>
  </si>
  <si>
    <t>081030- Sportlétesítmények működtetése és fejlesztése</t>
  </si>
  <si>
    <t>Rendezvények és egyéb vendéglátás</t>
  </si>
  <si>
    <t>Iparűzési adó hátralék</t>
  </si>
  <si>
    <t>1494/2016 (IX.15) Korm. Határozat szerinti támogatás keretében megvalósuló beruházások</t>
  </si>
  <si>
    <t>Új iskolaszárny építése</t>
  </si>
  <si>
    <t>Építés</t>
  </si>
  <si>
    <t>Egyéb tárgyi eszköz beszerzés</t>
  </si>
  <si>
    <t>Beruházás áfa</t>
  </si>
  <si>
    <t>Közlekedési és közmű infrastruktúra felújítása, fejlesztése</t>
  </si>
  <si>
    <t>Tervezés</t>
  </si>
  <si>
    <t>Felújítás megnevezése</t>
  </si>
  <si>
    <t>Felújítás</t>
  </si>
  <si>
    <t>Áthúzódó egyéb felújítások</t>
  </si>
  <si>
    <t>1494/2016 (IX.15) Korm. Határozat szerinti támogatás keretében megvalósuló felújítások</t>
  </si>
  <si>
    <t>1494/2016 (IX.15) Korm. Határozat szerinti támogatás keretében megvalósuló beruházások összesen</t>
  </si>
  <si>
    <t>INTÉZMÉNYI FELÚJÍTÁSOK</t>
  </si>
  <si>
    <t>FELÚJÍTÁSOK ÖSSZESEN:</t>
  </si>
  <si>
    <t>1494/2016 (IX.15) Korm. Határozat szerinti támogatás keretében megvalósuló felújítások összesen</t>
  </si>
  <si>
    <t>Városüzemeltetési telephely fejlesztése</t>
  </si>
  <si>
    <t>Rekreációs terület előkészítése</t>
  </si>
  <si>
    <t>Felújítás áfa</t>
  </si>
  <si>
    <t>Védőnők beruházás</t>
  </si>
  <si>
    <t xml:space="preserve"> </t>
  </si>
  <si>
    <t>6/c.sz.melléklet</t>
  </si>
  <si>
    <t>Ssz.</t>
  </si>
  <si>
    <t>10.sz.melléklet</t>
  </si>
  <si>
    <t>11.sz.melléklet</t>
  </si>
  <si>
    <t>2018. évi</t>
  </si>
  <si>
    <t>2018. évi tervezett  létszám (fő)</t>
  </si>
  <si>
    <t>Martonvásár Város Önkormányzatának 2018.évi költségvetésének pénzügyi mérlege I.</t>
  </si>
  <si>
    <t>Martonvásár Város Önkormányzatának 2018.évi költségvetésének pénzügyi mérlege II.</t>
  </si>
  <si>
    <t>Martonvásár Város Önkormányzatának 2018. évi bevétele (intézmények nélkül)</t>
  </si>
  <si>
    <t>Martonvásár Város Önkormányzatának 2018. évi átvett pénzeszközei</t>
  </si>
  <si>
    <t>Martonvásár Város Önkormányzatának 2018. évi működési bevételei</t>
  </si>
  <si>
    <t>Martonvásár Város Önkormányzatának 2018. évi  közhatalmi bevételei</t>
  </si>
  <si>
    <t>Martonvásár Város Önkormányzatának 2018. évi normatív támogatásai</t>
  </si>
  <si>
    <t>Martonvásár Város Önkormányzatának 2018. évi kiadásai (intézmények nélkül)</t>
  </si>
  <si>
    <t>Martonvásár Város Önkormányzatának 2018. évi kiadásai - Önkormányzati jogalkotás kormányzati funkció</t>
  </si>
  <si>
    <t>Martonvásár Város Önkormányzatának 2018. évi kiadásai - Városfejlesztési feladatok ellátása saját forrásból</t>
  </si>
  <si>
    <t>Martonvásár Város Önkormányzatának 2018. évi kiadásai - Városfejlesztési feladatok ellátása EU forrásból</t>
  </si>
  <si>
    <t>Martonvásár Város Önkormányzatának 2018. évi kiadásai - Védőnői és eü feladatok ellátása</t>
  </si>
  <si>
    <t>Martonvásár Város Önkormányzatának 2018. évi kiadásai - Szociális feladatok ellátása</t>
  </si>
  <si>
    <t>Martonvásár Város Önkormányzatának 2018. évi kiadásai - Átadott pénzeszközök</t>
  </si>
  <si>
    <t>Martonvásár Város Önkormányzatának 2018. évi kiadásai - Egyéb feladatok ellátása</t>
  </si>
  <si>
    <t>Martonvásári Polgármesteri Hivatal 2018. évi kiadásai</t>
  </si>
  <si>
    <t>Brunszvik Teréz Óvoda 2018. évi kiadásai</t>
  </si>
  <si>
    <t>Brunszvik-Beethoven Kulturális Központ 2018. évi kiadásai</t>
  </si>
  <si>
    <t>Martonvásár Város Önkormányzata és Intézményei  2018. évi létszámkerete</t>
  </si>
  <si>
    <t>2017/2018 8hó</t>
  </si>
  <si>
    <t>2018/2019 4 hó</t>
  </si>
  <si>
    <t>2017/2018 8 hó</t>
  </si>
  <si>
    <t>Óvodapedagógusok nev. munkáját közvetlenül segítők bértámogatása</t>
  </si>
  <si>
    <t>TOP 2.1.2 (Zöld város)</t>
  </si>
  <si>
    <t>TOP 4.1.1 (Egészségház)</t>
  </si>
  <si>
    <t>TOP 3.2.1 (Iskolaenergetika)</t>
  </si>
  <si>
    <t>KÖFOP 1.2.1 (ASP csatlakozás)</t>
  </si>
  <si>
    <t>Nemzetközi kapcsolatok és kiemelt rendezvények</t>
  </si>
  <si>
    <t>Építményadó hátralék</t>
  </si>
  <si>
    <t>39M Lövész Egyesület támogatás visszatérítése</t>
  </si>
  <si>
    <t>Pályázati céltartalék</t>
  </si>
  <si>
    <t>KEHOP 2.2.1 (Csatorna beruházás)</t>
  </si>
  <si>
    <t>KEHOP 2.1.2 (Viziközmű beruházás)</t>
  </si>
  <si>
    <t>051030</t>
  </si>
  <si>
    <t>045120</t>
  </si>
  <si>
    <t>013320</t>
  </si>
  <si>
    <t>045150</t>
  </si>
  <si>
    <t>064010</t>
  </si>
  <si>
    <t>066010</t>
  </si>
  <si>
    <t>066020</t>
  </si>
  <si>
    <t>081030</t>
  </si>
  <si>
    <t>Forgatási célú belföldi értékpapírok beváltása</t>
  </si>
  <si>
    <t>B812</t>
  </si>
  <si>
    <t>Forgatási célú értékpapírok bevátlása</t>
  </si>
  <si>
    <t xml:space="preserve">Tartalék </t>
  </si>
  <si>
    <t>Működési céltartalék (Martonvásári Napokra)</t>
  </si>
  <si>
    <t>Felhalmozási célú támogatás</t>
  </si>
  <si>
    <t>Irattár bővítési tartalék</t>
  </si>
  <si>
    <t>Piacterület, vásártartás</t>
  </si>
  <si>
    <t>Egészségház</t>
  </si>
  <si>
    <t>Gyermekorvosi, fogorvosi rendelő</t>
  </si>
  <si>
    <t>Védőnői helyiségek</t>
  </si>
  <si>
    <t>Járási Hivatal B épület földszint</t>
  </si>
  <si>
    <t>Létesítmény üzemeltetés</t>
  </si>
  <si>
    <t>Bölcsöde</t>
  </si>
  <si>
    <t>Fogorvosi szolgáltatás</t>
  </si>
  <si>
    <t>072312</t>
  </si>
  <si>
    <t>104030</t>
  </si>
  <si>
    <t>Polgármesteri illetmény támogatása</t>
  </si>
  <si>
    <t>Martongazda Kft fejlesztési tartalék (4fő bére)</t>
  </si>
  <si>
    <t>Gyermekétkeztetés bevétele</t>
  </si>
  <si>
    <t>Önkormányzati tartalék</t>
  </si>
  <si>
    <t>Brunszvik T. óvoda beruházások</t>
  </si>
  <si>
    <t>Brunszvik Beethoven Központ beruházások</t>
  </si>
  <si>
    <t>Kártyaolvasók</t>
  </si>
  <si>
    <t>Monitorok</t>
  </si>
  <si>
    <t>Számítógépek</t>
  </si>
  <si>
    <t>Access Point beüzemelés</t>
  </si>
  <si>
    <t>Szünetmentes tápegységek</t>
  </si>
  <si>
    <t>SSD csere kiadásai</t>
  </si>
  <si>
    <t>Telefonkészülék vásárlás</t>
  </si>
  <si>
    <t>Riasztórendszer, kamerarendszer</t>
  </si>
  <si>
    <t>ASZA gép beszerzés</t>
  </si>
  <si>
    <t>Irodabútor</t>
  </si>
  <si>
    <t>Fényképezőgép, projektor</t>
  </si>
  <si>
    <t>TOP 2.1.2 Zöld város pályázat</t>
  </si>
  <si>
    <t>TOP 4.1.1 Egészségház pályázat</t>
  </si>
  <si>
    <t>TOP 3.2.1 Iskolaenergetikai pályázat</t>
  </si>
  <si>
    <t>KEHOP 2.1.1 Csatorna pályázat</t>
  </si>
  <si>
    <t>KEHOP 2.1.2 Víziközmű pályázat</t>
  </si>
  <si>
    <t>Út- és közmű felújítás</t>
  </si>
  <si>
    <t>Kincstárjegyek beváltása</t>
  </si>
  <si>
    <t xml:space="preserve">Áthozott záró egyenleg: </t>
  </si>
  <si>
    <t>Tartalom jegyzék</t>
  </si>
  <si>
    <t>Polgármesteri Hivatal beruházások:</t>
  </si>
  <si>
    <t>Módosítás</t>
  </si>
  <si>
    <t>Mód.ei.</t>
  </si>
  <si>
    <t>2018. évi módosítás</t>
  </si>
  <si>
    <t>2018. évi módosított létszám</t>
  </si>
  <si>
    <t>Módosítás jogcíme</t>
  </si>
  <si>
    <t>Bevétel összesen</t>
  </si>
  <si>
    <t>Szem.  juttatások</t>
  </si>
  <si>
    <t>Munka-adókat terhelő jár.</t>
  </si>
  <si>
    <t>Ellátottak pénzbeni  juttatásai</t>
  </si>
  <si>
    <t>Beruházás</t>
  </si>
  <si>
    <t xml:space="preserve">Felújítás </t>
  </si>
  <si>
    <t>Felhalm.célú p.e.átadás</t>
  </si>
  <si>
    <t>Megelőlegezések visszafize-tése</t>
  </si>
  <si>
    <t>Intézményfinanszírozás</t>
  </si>
  <si>
    <t>Finanszírozási kiadás</t>
  </si>
  <si>
    <t>Működési  céltartalék</t>
  </si>
  <si>
    <t>Fejlesztési céltartalék</t>
  </si>
  <si>
    <t>Csatorna céltartalék</t>
  </si>
  <si>
    <t>Rendezvények céltartaléka</t>
  </si>
  <si>
    <t>Kisajátítási ktg céltartalék</t>
  </si>
  <si>
    <t>Forgatési célú értékpapírok lekötése</t>
  </si>
  <si>
    <t>Közhatalmi bevétel</t>
  </si>
  <si>
    <t>Működési bevétel</t>
  </si>
  <si>
    <t>Önk. műk.célú költségvet. tám.</t>
  </si>
  <si>
    <t>Műk.célú tám. ÁH-n belülről</t>
  </si>
  <si>
    <t>Műk.célú pénzeszk.átvétel ÁH-n kívülről</t>
  </si>
  <si>
    <t>Önk. felhalm.c. ktgvet. tám.</t>
  </si>
  <si>
    <t>Felhalm.célú tám. ÁH-n belülről</t>
  </si>
  <si>
    <t>Felhalm.célú pénzeszk.átvétel ÁH-n kívülről</t>
  </si>
  <si>
    <t>Forgatési célú értékpapírok beváltása</t>
  </si>
  <si>
    <t>ÁH-n belülre</t>
  </si>
  <si>
    <t>ÁH-n kívülre</t>
  </si>
  <si>
    <t>Hat. szám v. ügyir. sz.</t>
  </si>
  <si>
    <t>Bevételek összesen</t>
  </si>
  <si>
    <t>Szem jell.</t>
  </si>
  <si>
    <t>Járulék</t>
  </si>
  <si>
    <t>DOLOGI</t>
  </si>
  <si>
    <t>Ber.célú p.e.átadás</t>
  </si>
  <si>
    <t>Műk.célú bevétel</t>
  </si>
  <si>
    <t>Felhalm. Bevétel</t>
  </si>
  <si>
    <t>Felhalm.c.bevétel</t>
  </si>
  <si>
    <t>Készletbesz.</t>
  </si>
  <si>
    <t>Kommunikáció</t>
  </si>
  <si>
    <t>Szolgáltatási kiad.</t>
  </si>
  <si>
    <t>ÁFA</t>
  </si>
  <si>
    <t>Egyéb kiadás</t>
  </si>
  <si>
    <t>Kamat</t>
  </si>
  <si>
    <t>ÁH-n belülről</t>
  </si>
  <si>
    <t>ÁH-n kívülről</t>
  </si>
  <si>
    <t>Ellátottak pénzbeni juttatásai</t>
  </si>
  <si>
    <t>Felh.célú p.e.átadás</t>
  </si>
  <si>
    <t>Megelőlege-zések  visszafiz.</t>
  </si>
  <si>
    <t>Működési céltartalék</t>
  </si>
  <si>
    <t>Forgatási célú értékpapírok vásárlása</t>
  </si>
  <si>
    <t>Önkormányzat összesen</t>
  </si>
  <si>
    <t>Maradvány</t>
  </si>
  <si>
    <t>2018/11</t>
  </si>
  <si>
    <t>Egyéb működési célú támogatások államháztartáson belülre</t>
  </si>
  <si>
    <t>Maradvány igénybevétele</t>
  </si>
  <si>
    <t>EFOP 4.1.8. (Könyvtári pályázat)</t>
  </si>
  <si>
    <t>pályázat</t>
  </si>
  <si>
    <t>KEHOP 2.1.1 (Csatorna-beruházás)</t>
  </si>
  <si>
    <t>KEHOP 2.1.2 (Vízrendszer beruházás)</t>
  </si>
  <si>
    <t>K914</t>
  </si>
  <si>
    <t>ÁH belüli megelőlegezések visszafizetése</t>
  </si>
  <si>
    <t>052020 Szennyvíz gyűjtése, tisztítása, elhelyezése</t>
  </si>
  <si>
    <t>K912</t>
  </si>
  <si>
    <t>Belföldi értékpapírok kiadásai</t>
  </si>
  <si>
    <t>TOP 5.3.1 (Helyi identitás)</t>
  </si>
  <si>
    <t>BM pályázat (Óvoda fejlesztés)</t>
  </si>
  <si>
    <t>041233-Közfoglalkoztatás</t>
  </si>
  <si>
    <t>Egyéb működési célú támogatások ÁH-n belül</t>
  </si>
  <si>
    <t>082042- Könyvtári szolgáltatások</t>
  </si>
  <si>
    <t>Martonvásár Város Képviselőtestület …../2018 (….) önkormányzati rendelete Martonvásár Város 2018.évi költségvetésének módosításáról</t>
  </si>
  <si>
    <t>12.a melléklet</t>
  </si>
  <si>
    <t>Előirányzat módosítás részletes nyilvántartása - Martonvásár Város Önkormányzata</t>
  </si>
  <si>
    <t>12.b melléklet</t>
  </si>
  <si>
    <t>Előirányzat módosítás részletes nyilvántartása - Martonvásári Polgármesteri Hivatal</t>
  </si>
  <si>
    <t>12.c melléklet</t>
  </si>
  <si>
    <t>Előirányzat módosítás részletes nyilvántartása - Brunszvik Teréz Óvoda</t>
  </si>
  <si>
    <t>12.d melléklet</t>
  </si>
  <si>
    <t>Előirányzat módosítás részletes nyilvántartása - Brunszvik-Beethoven Kulturális Központ</t>
  </si>
  <si>
    <t>12.e melléklet</t>
  </si>
  <si>
    <t>Konszolidált előirányzat módosítás Martonvásár Város Önkormányzata és intézményei</t>
  </si>
  <si>
    <t>EFOP 4.1.8 (Könyvtár beruházás)</t>
  </si>
  <si>
    <t>BM pályázat (Óvoda felújítás)</t>
  </si>
  <si>
    <t>Bethlen Gábor pályázat bevétele</t>
  </si>
  <si>
    <t>Kulturális ill.pótlék</t>
  </si>
  <si>
    <t>Mobiltelefon vásárlás</t>
  </si>
  <si>
    <t>Laminálógép, tűzőgép</t>
  </si>
  <si>
    <t>BM pályázat, Óvoda felújítás</t>
  </si>
  <si>
    <t>Martongazda Nonprofit Kft finanszírozási tartaléka</t>
  </si>
  <si>
    <t>MG Kft finansízírozási tartaléka</t>
  </si>
  <si>
    <t>Kiemelt önkormányzati beruházások</t>
  </si>
  <si>
    <t>Projektekhez kapcsolódó kiegészítő beruházások</t>
  </si>
  <si>
    <t>Településrendezés, ingatalanfejlesztés,kisajátítás</t>
  </si>
  <si>
    <t>2018/14</t>
  </si>
  <si>
    <t>Választási kiadások és bevétlek</t>
  </si>
  <si>
    <t>2018/16,17</t>
  </si>
  <si>
    <t>2018/36</t>
  </si>
  <si>
    <t>Civil szervezetek többlettámogatása átl.tart.terhére</t>
  </si>
  <si>
    <t>2018/53</t>
  </si>
  <si>
    <t>ASP pályázat többlettámogatás</t>
  </si>
  <si>
    <t>2018/68</t>
  </si>
  <si>
    <t>2018/69</t>
  </si>
  <si>
    <t>2018/62</t>
  </si>
  <si>
    <t>Maradvány elszámolása</t>
  </si>
  <si>
    <t>2018/42</t>
  </si>
  <si>
    <t>Közfoglalkoztatotti többlettámogatás miatti visszafiz.kötelezettségre ei átcsoportosítás</t>
  </si>
  <si>
    <t>Védőnői továbbképzés kiadásai ált.tart.terhére</t>
  </si>
  <si>
    <t>EFOP 4.1.9 (Múzeum) pályázat kiadásainak és bevételének előirányzatosítása</t>
  </si>
  <si>
    <t>2018/41,67</t>
  </si>
  <si>
    <t>Bérkompenzáció átadása intézményeknek</t>
  </si>
  <si>
    <t>2018/43</t>
  </si>
  <si>
    <t>Intézményfin.BBK-nak MNN</t>
  </si>
  <si>
    <t>Kult.illetmény pótlék átadása intézménynek</t>
  </si>
  <si>
    <t>2018/74</t>
  </si>
  <si>
    <t>Int.fin BBK-nak tárgyieszköz vásárlásra, ált.tart.terhére</t>
  </si>
  <si>
    <t>2018/31,48</t>
  </si>
  <si>
    <t>Hagyatéki eljárás során felmertül kötelezettségek rendezése ált.tart.terhére</t>
  </si>
  <si>
    <t>2018/55</t>
  </si>
  <si>
    <t>TOP 5.3.1 pályázat kiadásainek és bevételeinek előirányzatosítása</t>
  </si>
  <si>
    <t>2018/32</t>
  </si>
  <si>
    <t>Reprezentációs kiadásokra előirányzat átcsoportosítás</t>
  </si>
  <si>
    <t>2018/38</t>
  </si>
  <si>
    <t>Mezőőri autó karbantartása ált.tart.terhére</t>
  </si>
  <si>
    <t>2018/46</t>
  </si>
  <si>
    <t>TOP 3.2.1 többletkiadás finanszírozása kiemelt önkormányzati beruházások terhére</t>
  </si>
  <si>
    <t>Kisebbségekért Pro Minoritate támogatása ált.tart.terhére</t>
  </si>
  <si>
    <t>2018/47</t>
  </si>
  <si>
    <t>Közlekedésbiztonsági audit jelentés készítése kiemelt kor.beruházás terhére</t>
  </si>
  <si>
    <t>2018/63,39,57</t>
  </si>
  <si>
    <t>Előző években megelőlegezett pályázati kiadások visszavezetése</t>
  </si>
  <si>
    <t>2018/77</t>
  </si>
  <si>
    <t>2018/72,41</t>
  </si>
  <si>
    <t>Szoc ágzatai pótlék átadása TKT-nak</t>
  </si>
  <si>
    <t>Bankköltség többlet előirányzat, többlet bevétel terhére</t>
  </si>
  <si>
    <t>Ventillátorok vásárlása az irodákba</t>
  </si>
  <si>
    <t>Kulturális illetménypótlék</t>
  </si>
  <si>
    <t>Táborok bevételeinek ei. a kiadások finanszírozására</t>
  </si>
  <si>
    <t>Közvetített szolgáltatás ei.</t>
  </si>
  <si>
    <t>MNN megbeszélések reprezentációs kiadásaira átcsoportosítás</t>
  </si>
  <si>
    <t>MNN tartalék átadása intézménynek</t>
  </si>
  <si>
    <t>TOP-5.3.1 pályázat előírányzatosítása</t>
  </si>
  <si>
    <t>OM 190 éves rendezvényre átcsoportosítás</t>
  </si>
  <si>
    <t>Mód.ei I.</t>
  </si>
  <si>
    <t>Mód.ei II</t>
  </si>
  <si>
    <t>Reprezentációs kiadásokra el. Átcsoportosítás</t>
  </si>
  <si>
    <t>EFOP 4.1.9. (Múzeumi pályázat)</t>
  </si>
  <si>
    <t>EFOP 4.1.9 (Múzeumi beruházás)</t>
  </si>
  <si>
    <t>TOP 5.3.1. (Helyi identitás beruházás)</t>
  </si>
  <si>
    <t>Szoc.ágazati pótlék</t>
  </si>
  <si>
    <t>EFOP 4.1.9 Múzeumi pályázat</t>
  </si>
  <si>
    <t>TOP 5.3.1 Helyi identitás pályázat</t>
  </si>
  <si>
    <t>Ventilátor vásárlás</t>
  </si>
  <si>
    <t>800 M kormányzati támogatáson belüli előirányzat átcsoportosítás</t>
  </si>
  <si>
    <t>Módosított ei. II.</t>
  </si>
  <si>
    <t>Módosított ei. I.</t>
  </si>
  <si>
    <t>Pm elvonás intézményektől</t>
  </si>
  <si>
    <t>V4 részére szolg. nyújtás MNN rendezvényhez kapcs.</t>
  </si>
  <si>
    <t>Óvoda terembérlet</t>
  </si>
  <si>
    <t>Választási támogatás</t>
  </si>
  <si>
    <t>Módosított előirányzat I.</t>
  </si>
  <si>
    <t>Módosított előirányzat II.</t>
  </si>
  <si>
    <t>PH továbbszámlázott szolgáltatás</t>
  </si>
  <si>
    <t>2018. évi módosított támogatás ei. I.</t>
  </si>
  <si>
    <t>2018. évi módosított támogatás ei. II.</t>
  </si>
  <si>
    <t>2018. évi támogatás módosított ei. I.</t>
  </si>
  <si>
    <t>Mód.ei.I.</t>
  </si>
  <si>
    <t>Mód.ei.II.</t>
  </si>
  <si>
    <t>Mód.ei. I.</t>
  </si>
  <si>
    <t>Mód.ei. II.</t>
  </si>
  <si>
    <t>Mód.ei II.</t>
  </si>
  <si>
    <t>Mód ei. I.</t>
  </si>
  <si>
    <t>Módosított előirányzat I</t>
  </si>
  <si>
    <t>Dolgozónak adott kölcsön visszafizetése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</si>
</sst>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0__"/>
    <numFmt numFmtId="165" formatCode="#,###"/>
    <numFmt numFmtId="166" formatCode="#,##0\ ;\-#,##0"/>
    <numFmt numFmtId="167" formatCode="_-* #,##0\ _F_t_-;\-* #,##0\ _F_t_-;_-* &quot;-&quot;??\ _F_t_-;_-@_-"/>
  </numFmts>
  <fonts count="7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2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i/>
      <sz val="8"/>
      <name val="Times New Roman CE"/>
      <charset val="238"/>
    </font>
    <font>
      <sz val="10"/>
      <color indexed="10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b/>
      <sz val="12"/>
      <color rgb="FF000000"/>
      <name val="Times new roman ce"/>
    </font>
    <font>
      <b/>
      <i/>
      <sz val="10"/>
      <color rgb="FF000000"/>
      <name val="Times new roman ce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8"/>
      <name val="Times New Roman"/>
      <family val="1"/>
      <charset val="238"/>
    </font>
    <font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Horizontal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9">
    <xf numFmtId="0" fontId="0" fillId="0" borderId="0"/>
    <xf numFmtId="0" fontId="1" fillId="0" borderId="0"/>
    <xf numFmtId="0" fontId="9" fillId="0" borderId="0"/>
    <xf numFmtId="0" fontId="9" fillId="0" borderId="0"/>
    <xf numFmtId="0" fontId="41" fillId="7" borderId="0" applyNumberFormat="0" applyBorder="0" applyAlignment="0" applyProtection="0"/>
    <xf numFmtId="0" fontId="41" fillId="8" borderId="0" applyNumberFormat="0" applyBorder="0" applyAlignment="0" applyProtection="0"/>
    <xf numFmtId="0" fontId="41" fillId="9" borderId="0" applyNumberFormat="0" applyBorder="0" applyAlignment="0" applyProtection="0"/>
    <xf numFmtId="0" fontId="41" fillId="7" borderId="0" applyNumberFormat="0" applyBorder="0" applyAlignment="0" applyProtection="0"/>
    <xf numFmtId="0" fontId="41" fillId="10" borderId="0" applyNumberFormat="0" applyBorder="0" applyAlignment="0" applyProtection="0"/>
    <xf numFmtId="0" fontId="41" fillId="9" borderId="0" applyNumberFormat="0" applyBorder="0" applyAlignment="0" applyProtection="0"/>
    <xf numFmtId="0" fontId="41" fillId="11" borderId="0" applyNumberFormat="0" applyBorder="0" applyAlignment="0" applyProtection="0"/>
    <xf numFmtId="0" fontId="41" fillId="8" borderId="0" applyNumberFormat="0" applyBorder="0" applyAlignment="0" applyProtection="0"/>
    <xf numFmtId="0" fontId="41" fillId="12" borderId="0" applyNumberFormat="0" applyBorder="0" applyAlignment="0" applyProtection="0"/>
    <xf numFmtId="0" fontId="41" fillId="11" borderId="0" applyNumberFormat="0" applyBorder="0" applyAlignment="0" applyProtection="0"/>
    <xf numFmtId="0" fontId="41" fillId="13" borderId="0" applyNumberFormat="0" applyBorder="0" applyAlignment="0" applyProtection="0"/>
    <xf numFmtId="0" fontId="41" fillId="12" borderId="0" applyNumberFormat="0" applyBorder="0" applyAlignment="0" applyProtection="0"/>
    <xf numFmtId="0" fontId="42" fillId="14" borderId="0" applyNumberFormat="0" applyBorder="0" applyAlignment="0" applyProtection="0"/>
    <xf numFmtId="0" fontId="42" fillId="8" borderId="0" applyNumberFormat="0" applyBorder="0" applyAlignment="0" applyProtection="0"/>
    <xf numFmtId="0" fontId="42" fillId="12" borderId="0" applyNumberFormat="0" applyBorder="0" applyAlignment="0" applyProtection="0"/>
    <xf numFmtId="0" fontId="42" fillId="11" borderId="0" applyNumberFormat="0" applyBorder="0" applyAlignment="0" applyProtection="0"/>
    <xf numFmtId="0" fontId="42" fillId="14" borderId="0" applyNumberFormat="0" applyBorder="0" applyAlignment="0" applyProtection="0"/>
    <xf numFmtId="0" fontId="42" fillId="8" borderId="0" applyNumberFormat="0" applyBorder="0" applyAlignment="0" applyProtection="0"/>
    <xf numFmtId="0" fontId="43" fillId="12" borderId="63" applyNumberFormat="0" applyAlignment="0" applyProtection="0"/>
    <xf numFmtId="0" fontId="44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46" fillId="0" borderId="65" applyNumberFormat="0" applyFill="0" applyAlignment="0" applyProtection="0"/>
    <xf numFmtId="0" fontId="47" fillId="0" borderId="66" applyNumberFormat="0" applyFill="0" applyAlignment="0" applyProtection="0"/>
    <xf numFmtId="0" fontId="47" fillId="0" borderId="0" applyNumberFormat="0" applyFill="0" applyBorder="0" applyAlignment="0" applyProtection="0"/>
    <xf numFmtId="0" fontId="48" fillId="15" borderId="67" applyNumberFormat="0" applyAlignment="0" applyProtection="0"/>
    <xf numFmtId="0" fontId="49" fillId="0" borderId="0" applyNumberFormat="0" applyFill="0" applyBorder="0" applyAlignment="0" applyProtection="0"/>
    <xf numFmtId="0" fontId="50" fillId="0" borderId="68" applyNumberFormat="0" applyFill="0" applyAlignment="0" applyProtection="0"/>
    <xf numFmtId="0" fontId="16" fillId="9" borderId="69" applyNumberFormat="0" applyFont="0" applyAlignment="0" applyProtection="0"/>
    <xf numFmtId="0" fontId="42" fillId="14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9" borderId="0" applyNumberFormat="0" applyBorder="0" applyAlignment="0" applyProtection="0"/>
    <xf numFmtId="0" fontId="51" fillId="20" borderId="0" applyNumberFormat="0" applyBorder="0" applyAlignment="0" applyProtection="0"/>
    <xf numFmtId="0" fontId="52" fillId="21" borderId="70" applyNumberFormat="0" applyAlignment="0" applyProtection="0"/>
    <xf numFmtId="0" fontId="53" fillId="0" borderId="0" applyNumberFormat="0" applyFill="0" applyBorder="0" applyAlignment="0" applyProtection="0"/>
    <xf numFmtId="0" fontId="54" fillId="0" borderId="0"/>
    <xf numFmtId="0" fontId="41" fillId="0" borderId="0"/>
    <xf numFmtId="0" fontId="55" fillId="0" borderId="0"/>
    <xf numFmtId="0" fontId="16" fillId="0" borderId="0"/>
    <xf numFmtId="0" fontId="55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55" fillId="0" borderId="0"/>
    <xf numFmtId="0" fontId="56" fillId="0" borderId="71" applyNumberFormat="0" applyFill="0" applyAlignment="0" applyProtection="0"/>
    <xf numFmtId="0" fontId="57" fillId="22" borderId="0" applyNumberFormat="0" applyBorder="0" applyAlignment="0" applyProtection="0"/>
    <xf numFmtId="0" fontId="58" fillId="12" borderId="0" applyNumberFormat="0" applyBorder="0" applyAlignment="0" applyProtection="0"/>
    <xf numFmtId="0" fontId="59" fillId="21" borderId="63" applyNumberFormat="0" applyAlignment="0" applyProtection="0"/>
    <xf numFmtId="9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0" fontId="41" fillId="23" borderId="0" applyNumberFormat="0" applyBorder="0" applyAlignment="0" applyProtection="0"/>
    <xf numFmtId="0" fontId="41" fillId="22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10" borderId="0" applyNumberFormat="0" applyBorder="0" applyAlignment="0" applyProtection="0"/>
    <xf numFmtId="0" fontId="41" fillId="7" borderId="0" applyNumberFormat="0" applyBorder="0" applyAlignment="0" applyProtection="0"/>
    <xf numFmtId="0" fontId="41" fillId="13" borderId="0" applyNumberFormat="0" applyBorder="0" applyAlignment="0" applyProtection="0"/>
    <xf numFmtId="0" fontId="41" fillId="8" borderId="0" applyNumberFormat="0" applyBorder="0" applyAlignment="0" applyProtection="0"/>
    <xf numFmtId="0" fontId="41" fillId="25" borderId="0" applyNumberFormat="0" applyBorder="0" applyAlignment="0" applyProtection="0"/>
    <xf numFmtId="0" fontId="41" fillId="24" borderId="0" applyNumberFormat="0" applyBorder="0" applyAlignment="0" applyProtection="0"/>
    <xf numFmtId="0" fontId="41" fillId="13" borderId="0" applyNumberFormat="0" applyBorder="0" applyAlignment="0" applyProtection="0"/>
    <xf numFmtId="0" fontId="41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8" borderId="0" applyNumberFormat="0" applyBorder="0" applyAlignment="0" applyProtection="0"/>
    <xf numFmtId="0" fontId="42" fillId="25" borderId="0" applyNumberFormat="0" applyBorder="0" applyAlignment="0" applyProtection="0"/>
    <xf numFmtId="0" fontId="42" fillId="28" borderId="0" applyNumberFormat="0" applyBorder="0" applyAlignment="0" applyProtection="0"/>
    <xf numFmtId="0" fontId="42" fillId="14" borderId="0" applyNumberFormat="0" applyBorder="0" applyAlignment="0" applyProtection="0"/>
    <xf numFmtId="0" fontId="42" fillId="29" borderId="0" applyNumberFormat="0" applyBorder="0" applyAlignment="0" applyProtection="0"/>
    <xf numFmtId="0" fontId="42" fillId="30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42" fillId="28" borderId="0" applyNumberFormat="0" applyBorder="0" applyAlignment="0" applyProtection="0"/>
    <xf numFmtId="0" fontId="42" fillId="14" borderId="0" applyNumberFormat="0" applyBorder="0" applyAlignment="0" applyProtection="0"/>
    <xf numFmtId="0" fontId="42" fillId="19" borderId="0" applyNumberFormat="0" applyBorder="0" applyAlignment="0" applyProtection="0"/>
    <xf numFmtId="0" fontId="57" fillId="22" borderId="0" applyNumberFormat="0" applyBorder="0" applyAlignment="0" applyProtection="0"/>
    <xf numFmtId="0" fontId="59" fillId="11" borderId="63" applyNumberFormat="0" applyAlignment="0" applyProtection="0"/>
    <xf numFmtId="0" fontId="48" fillId="15" borderId="67" applyNumberFormat="0" applyAlignment="0" applyProtection="0"/>
    <xf numFmtId="0" fontId="53" fillId="0" borderId="0" applyNumberFormat="0" applyFill="0" applyBorder="0" applyAlignment="0" applyProtection="0"/>
    <xf numFmtId="0" fontId="51" fillId="20" borderId="0" applyNumberFormat="0" applyBorder="0" applyAlignment="0" applyProtection="0"/>
    <xf numFmtId="0" fontId="60" fillId="0" borderId="83" applyNumberFormat="0" applyFill="0" applyAlignment="0" applyProtection="0"/>
    <xf numFmtId="0" fontId="61" fillId="0" borderId="65" applyNumberFormat="0" applyFill="0" applyAlignment="0" applyProtection="0"/>
    <xf numFmtId="0" fontId="62" fillId="0" borderId="84" applyNumberFormat="0" applyFill="0" applyAlignment="0" applyProtection="0"/>
    <xf numFmtId="0" fontId="62" fillId="0" borderId="0" applyNumberFormat="0" applyFill="0" applyBorder="0" applyAlignment="0" applyProtection="0"/>
    <xf numFmtId="0" fontId="43" fillId="7" borderId="63" applyNumberFormat="0" applyAlignment="0" applyProtection="0"/>
    <xf numFmtId="0" fontId="50" fillId="0" borderId="68" applyNumberFormat="0" applyFill="0" applyAlignment="0" applyProtection="0"/>
    <xf numFmtId="0" fontId="58" fillId="12" borderId="0" applyNumberFormat="0" applyBorder="0" applyAlignment="0" applyProtection="0"/>
    <xf numFmtId="0" fontId="55" fillId="9" borderId="69" applyNumberFormat="0" applyFont="0" applyAlignment="0" applyProtection="0"/>
    <xf numFmtId="0" fontId="52" fillId="11" borderId="70" applyNumberFormat="0" applyAlignment="0" applyProtection="0"/>
    <xf numFmtId="0" fontId="63" fillId="0" borderId="0" applyNumberFormat="0" applyFill="0" applyBorder="0" applyAlignment="0" applyProtection="0"/>
    <xf numFmtId="0" fontId="56" fillId="0" borderId="85" applyNumberFormat="0" applyFill="0" applyAlignment="0" applyProtection="0"/>
    <xf numFmtId="0" fontId="49" fillId="0" borderId="0" applyNumberFormat="0" applyFill="0" applyBorder="0" applyAlignment="0" applyProtection="0"/>
    <xf numFmtId="43" fontId="40" fillId="0" borderId="0" applyFont="0" applyFill="0" applyBorder="0" applyAlignment="0" applyProtection="0"/>
  </cellStyleXfs>
  <cellXfs count="1350">
    <xf numFmtId="0" fontId="0" fillId="0" borderId="0" xfId="0"/>
    <xf numFmtId="0" fontId="0" fillId="0" borderId="0" xfId="0" applyBorder="1"/>
    <xf numFmtId="0" fontId="28" fillId="0" borderId="0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right" vertical="center"/>
    </xf>
    <xf numFmtId="0" fontId="5" fillId="0" borderId="1" xfId="1" applyFont="1" applyBorder="1"/>
    <xf numFmtId="0" fontId="2" fillId="0" borderId="1" xfId="1" applyFont="1" applyFill="1" applyBorder="1" applyAlignment="1">
      <alignment horizontal="right" vertical="center"/>
    </xf>
    <xf numFmtId="0" fontId="2" fillId="0" borderId="2" xfId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right" vertical="center"/>
    </xf>
    <xf numFmtId="0" fontId="4" fillId="0" borderId="4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right" vertical="center"/>
    </xf>
    <xf numFmtId="0" fontId="4" fillId="0" borderId="3" xfId="1" applyFont="1" applyFill="1" applyBorder="1" applyAlignment="1">
      <alignment horizontal="right" vertical="center"/>
    </xf>
    <xf numFmtId="164" fontId="4" fillId="0" borderId="6" xfId="1" applyNumberFormat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0" fontId="2" fillId="0" borderId="7" xfId="1" applyFont="1" applyFill="1" applyBorder="1" applyAlignment="1">
      <alignment horizontal="right" vertical="center"/>
    </xf>
    <xf numFmtId="0" fontId="2" fillId="0" borderId="4" xfId="1" applyFont="1" applyFill="1" applyBorder="1" applyAlignment="1">
      <alignment horizontal="left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/>
    <xf numFmtId="0" fontId="30" fillId="0" borderId="1" xfId="0" applyFont="1" applyBorder="1"/>
    <xf numFmtId="0" fontId="30" fillId="0" borderId="2" xfId="0" applyFont="1" applyBorder="1"/>
    <xf numFmtId="0" fontId="30" fillId="0" borderId="4" xfId="0" applyFont="1" applyBorder="1"/>
    <xf numFmtId="0" fontId="30" fillId="0" borderId="8" xfId="0" applyFont="1" applyBorder="1"/>
    <xf numFmtId="0" fontId="30" fillId="0" borderId="5" xfId="0" applyFont="1" applyBorder="1"/>
    <xf numFmtId="0" fontId="30" fillId="0" borderId="9" xfId="0" applyFont="1" applyBorder="1"/>
    <xf numFmtId="0" fontId="30" fillId="0" borderId="6" xfId="0" applyFont="1" applyBorder="1" applyAlignment="1">
      <alignment horizontal="left"/>
    </xf>
    <xf numFmtId="0" fontId="30" fillId="0" borderId="0" xfId="0" applyFont="1" applyBorder="1" applyAlignment="1">
      <alignment horizontal="right"/>
    </xf>
    <xf numFmtId="0" fontId="30" fillId="0" borderId="0" xfId="0" applyFont="1" applyBorder="1" applyAlignment="1">
      <alignment horizontal="left"/>
    </xf>
    <xf numFmtId="3" fontId="5" fillId="0" borderId="1" xfId="1" applyNumberFormat="1" applyFont="1" applyBorder="1"/>
    <xf numFmtId="3" fontId="30" fillId="0" borderId="1" xfId="0" applyNumberFormat="1" applyFont="1" applyBorder="1"/>
    <xf numFmtId="3" fontId="30" fillId="0" borderId="4" xfId="0" applyNumberFormat="1" applyFont="1" applyBorder="1"/>
    <xf numFmtId="3" fontId="30" fillId="0" borderId="8" xfId="0" applyNumberFormat="1" applyFont="1" applyBorder="1"/>
    <xf numFmtId="3" fontId="30" fillId="0" borderId="5" xfId="0" applyNumberFormat="1" applyFont="1" applyBorder="1"/>
    <xf numFmtId="49" fontId="30" fillId="0" borderId="0" xfId="0" applyNumberFormat="1" applyFont="1" applyBorder="1" applyAlignment="1">
      <alignment horizontal="center" vertical="center" wrapText="1"/>
    </xf>
    <xf numFmtId="0" fontId="6" fillId="0" borderId="3" xfId="1" applyFont="1" applyFill="1" applyBorder="1" applyAlignment="1">
      <alignment horizontal="right" vertical="center"/>
    </xf>
    <xf numFmtId="164" fontId="6" fillId="0" borderId="8" xfId="1" applyNumberFormat="1" applyFont="1" applyFill="1" applyBorder="1" applyAlignment="1">
      <alignment horizontal="left" vertical="center" wrapText="1"/>
    </xf>
    <xf numFmtId="0" fontId="6" fillId="0" borderId="10" xfId="1" applyFont="1" applyFill="1" applyBorder="1" applyAlignment="1">
      <alignment horizontal="right" vertical="center"/>
    </xf>
    <xf numFmtId="0" fontId="7" fillId="0" borderId="8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right" vertical="center"/>
    </xf>
    <xf numFmtId="0" fontId="31" fillId="0" borderId="3" xfId="0" applyFont="1" applyBorder="1" applyAlignment="1">
      <alignment horizontal="left"/>
    </xf>
    <xf numFmtId="0" fontId="31" fillId="0" borderId="0" xfId="0" applyFont="1" applyBorder="1"/>
    <xf numFmtId="0" fontId="6" fillId="0" borderId="3" xfId="1" applyFont="1" applyFill="1" applyBorder="1" applyAlignment="1">
      <alignment horizontal="right" vertical="center" wrapText="1"/>
    </xf>
    <xf numFmtId="0" fontId="6" fillId="0" borderId="8" xfId="1" applyFont="1" applyFill="1" applyBorder="1" applyAlignment="1">
      <alignment horizontal="left" vertical="center" wrapText="1"/>
    </xf>
    <xf numFmtId="0" fontId="29" fillId="0" borderId="2" xfId="0" applyFont="1" applyBorder="1"/>
    <xf numFmtId="0" fontId="29" fillId="0" borderId="0" xfId="0" applyFont="1" applyBorder="1"/>
    <xf numFmtId="0" fontId="29" fillId="0" borderId="1" xfId="0" applyFont="1" applyBorder="1"/>
    <xf numFmtId="0" fontId="29" fillId="0" borderId="5" xfId="0" applyFont="1" applyBorder="1"/>
    <xf numFmtId="0" fontId="28" fillId="0" borderId="0" xfId="0" applyFont="1" applyBorder="1"/>
    <xf numFmtId="0" fontId="2" fillId="0" borderId="10" xfId="1" applyFont="1" applyFill="1" applyBorder="1" applyAlignment="1">
      <alignment horizontal="right" vertical="center"/>
    </xf>
    <xf numFmtId="0" fontId="2" fillId="0" borderId="11" xfId="1" applyFont="1" applyFill="1" applyBorder="1" applyAlignment="1">
      <alignment horizontal="left" vertical="center" wrapText="1"/>
    </xf>
    <xf numFmtId="0" fontId="30" fillId="0" borderId="11" xfId="0" applyFont="1" applyBorder="1"/>
    <xf numFmtId="0" fontId="2" fillId="0" borderId="12" xfId="1" applyFont="1" applyFill="1" applyBorder="1" applyAlignment="1">
      <alignment horizontal="right" vertical="center" wrapText="1"/>
    </xf>
    <xf numFmtId="3" fontId="31" fillId="0" borderId="1" xfId="0" applyNumberFormat="1" applyFont="1" applyBorder="1"/>
    <xf numFmtId="3" fontId="29" fillId="0" borderId="7" xfId="0" applyNumberFormat="1" applyFont="1" applyBorder="1"/>
    <xf numFmtId="3" fontId="29" fillId="0" borderId="5" xfId="0" applyNumberFormat="1" applyFont="1" applyBorder="1"/>
    <xf numFmtId="3" fontId="29" fillId="0" borderId="2" xfId="0" applyNumberFormat="1" applyFont="1" applyBorder="1"/>
    <xf numFmtId="3" fontId="31" fillId="0" borderId="8" xfId="0" applyNumberFormat="1" applyFont="1" applyBorder="1"/>
    <xf numFmtId="3" fontId="29" fillId="0" borderId="1" xfId="0" applyNumberFormat="1" applyFont="1" applyBorder="1"/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30" fillId="0" borderId="0" xfId="0" applyNumberFormat="1" applyFont="1" applyBorder="1"/>
    <xf numFmtId="3" fontId="29" fillId="0" borderId="13" xfId="0" applyNumberFormat="1" applyFont="1" applyBorder="1"/>
    <xf numFmtId="0" fontId="3" fillId="0" borderId="3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1" applyFont="1" applyBorder="1" applyAlignment="1">
      <alignment horizontal="center" vertical="center" wrapText="1"/>
    </xf>
    <xf numFmtId="0" fontId="30" fillId="0" borderId="0" xfId="0" applyFont="1" applyBorder="1" applyAlignment="1"/>
    <xf numFmtId="0" fontId="5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9" fillId="0" borderId="1" xfId="0" applyFont="1" applyBorder="1" applyAlignment="1">
      <alignment horizontal="right"/>
    </xf>
    <xf numFmtId="0" fontId="29" fillId="0" borderId="1" xfId="0" applyFont="1" applyBorder="1" applyAlignment="1"/>
    <xf numFmtId="0" fontId="0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vertical="center"/>
    </xf>
    <xf numFmtId="0" fontId="3" fillId="0" borderId="0" xfId="0" applyFont="1" applyFill="1"/>
    <xf numFmtId="0" fontId="5" fillId="0" borderId="0" xfId="0" applyFont="1" applyFill="1"/>
    <xf numFmtId="0" fontId="5" fillId="0" borderId="0" xfId="0" applyFont="1" applyFill="1" applyBorder="1"/>
    <xf numFmtId="3" fontId="3" fillId="0" borderId="1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/>
    </xf>
    <xf numFmtId="49" fontId="11" fillId="0" borderId="0" xfId="2" applyNumberFormat="1" applyFont="1" applyFill="1" applyBorder="1" applyAlignment="1" applyProtection="1">
      <alignment horizontal="centerContinuous" vertical="center"/>
    </xf>
    <xf numFmtId="3" fontId="11" fillId="0" borderId="0" xfId="2" applyNumberFormat="1" applyFont="1" applyFill="1" applyBorder="1" applyAlignment="1" applyProtection="1">
      <alignment horizontal="centerContinuous" vertical="center"/>
    </xf>
    <xf numFmtId="3" fontId="15" fillId="0" borderId="1" xfId="2" applyNumberFormat="1" applyFont="1" applyFill="1" applyBorder="1" applyAlignment="1" applyProtection="1">
      <alignment horizontal="right" vertical="center" wrapText="1"/>
    </xf>
    <xf numFmtId="3" fontId="10" fillId="0" borderId="1" xfId="2" applyNumberFormat="1" applyFont="1" applyFill="1" applyBorder="1" applyAlignment="1" applyProtection="1">
      <alignment horizontal="left" vertical="center" wrapText="1" indent="1"/>
    </xf>
    <xf numFmtId="3" fontId="10" fillId="0" borderId="1" xfId="2" applyNumberFormat="1" applyFont="1" applyFill="1" applyBorder="1" applyAlignment="1" applyProtection="1">
      <alignment horizontal="right" vertical="center" wrapText="1"/>
    </xf>
    <xf numFmtId="3" fontId="15" fillId="0" borderId="1" xfId="2" applyNumberFormat="1" applyFont="1" applyFill="1" applyBorder="1" applyAlignment="1" applyProtection="1">
      <alignment vertical="center" wrapText="1"/>
    </xf>
    <xf numFmtId="3" fontId="10" fillId="0" borderId="0" xfId="2" applyNumberFormat="1" applyFont="1" applyFill="1" applyBorder="1"/>
    <xf numFmtId="3" fontId="3" fillId="0" borderId="1" xfId="1" applyNumberFormat="1" applyFont="1" applyBorder="1"/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 indent="5"/>
    </xf>
    <xf numFmtId="3" fontId="7" fillId="0" borderId="1" xfId="0" applyNumberFormat="1" applyFont="1" applyFill="1" applyBorder="1" applyAlignment="1">
      <alignment vertical="center"/>
    </xf>
    <xf numFmtId="0" fontId="7" fillId="0" borderId="0" xfId="0" applyFont="1" applyFill="1"/>
    <xf numFmtId="0" fontId="7" fillId="0" borderId="1" xfId="0" applyFont="1" applyFill="1" applyBorder="1" applyAlignment="1">
      <alignment horizontal="right" vertical="center"/>
    </xf>
    <xf numFmtId="0" fontId="5" fillId="0" borderId="1" xfId="1" applyFont="1" applyBorder="1" applyAlignment="1">
      <alignment horizontal="right" vertical="center" wrapText="1"/>
    </xf>
    <xf numFmtId="0" fontId="3" fillId="0" borderId="1" xfId="1" applyFont="1" applyBorder="1" applyAlignment="1">
      <alignment horizontal="right" vertical="center" wrapText="1"/>
    </xf>
    <xf numFmtId="165" fontId="0" fillId="0" borderId="0" xfId="0" applyNumberFormat="1" applyFont="1" applyFill="1" applyAlignment="1">
      <alignment vertical="center" wrapText="1"/>
    </xf>
    <xf numFmtId="165" fontId="0" fillId="0" borderId="0" xfId="0" applyNumberFormat="1" applyFont="1" applyFill="1" applyAlignment="1">
      <alignment horizontal="center" vertical="center" wrapText="1"/>
    </xf>
    <xf numFmtId="165" fontId="17" fillId="0" borderId="0" xfId="0" applyNumberFormat="1" applyFont="1" applyFill="1" applyAlignment="1">
      <alignment horizontal="center" vertical="center" wrapText="1"/>
    </xf>
    <xf numFmtId="165" fontId="0" fillId="0" borderId="0" xfId="0" applyNumberFormat="1" applyFont="1" applyFill="1" applyAlignment="1" applyProtection="1">
      <alignment vertical="center" wrapText="1"/>
    </xf>
    <xf numFmtId="165" fontId="17" fillId="0" borderId="0" xfId="0" applyNumberFormat="1" applyFont="1" applyFill="1" applyAlignment="1">
      <alignment vertical="center" wrapText="1"/>
    </xf>
    <xf numFmtId="0" fontId="4" fillId="0" borderId="25" xfId="1" applyFont="1" applyFill="1" applyBorder="1" applyAlignment="1">
      <alignment horizontal="right" vertical="center"/>
    </xf>
    <xf numFmtId="0" fontId="30" fillId="0" borderId="25" xfId="0" applyFont="1" applyBorder="1" applyAlignment="1">
      <alignment horizontal="right"/>
    </xf>
    <xf numFmtId="49" fontId="15" fillId="0" borderId="0" xfId="2" applyNumberFormat="1" applyFont="1" applyFill="1" applyBorder="1" applyAlignment="1" applyProtection="1">
      <alignment horizontal="left" vertical="center" wrapText="1" indent="1"/>
    </xf>
    <xf numFmtId="0" fontId="4" fillId="0" borderId="35" xfId="1" applyFont="1" applyFill="1" applyBorder="1" applyAlignment="1">
      <alignment horizontal="right" vertical="center"/>
    </xf>
    <xf numFmtId="3" fontId="30" fillId="0" borderId="6" xfId="0" applyNumberFormat="1" applyFont="1" applyBorder="1"/>
    <xf numFmtId="3" fontId="30" fillId="0" borderId="36" xfId="0" applyNumberFormat="1" applyFont="1" applyBorder="1"/>
    <xf numFmtId="165" fontId="5" fillId="0" borderId="1" xfId="0" applyNumberFormat="1" applyFont="1" applyFill="1" applyBorder="1" applyAlignment="1" applyProtection="1">
      <alignment horizontal="left" vertical="center" wrapText="1"/>
      <protection locked="0"/>
    </xf>
    <xf numFmtId="3" fontId="5" fillId="0" borderId="1" xfId="0" applyNumberFormat="1" applyFont="1" applyFill="1" applyBorder="1" applyAlignment="1" applyProtection="1">
      <alignment vertical="center" wrapText="1"/>
      <protection locked="0"/>
    </xf>
    <xf numFmtId="165" fontId="5" fillId="0" borderId="1" xfId="0" applyNumberFormat="1" applyFont="1" applyFill="1" applyBorder="1" applyAlignment="1" applyProtection="1">
      <alignment vertical="center" wrapText="1"/>
      <protection locked="0"/>
    </xf>
    <xf numFmtId="165" fontId="30" fillId="0" borderId="1" xfId="0" applyNumberFormat="1" applyFont="1" applyFill="1" applyBorder="1" applyAlignment="1" applyProtection="1">
      <alignment horizontal="left" vertical="center" wrapText="1" indent="1"/>
      <protection locked="0"/>
    </xf>
    <xf numFmtId="3" fontId="30" fillId="0" borderId="1" xfId="0" applyNumberFormat="1" applyFont="1" applyFill="1" applyBorder="1" applyAlignment="1" applyProtection="1">
      <alignment vertical="center" wrapText="1"/>
      <protection locked="0"/>
    </xf>
    <xf numFmtId="3" fontId="30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" xfId="0" applyNumberFormat="1" applyFont="1" applyFill="1" applyBorder="1" applyAlignment="1" applyProtection="1">
      <alignment vertical="center" wrapText="1"/>
      <protection locked="0"/>
    </xf>
    <xf numFmtId="165" fontId="3" fillId="0" borderId="0" xfId="0" applyNumberFormat="1" applyFont="1" applyFill="1" applyBorder="1" applyAlignment="1" applyProtection="1">
      <alignment vertical="center" wrapText="1"/>
      <protection locked="0"/>
    </xf>
    <xf numFmtId="0" fontId="4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 wrapText="1" indent="5"/>
    </xf>
    <xf numFmtId="0" fontId="2" fillId="0" borderId="1" xfId="1" applyFont="1" applyFill="1" applyBorder="1" applyAlignment="1">
      <alignment vertical="center" wrapText="1"/>
    </xf>
    <xf numFmtId="0" fontId="30" fillId="0" borderId="0" xfId="0" applyFont="1" applyBorder="1" applyAlignment="1">
      <alignment horizontal="left" wrapText="1"/>
    </xf>
    <xf numFmtId="0" fontId="5" fillId="0" borderId="1" xfId="0" applyFont="1" applyFill="1" applyBorder="1"/>
    <xf numFmtId="0" fontId="3" fillId="0" borderId="1" xfId="0" applyFont="1" applyFill="1" applyBorder="1"/>
    <xf numFmtId="0" fontId="5" fillId="0" borderId="0" xfId="0" applyFont="1" applyFill="1" applyBorder="1" applyAlignment="1">
      <alignment horizontal="left"/>
    </xf>
    <xf numFmtId="3" fontId="9" fillId="0" borderId="0" xfId="2" applyNumberFormat="1" applyFont="1" applyFill="1" applyBorder="1"/>
    <xf numFmtId="3" fontId="16" fillId="0" borderId="0" xfId="2" applyNumberFormat="1" applyFont="1" applyFill="1" applyBorder="1"/>
    <xf numFmtId="3" fontId="13" fillId="0" borderId="0" xfId="0" applyNumberFormat="1" applyFont="1" applyFill="1" applyBorder="1" applyAlignment="1" applyProtection="1">
      <alignment horizontal="right"/>
    </xf>
    <xf numFmtId="49" fontId="10" fillId="0" borderId="0" xfId="2" applyNumberFormat="1" applyFont="1" applyFill="1" applyBorder="1"/>
    <xf numFmtId="49" fontId="12" fillId="0" borderId="0" xfId="2" applyNumberFormat="1" applyFont="1" applyFill="1" applyBorder="1" applyAlignment="1" applyProtection="1">
      <alignment horizontal="left" vertical="center"/>
    </xf>
    <xf numFmtId="3" fontId="12" fillId="0" borderId="0" xfId="2" applyNumberFormat="1" applyFont="1" applyFill="1" applyBorder="1" applyAlignment="1" applyProtection="1">
      <alignment horizontal="left" vertical="center"/>
    </xf>
    <xf numFmtId="49" fontId="9" fillId="0" borderId="0" xfId="2" applyNumberFormat="1" applyFont="1" applyFill="1" applyBorder="1"/>
    <xf numFmtId="0" fontId="5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15" fillId="0" borderId="1" xfId="2" applyNumberFormat="1" applyFont="1" applyFill="1" applyBorder="1" applyAlignment="1" applyProtection="1">
      <alignment horizontal="left" vertical="center" wrapText="1" indent="1"/>
    </xf>
    <xf numFmtId="49" fontId="10" fillId="0" borderId="1" xfId="2" applyNumberFormat="1" applyFont="1" applyFill="1" applyBorder="1" applyAlignment="1" applyProtection="1">
      <alignment horizontal="left" vertical="center" wrapText="1" indent="1"/>
    </xf>
    <xf numFmtId="0" fontId="3" fillId="0" borderId="1" xfId="1" applyFont="1" applyFill="1" applyBorder="1" applyAlignment="1">
      <alignment horizontal="left" vertical="center" wrapText="1"/>
    </xf>
    <xf numFmtId="3" fontId="5" fillId="0" borderId="1" xfId="0" applyNumberFormat="1" applyFont="1" applyFill="1" applyBorder="1"/>
    <xf numFmtId="0" fontId="5" fillId="0" borderId="1" xfId="1" applyFont="1" applyFill="1" applyBorder="1" applyAlignment="1">
      <alignment horizontal="right" vertical="center" wrapText="1"/>
    </xf>
    <xf numFmtId="3" fontId="5" fillId="0" borderId="0" xfId="0" applyNumberFormat="1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right" vertical="center" wrapText="1"/>
    </xf>
    <xf numFmtId="3" fontId="15" fillId="0" borderId="0" xfId="2" applyNumberFormat="1" applyFont="1" applyFill="1" applyBorder="1"/>
    <xf numFmtId="3" fontId="11" fillId="0" borderId="0" xfId="2" applyNumberFormat="1" applyFont="1" applyFill="1" applyBorder="1"/>
    <xf numFmtId="3" fontId="17" fillId="0" borderId="0" xfId="2" applyNumberFormat="1" applyFont="1" applyFill="1" applyBorder="1"/>
    <xf numFmtId="0" fontId="7" fillId="0" borderId="1" xfId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 indent="3"/>
    </xf>
    <xf numFmtId="3" fontId="3" fillId="0" borderId="1" xfId="1" applyNumberFormat="1" applyFont="1" applyBorder="1" applyAlignment="1">
      <alignment horizontal="right" vertical="center" wrapText="1"/>
    </xf>
    <xf numFmtId="3" fontId="3" fillId="0" borderId="1" xfId="0" applyNumberFormat="1" applyFont="1" applyFill="1" applyBorder="1"/>
    <xf numFmtId="3" fontId="5" fillId="0" borderId="1" xfId="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 applyProtection="1">
      <alignment vertical="center" wrapText="1"/>
      <protection locked="0"/>
    </xf>
    <xf numFmtId="3" fontId="3" fillId="0" borderId="1" xfId="0" applyNumberFormat="1" applyFont="1" applyFill="1" applyBorder="1" applyAlignment="1" applyProtection="1">
      <alignment vertical="center" wrapText="1"/>
      <protection locked="0"/>
    </xf>
    <xf numFmtId="165" fontId="30" fillId="0" borderId="0" xfId="0" applyNumberFormat="1" applyFont="1" applyFill="1" applyAlignment="1">
      <alignment vertical="center" wrapText="1"/>
    </xf>
    <xf numFmtId="165" fontId="30" fillId="0" borderId="0" xfId="0" applyNumberFormat="1" applyFont="1" applyFill="1" applyAlignment="1">
      <alignment horizontal="center" vertical="center" wrapText="1"/>
    </xf>
    <xf numFmtId="165" fontId="30" fillId="0" borderId="0" xfId="0" applyNumberFormat="1" applyFont="1" applyFill="1" applyAlignment="1">
      <alignment horizontal="right" vertical="center" wrapText="1"/>
    </xf>
    <xf numFmtId="165" fontId="29" fillId="0" borderId="0" xfId="0" applyNumberFormat="1" applyFont="1" applyFill="1" applyAlignment="1">
      <alignment vertical="center" wrapText="1"/>
    </xf>
    <xf numFmtId="165" fontId="8" fillId="0" borderId="1" xfId="0" applyNumberFormat="1" applyFont="1" applyFill="1" applyBorder="1" applyAlignment="1" applyProtection="1">
      <alignment horizontal="left" vertical="center" wrapText="1"/>
      <protection locked="0"/>
    </xf>
    <xf numFmtId="165" fontId="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3" fontId="30" fillId="0" borderId="0" xfId="0" applyNumberFormat="1" applyFont="1" applyFill="1" applyAlignment="1">
      <alignment vertical="center" wrapText="1"/>
    </xf>
    <xf numFmtId="3" fontId="30" fillId="0" borderId="0" xfId="0" applyNumberFormat="1" applyFont="1" applyFill="1" applyAlignment="1">
      <alignment horizontal="right" vertical="center" wrapText="1"/>
    </xf>
    <xf numFmtId="0" fontId="33" fillId="0" borderId="0" xfId="0" applyFont="1"/>
    <xf numFmtId="0" fontId="0" fillId="0" borderId="0" xfId="0" applyAlignment="1">
      <alignment wrapText="1"/>
    </xf>
    <xf numFmtId="0" fontId="33" fillId="0" borderId="6" xfId="0" applyFont="1" applyBorder="1" applyAlignment="1">
      <alignment horizontal="right"/>
    </xf>
    <xf numFmtId="0" fontId="33" fillId="0" borderId="6" xfId="0" applyFont="1" applyBorder="1" applyAlignment="1">
      <alignment horizontal="left"/>
    </xf>
    <xf numFmtId="0" fontId="33" fillId="0" borderId="6" xfId="0" applyFont="1" applyBorder="1"/>
    <xf numFmtId="0" fontId="35" fillId="0" borderId="0" xfId="0" applyFont="1" applyAlignment="1">
      <alignment horizontal="center" vertical="center" wrapText="1"/>
    </xf>
    <xf numFmtId="0" fontId="36" fillId="0" borderId="1" xfId="0" applyFont="1" applyBorder="1" applyAlignment="1">
      <alignment horizontal="right" vertical="center"/>
    </xf>
    <xf numFmtId="0" fontId="34" fillId="0" borderId="3" xfId="0" applyFont="1" applyBorder="1" applyAlignment="1">
      <alignment horizontal="right" vertical="center"/>
    </xf>
    <xf numFmtId="0" fontId="36" fillId="0" borderId="4" xfId="0" applyFont="1" applyBorder="1" applyAlignment="1">
      <alignment horizontal="left" vertical="center" wrapText="1"/>
    </xf>
    <xf numFmtId="0" fontId="36" fillId="0" borderId="4" xfId="0" applyFont="1" applyBorder="1"/>
    <xf numFmtId="0" fontId="36" fillId="0" borderId="8" xfId="0" applyFont="1" applyBorder="1"/>
    <xf numFmtId="0" fontId="37" fillId="0" borderId="1" xfId="0" applyFont="1" applyBorder="1" applyAlignment="1">
      <alignment horizontal="right" vertical="center"/>
    </xf>
    <xf numFmtId="0" fontId="37" fillId="0" borderId="3" xfId="0" applyFont="1" applyBorder="1" applyAlignment="1">
      <alignment horizontal="left"/>
    </xf>
    <xf numFmtId="1" fontId="37" fillId="0" borderId="8" xfId="0" applyNumberFormat="1" applyFont="1" applyBorder="1" applyAlignment="1">
      <alignment horizontal="left" vertical="center" wrapText="1"/>
    </xf>
    <xf numFmtId="0" fontId="37" fillId="0" borderId="11" xfId="0" applyFont="1" applyBorder="1" applyAlignment="1">
      <alignment horizontal="right" vertical="center"/>
    </xf>
    <xf numFmtId="0" fontId="37" fillId="0" borderId="11" xfId="0" applyFont="1" applyBorder="1" applyAlignment="1">
      <alignment horizontal="left"/>
    </xf>
    <xf numFmtId="1" fontId="37" fillId="0" borderId="11" xfId="0" applyNumberFormat="1" applyFont="1" applyBorder="1" applyAlignment="1">
      <alignment horizontal="left" vertical="center" wrapText="1"/>
    </xf>
    <xf numFmtId="0" fontId="36" fillId="0" borderId="11" xfId="0" applyFont="1" applyBorder="1"/>
    <xf numFmtId="0" fontId="36" fillId="0" borderId="6" xfId="0" applyFont="1" applyBorder="1" applyAlignment="1">
      <alignment horizontal="right" vertical="center"/>
    </xf>
    <xf numFmtId="0" fontId="36" fillId="0" borderId="6" xfId="0" applyFont="1" applyBorder="1" applyAlignment="1">
      <alignment horizontal="left"/>
    </xf>
    <xf numFmtId="1" fontId="36" fillId="0" borderId="6" xfId="0" applyNumberFormat="1" applyFont="1" applyBorder="1" applyAlignment="1">
      <alignment horizontal="left" vertical="center" wrapText="1"/>
    </xf>
    <xf numFmtId="0" fontId="36" fillId="0" borderId="6" xfId="0" applyFont="1" applyBorder="1"/>
    <xf numFmtId="0" fontId="37" fillId="0" borderId="1" xfId="0" applyFont="1" applyBorder="1" applyAlignment="1">
      <alignment horizontal="right" vertical="center" wrapText="1"/>
    </xf>
    <xf numFmtId="0" fontId="37" fillId="0" borderId="8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right" vertical="center"/>
    </xf>
    <xf numFmtId="0" fontId="34" fillId="0" borderId="11" xfId="0" applyFont="1" applyBorder="1" applyAlignment="1">
      <alignment horizontal="left" vertical="center" wrapText="1"/>
    </xf>
    <xf numFmtId="0" fontId="34" fillId="0" borderId="11" xfId="0" applyFont="1" applyBorder="1"/>
    <xf numFmtId="0" fontId="34" fillId="0" borderId="6" xfId="0" applyFont="1" applyBorder="1" applyAlignment="1">
      <alignment horizontal="right" vertical="center"/>
    </xf>
    <xf numFmtId="0" fontId="36" fillId="0" borderId="6" xfId="0" applyFont="1" applyBorder="1" applyAlignment="1">
      <alignment horizontal="left" vertical="center" wrapText="1"/>
    </xf>
    <xf numFmtId="0" fontId="34" fillId="0" borderId="12" xfId="0" applyFont="1" applyBorder="1" applyAlignment="1">
      <alignment horizontal="right" vertical="center" wrapText="1"/>
    </xf>
    <xf numFmtId="0" fontId="34" fillId="0" borderId="13" xfId="0" applyFont="1" applyBorder="1"/>
    <xf numFmtId="0" fontId="36" fillId="0" borderId="0" xfId="0" applyFont="1" applyAlignment="1">
      <alignment horizontal="right"/>
    </xf>
    <xf numFmtId="0" fontId="36" fillId="0" borderId="0" xfId="0" applyFont="1" applyAlignment="1">
      <alignment horizontal="left"/>
    </xf>
    <xf numFmtId="0" fontId="36" fillId="0" borderId="0" xfId="0" applyFont="1"/>
    <xf numFmtId="3" fontId="38" fillId="0" borderId="37" xfId="0" applyNumberFormat="1" applyFont="1" applyBorder="1" applyAlignment="1">
      <alignment horizontal="center"/>
    </xf>
    <xf numFmtId="3" fontId="39" fillId="0" borderId="37" xfId="0" applyNumberFormat="1" applyFont="1" applyBorder="1" applyAlignment="1">
      <alignment horizontal="right"/>
    </xf>
    <xf numFmtId="0" fontId="34" fillId="0" borderId="34" xfId="0" applyFont="1" applyBorder="1" applyAlignment="1">
      <alignment horizontal="center" vertical="center"/>
    </xf>
    <xf numFmtId="0" fontId="33" fillId="0" borderId="25" xfId="0" applyFont="1" applyBorder="1"/>
    <xf numFmtId="0" fontId="34" fillId="0" borderId="39" xfId="0" applyFont="1" applyBorder="1" applyAlignment="1">
      <alignment horizontal="left" vertical="center"/>
    </xf>
    <xf numFmtId="0" fontId="36" fillId="0" borderId="40" xfId="0" applyFont="1" applyBorder="1"/>
    <xf numFmtId="3" fontId="36" fillId="0" borderId="40" xfId="0" applyNumberFormat="1" applyFont="1" applyBorder="1"/>
    <xf numFmtId="9" fontId="36" fillId="0" borderId="40" xfId="0" applyNumberFormat="1" applyFont="1" applyBorder="1"/>
    <xf numFmtId="3" fontId="36" fillId="0" borderId="40" xfId="0" applyNumberFormat="1" applyFont="1" applyBorder="1" applyAlignment="1">
      <alignment wrapText="1"/>
    </xf>
    <xf numFmtId="0" fontId="34" fillId="0" borderId="40" xfId="0" applyFont="1" applyBorder="1" applyAlignment="1">
      <alignment horizontal="left" vertical="center"/>
    </xf>
    <xf numFmtId="3" fontId="34" fillId="4" borderId="40" xfId="0" applyNumberFormat="1" applyFont="1" applyFill="1" applyBorder="1" applyAlignment="1">
      <alignment horizontal="center" vertical="center" wrapText="1"/>
    </xf>
    <xf numFmtId="0" fontId="34" fillId="0" borderId="40" xfId="0" applyFont="1" applyBorder="1"/>
    <xf numFmtId="0" fontId="36" fillId="4" borderId="33" xfId="0" applyFont="1" applyFill="1" applyBorder="1"/>
    <xf numFmtId="3" fontId="36" fillId="4" borderId="33" xfId="0" applyNumberFormat="1" applyFont="1" applyFill="1" applyBorder="1"/>
    <xf numFmtId="0" fontId="36" fillId="4" borderId="0" xfId="0" applyFont="1" applyFill="1"/>
    <xf numFmtId="0" fontId="34" fillId="0" borderId="34" xfId="0" applyFont="1" applyBorder="1" applyAlignment="1">
      <alignment vertical="center"/>
    </xf>
    <xf numFmtId="3" fontId="34" fillId="0" borderId="34" xfId="0" applyNumberFormat="1" applyFont="1" applyBorder="1" applyAlignment="1">
      <alignment vertical="center"/>
    </xf>
    <xf numFmtId="0" fontId="36" fillId="0" borderId="0" xfId="0" applyFont="1" applyAlignment="1">
      <alignment vertical="center"/>
    </xf>
    <xf numFmtId="3" fontId="34" fillId="0" borderId="41" xfId="0" applyNumberFormat="1" applyFont="1" applyBorder="1"/>
    <xf numFmtId="9" fontId="36" fillId="0" borderId="41" xfId="0" applyNumberFormat="1" applyFont="1" applyBorder="1"/>
    <xf numFmtId="0" fontId="36" fillId="0" borderId="41" xfId="0" applyFont="1" applyBorder="1"/>
    <xf numFmtId="0" fontId="33" fillId="0" borderId="37" xfId="0" applyFont="1" applyBorder="1"/>
    <xf numFmtId="9" fontId="36" fillId="0" borderId="37" xfId="0" applyNumberFormat="1" applyFont="1" applyBorder="1"/>
    <xf numFmtId="166" fontId="36" fillId="0" borderId="40" xfId="0" applyNumberFormat="1" applyFont="1" applyBorder="1"/>
    <xf numFmtId="166" fontId="36" fillId="0" borderId="0" xfId="0" applyNumberFormat="1" applyFont="1"/>
    <xf numFmtId="166" fontId="36" fillId="0" borderId="40" xfId="0" applyNumberFormat="1" applyFont="1" applyBorder="1" applyAlignment="1">
      <alignment horizontal="right"/>
    </xf>
    <xf numFmtId="166" fontId="34" fillId="0" borderId="40" xfId="0" applyNumberFormat="1" applyFont="1" applyBorder="1" applyAlignment="1">
      <alignment horizontal="center"/>
    </xf>
    <xf numFmtId="0" fontId="34" fillId="0" borderId="40" xfId="0" applyFont="1" applyBorder="1" applyAlignment="1">
      <alignment vertical="center"/>
    </xf>
    <xf numFmtId="3" fontId="34" fillId="0" borderId="40" xfId="0" applyNumberFormat="1" applyFont="1" applyBorder="1" applyAlignment="1">
      <alignment vertical="center"/>
    </xf>
    <xf numFmtId="3" fontId="34" fillId="4" borderId="33" xfId="0" applyNumberFormat="1" applyFont="1" applyFill="1" applyBorder="1" applyAlignment="1">
      <alignment horizontal="center" vertical="center"/>
    </xf>
    <xf numFmtId="0" fontId="33" fillId="0" borderId="41" xfId="0" applyFont="1" applyBorder="1"/>
    <xf numFmtId="3" fontId="36" fillId="0" borderId="41" xfId="0" applyNumberFormat="1" applyFont="1" applyBorder="1"/>
    <xf numFmtId="3" fontId="36" fillId="0" borderId="0" xfId="0" applyNumberFormat="1" applyFont="1"/>
    <xf numFmtId="0" fontId="36" fillId="0" borderId="1" xfId="0" applyFont="1" applyBorder="1"/>
    <xf numFmtId="0" fontId="34" fillId="0" borderId="1" xfId="0" applyFont="1" applyBorder="1" applyAlignment="1">
      <alignment horizontal="right" vertical="center"/>
    </xf>
    <xf numFmtId="0" fontId="34" fillId="0" borderId="1" xfId="0" applyFont="1" applyBorder="1"/>
    <xf numFmtId="0" fontId="35" fillId="0" borderId="0" xfId="0" applyFont="1"/>
    <xf numFmtId="0" fontId="36" fillId="0" borderId="40" xfId="0" applyFont="1" applyBorder="1"/>
    <xf numFmtId="3" fontId="37" fillId="0" borderId="40" xfId="0" applyNumberFormat="1" applyFont="1" applyBorder="1"/>
    <xf numFmtId="0" fontId="34" fillId="4" borderId="34" xfId="0" applyFont="1" applyFill="1" applyBorder="1" applyAlignment="1">
      <alignment horizontal="center" vertical="center" wrapText="1"/>
    </xf>
    <xf numFmtId="3" fontId="36" fillId="0" borderId="40" xfId="0" applyNumberFormat="1" applyFont="1" applyBorder="1"/>
    <xf numFmtId="0" fontId="34" fillId="0" borderId="27" xfId="0" applyFont="1" applyBorder="1" applyAlignment="1">
      <alignment horizontal="center" vertical="center"/>
    </xf>
    <xf numFmtId="0" fontId="34" fillId="0" borderId="47" xfId="0" applyFont="1" applyBorder="1" applyAlignment="1">
      <alignment horizontal="left" vertical="center"/>
    </xf>
    <xf numFmtId="0" fontId="36" fillId="0" borderId="3" xfId="0" applyFont="1" applyBorder="1"/>
    <xf numFmtId="0" fontId="36" fillId="0" borderId="47" xfId="0" applyFont="1" applyBorder="1"/>
    <xf numFmtId="0" fontId="34" fillId="0" borderId="44" xfId="0" applyFont="1" applyBorder="1" applyAlignment="1">
      <alignment horizontal="left" vertical="center"/>
    </xf>
    <xf numFmtId="0" fontId="34" fillId="0" borderId="40" xfId="0" applyFont="1" applyBorder="1" applyAlignment="1">
      <alignment horizontal="left" vertical="center"/>
    </xf>
    <xf numFmtId="0" fontId="33" fillId="0" borderId="0" xfId="0" applyFont="1" applyBorder="1"/>
    <xf numFmtId="3" fontId="29" fillId="0" borderId="0" xfId="0" applyNumberFormat="1" applyFont="1" applyBorder="1"/>
    <xf numFmtId="3" fontId="30" fillId="0" borderId="11" xfId="0" applyNumberFormat="1" applyFont="1" applyBorder="1"/>
    <xf numFmtId="3" fontId="31" fillId="0" borderId="11" xfId="0" applyNumberFormat="1" applyFont="1" applyBorder="1"/>
    <xf numFmtId="0" fontId="31" fillId="0" borderId="11" xfId="0" applyFont="1" applyBorder="1" applyAlignment="1">
      <alignment horizontal="left"/>
    </xf>
    <xf numFmtId="3" fontId="0" fillId="0" borderId="0" xfId="0" applyNumberFormat="1" applyFill="1" applyAlignment="1">
      <alignment horizontal="center" vertical="center" wrapText="1"/>
    </xf>
    <xf numFmtId="3" fontId="0" fillId="0" borderId="0" xfId="0" applyNumberFormat="1" applyFill="1" applyAlignment="1">
      <alignment vertical="center" wrapText="1"/>
    </xf>
    <xf numFmtId="3" fontId="10" fillId="0" borderId="1" xfId="0" applyNumberFormat="1" applyFont="1" applyFill="1" applyBorder="1" applyAlignment="1" applyProtection="1">
      <alignment vertical="center" wrapText="1"/>
      <protection locked="0"/>
    </xf>
    <xf numFmtId="3" fontId="5" fillId="0" borderId="0" xfId="3" applyNumberFormat="1" applyFont="1" applyFill="1" applyProtection="1"/>
    <xf numFmtId="3" fontId="5" fillId="0" borderId="0" xfId="3" applyNumberFormat="1" applyFont="1" applyFill="1" applyProtection="1">
      <protection locked="0"/>
    </xf>
    <xf numFmtId="3" fontId="3" fillId="0" borderId="0" xfId="3" applyNumberFormat="1" applyFont="1" applyFill="1" applyAlignment="1" applyProtection="1">
      <alignment horizontal="right"/>
    </xf>
    <xf numFmtId="3" fontId="3" fillId="0" borderId="16" xfId="3" applyNumberFormat="1" applyFont="1" applyFill="1" applyBorder="1" applyAlignment="1" applyProtection="1">
      <alignment horizontal="center" vertical="center"/>
    </xf>
    <xf numFmtId="3" fontId="3" fillId="0" borderId="16" xfId="3" applyNumberFormat="1" applyFont="1" applyFill="1" applyBorder="1" applyAlignment="1" applyProtection="1">
      <alignment horizontal="center" vertical="center" wrapText="1"/>
    </xf>
    <xf numFmtId="3" fontId="3" fillId="0" borderId="17" xfId="3" applyNumberFormat="1" applyFont="1" applyFill="1" applyBorder="1" applyAlignment="1" applyProtection="1">
      <alignment horizontal="center" vertical="center"/>
    </xf>
    <xf numFmtId="3" fontId="5" fillId="0" borderId="0" xfId="3" applyNumberFormat="1" applyFont="1" applyFill="1" applyAlignment="1" applyProtection="1">
      <alignment vertical="center"/>
    </xf>
    <xf numFmtId="3" fontId="5" fillId="0" borderId="1" xfId="3" applyNumberFormat="1" applyFont="1" applyFill="1" applyBorder="1" applyAlignment="1" applyProtection="1">
      <alignment vertical="center"/>
      <protection locked="0"/>
    </xf>
    <xf numFmtId="3" fontId="3" fillId="0" borderId="19" xfId="3" applyNumberFormat="1" applyFont="1" applyFill="1" applyBorder="1" applyAlignment="1" applyProtection="1">
      <alignment vertical="center"/>
    </xf>
    <xf numFmtId="3" fontId="5" fillId="0" borderId="0" xfId="3" applyNumberFormat="1" applyFont="1" applyFill="1" applyAlignment="1" applyProtection="1">
      <alignment vertical="center"/>
      <protection locked="0"/>
    </xf>
    <xf numFmtId="3" fontId="3" fillId="0" borderId="1" xfId="3" applyNumberFormat="1" applyFont="1" applyFill="1" applyBorder="1" applyAlignment="1" applyProtection="1">
      <alignment vertical="center"/>
      <protection locked="0"/>
    </xf>
    <xf numFmtId="3" fontId="3" fillId="0" borderId="19" xfId="3" applyNumberFormat="1" applyFont="1" applyFill="1" applyBorder="1" applyAlignment="1" applyProtection="1">
      <alignment vertical="center"/>
      <protection locked="0"/>
    </xf>
    <xf numFmtId="3" fontId="3" fillId="0" borderId="0" xfId="3" applyNumberFormat="1" applyFont="1" applyFill="1" applyAlignment="1" applyProtection="1">
      <alignment vertical="center"/>
      <protection locked="0"/>
    </xf>
    <xf numFmtId="0" fontId="3" fillId="5" borderId="1" xfId="1" applyFont="1" applyFill="1" applyBorder="1" applyAlignment="1">
      <alignment horizontal="left" vertical="center" wrapText="1"/>
    </xf>
    <xf numFmtId="3" fontId="3" fillId="5" borderId="1" xfId="0" applyNumberFormat="1" applyFont="1" applyFill="1" applyBorder="1" applyAlignment="1">
      <alignment vertical="center"/>
    </xf>
    <xf numFmtId="3" fontId="3" fillId="5" borderId="19" xfId="0" applyNumberFormat="1" applyFont="1" applyFill="1" applyBorder="1" applyAlignment="1">
      <alignment vertical="center"/>
    </xf>
    <xf numFmtId="3" fontId="3" fillId="0" borderId="19" xfId="0" applyNumberFormat="1" applyFont="1" applyFill="1" applyBorder="1" applyAlignment="1">
      <alignment vertical="center"/>
    </xf>
    <xf numFmtId="0" fontId="3" fillId="5" borderId="1" xfId="0" applyFont="1" applyFill="1" applyBorder="1" applyAlignment="1">
      <alignment horizontal="left" vertical="center" wrapText="1"/>
    </xf>
    <xf numFmtId="3" fontId="3" fillId="6" borderId="21" xfId="3" applyNumberFormat="1" applyFont="1" applyFill="1" applyBorder="1" applyAlignment="1" applyProtection="1">
      <alignment horizontal="left" vertical="center"/>
    </xf>
    <xf numFmtId="3" fontId="3" fillId="6" borderId="21" xfId="3" applyNumberFormat="1" applyFont="1" applyFill="1" applyBorder="1" applyAlignment="1" applyProtection="1">
      <alignment vertical="center"/>
    </xf>
    <xf numFmtId="3" fontId="3" fillId="6" borderId="22" xfId="3" applyNumberFormat="1" applyFont="1" applyFill="1" applyBorder="1" applyAlignment="1" applyProtection="1">
      <alignment vertical="center"/>
    </xf>
    <xf numFmtId="3" fontId="3" fillId="5" borderId="1" xfId="1" applyNumberFormat="1" applyFont="1" applyFill="1" applyBorder="1" applyAlignment="1">
      <alignment horizontal="right" vertical="center" wrapText="1"/>
    </xf>
    <xf numFmtId="3" fontId="3" fillId="5" borderId="19" xfId="1" applyNumberFormat="1" applyFont="1" applyFill="1" applyBorder="1" applyAlignment="1">
      <alignment horizontal="right" vertical="center" wrapText="1"/>
    </xf>
    <xf numFmtId="3" fontId="3" fillId="5" borderId="1" xfId="0" applyNumberFormat="1" applyFont="1" applyFill="1" applyBorder="1"/>
    <xf numFmtId="3" fontId="3" fillId="5" borderId="19" xfId="0" applyNumberFormat="1" applyFont="1" applyFill="1" applyBorder="1"/>
    <xf numFmtId="0" fontId="3" fillId="5" borderId="1" xfId="0" applyFont="1" applyFill="1" applyBorder="1" applyAlignment="1">
      <alignment vertical="center" wrapText="1"/>
    </xf>
    <xf numFmtId="3" fontId="5" fillId="5" borderId="1" xfId="3" applyNumberFormat="1" applyFont="1" applyFill="1" applyBorder="1" applyAlignment="1" applyProtection="1">
      <alignment vertical="center"/>
      <protection locked="0"/>
    </xf>
    <xf numFmtId="3" fontId="3" fillId="5" borderId="19" xfId="3" applyNumberFormat="1" applyFont="1" applyFill="1" applyBorder="1" applyAlignment="1" applyProtection="1">
      <alignment vertical="center"/>
    </xf>
    <xf numFmtId="3" fontId="3" fillId="0" borderId="0" xfId="3" applyNumberFormat="1" applyFont="1" applyFill="1" applyBorder="1" applyAlignment="1" applyProtection="1">
      <alignment vertical="center"/>
    </xf>
    <xf numFmtId="3" fontId="5" fillId="0" borderId="0" xfId="3" applyNumberFormat="1" applyFont="1" applyFill="1" applyBorder="1" applyAlignment="1" applyProtection="1">
      <alignment vertical="center"/>
    </xf>
    <xf numFmtId="3" fontId="3" fillId="0" borderId="13" xfId="3" applyNumberFormat="1" applyFont="1" applyFill="1" applyBorder="1" applyAlignment="1" applyProtection="1">
      <alignment horizontal="left" indent="1"/>
      <protection locked="0"/>
    </xf>
    <xf numFmtId="3" fontId="3" fillId="0" borderId="13" xfId="3" applyNumberFormat="1" applyFont="1" applyFill="1" applyBorder="1" applyAlignment="1" applyProtection="1"/>
    <xf numFmtId="3" fontId="20" fillId="0" borderId="0" xfId="0" applyNumberFormat="1" applyFont="1" applyFill="1" applyAlignment="1">
      <alignment horizontal="right"/>
    </xf>
    <xf numFmtId="3" fontId="23" fillId="0" borderId="0" xfId="0" applyNumberFormat="1" applyFont="1" applyFill="1" applyAlignment="1">
      <alignment vertical="center"/>
    </xf>
    <xf numFmtId="3" fontId="23" fillId="0" borderId="0" xfId="0" applyNumberFormat="1" applyFont="1" applyFill="1" applyAlignment="1">
      <alignment horizontal="center" vertical="center"/>
    </xf>
    <xf numFmtId="3" fontId="21" fillId="0" borderId="55" xfId="0" applyNumberFormat="1" applyFont="1" applyFill="1" applyBorder="1" applyAlignment="1">
      <alignment horizontal="center" vertical="center"/>
    </xf>
    <xf numFmtId="3" fontId="21" fillId="0" borderId="54" xfId="0" applyNumberFormat="1" applyFont="1" applyFill="1" applyBorder="1" applyAlignment="1">
      <alignment horizontal="center" vertical="center" wrapText="1"/>
    </xf>
    <xf numFmtId="3" fontId="21" fillId="0" borderId="43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Alignment="1">
      <alignment horizontal="center" vertical="center" wrapText="1"/>
    </xf>
    <xf numFmtId="3" fontId="22" fillId="0" borderId="46" xfId="0" applyNumberFormat="1" applyFont="1" applyFill="1" applyBorder="1" applyAlignment="1">
      <alignment horizontal="center" vertical="center" wrapText="1"/>
    </xf>
    <xf numFmtId="3" fontId="22" fillId="0" borderId="52" xfId="0" applyNumberFormat="1" applyFont="1" applyFill="1" applyBorder="1" applyAlignment="1">
      <alignment horizontal="center" vertical="center" wrapText="1"/>
    </xf>
    <xf numFmtId="3" fontId="22" fillId="0" borderId="36" xfId="0" applyNumberFormat="1" applyFont="1" applyFill="1" applyBorder="1" applyAlignment="1">
      <alignment horizontal="center" vertical="center" wrapText="1"/>
    </xf>
    <xf numFmtId="3" fontId="22" fillId="0" borderId="5" xfId="0" applyNumberFormat="1" applyFont="1" applyFill="1" applyBorder="1" applyAlignment="1">
      <alignment horizontal="center" vertical="center" wrapText="1"/>
    </xf>
    <xf numFmtId="3" fontId="22" fillId="0" borderId="35" xfId="0" applyNumberFormat="1" applyFont="1" applyFill="1" applyBorder="1" applyAlignment="1">
      <alignment horizontal="center" vertical="center" wrapText="1"/>
    </xf>
    <xf numFmtId="3" fontId="15" fillId="0" borderId="40" xfId="0" applyNumberFormat="1" applyFont="1" applyFill="1" applyBorder="1" applyAlignment="1">
      <alignment horizontal="center" vertical="center" wrapText="1"/>
    </xf>
    <xf numFmtId="3" fontId="15" fillId="0" borderId="28" xfId="0" applyNumberFormat="1" applyFont="1" applyFill="1" applyBorder="1" applyAlignment="1">
      <alignment horizontal="left" vertical="center" wrapText="1" indent="1"/>
    </xf>
    <xf numFmtId="3" fontId="15" fillId="0" borderId="40" xfId="0" applyNumberFormat="1" applyFont="1" applyFill="1" applyBorder="1" applyAlignment="1" applyProtection="1">
      <alignment horizontal="left" vertical="center" wrapText="1" indent="2"/>
    </xf>
    <xf numFmtId="3" fontId="15" fillId="0" borderId="40" xfId="0" applyNumberFormat="1" applyFont="1" applyFill="1" applyBorder="1" applyAlignment="1" applyProtection="1">
      <alignment vertical="center" wrapText="1"/>
    </xf>
    <xf numFmtId="3" fontId="15" fillId="0" borderId="8" xfId="0" applyNumberFormat="1" applyFont="1" applyFill="1" applyBorder="1" applyAlignment="1" applyProtection="1">
      <alignment vertical="center" wrapText="1"/>
    </xf>
    <xf numFmtId="3" fontId="15" fillId="0" borderId="1" xfId="0" applyNumberFormat="1" applyFont="1" applyFill="1" applyBorder="1" applyAlignment="1" applyProtection="1">
      <alignment vertical="center" wrapText="1"/>
    </xf>
    <xf numFmtId="3" fontId="15" fillId="0" borderId="3" xfId="0" applyNumberFormat="1" applyFont="1" applyFill="1" applyBorder="1" applyAlignment="1" applyProtection="1">
      <alignment vertical="center" wrapText="1"/>
    </xf>
    <xf numFmtId="3" fontId="15" fillId="0" borderId="40" xfId="0" applyNumberFormat="1" applyFont="1" applyFill="1" applyBorder="1" applyAlignment="1">
      <alignment vertical="center" wrapText="1"/>
    </xf>
    <xf numFmtId="3" fontId="17" fillId="0" borderId="0" xfId="0" applyNumberFormat="1" applyFont="1" applyFill="1" applyAlignment="1">
      <alignment vertical="center" wrapText="1"/>
    </xf>
    <xf numFmtId="3" fontId="24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3" fontId="25" fillId="0" borderId="40" xfId="0" applyNumberFormat="1" applyFont="1" applyFill="1" applyBorder="1" applyAlignment="1" applyProtection="1">
      <alignment horizontal="left" vertical="center" wrapText="1" indent="2"/>
      <protection locked="0"/>
    </xf>
    <xf numFmtId="3" fontId="24" fillId="0" borderId="40" xfId="0" applyNumberFormat="1" applyFont="1" applyFill="1" applyBorder="1" applyAlignment="1" applyProtection="1">
      <alignment vertical="center" wrapText="1"/>
      <protection locked="0"/>
    </xf>
    <xf numFmtId="3" fontId="24" fillId="0" borderId="8" xfId="0" applyNumberFormat="1" applyFont="1" applyFill="1" applyBorder="1" applyAlignment="1" applyProtection="1">
      <alignment vertical="center" wrapText="1"/>
      <protection locked="0"/>
    </xf>
    <xf numFmtId="3" fontId="24" fillId="0" borderId="1" xfId="0" applyNumberFormat="1" applyFont="1" applyFill="1" applyBorder="1" applyAlignment="1" applyProtection="1">
      <alignment vertical="center" wrapText="1"/>
      <protection locked="0"/>
    </xf>
    <xf numFmtId="3" fontId="24" fillId="0" borderId="3" xfId="0" applyNumberFormat="1" applyFont="1" applyFill="1" applyBorder="1" applyAlignment="1" applyProtection="1">
      <alignment vertical="center" wrapText="1"/>
      <protection locked="0"/>
    </xf>
    <xf numFmtId="3" fontId="0" fillId="0" borderId="28" xfId="0" applyNumberFormat="1" applyFill="1" applyBorder="1" applyAlignment="1">
      <alignment vertical="center" wrapText="1"/>
    </xf>
    <xf numFmtId="3" fontId="25" fillId="2" borderId="40" xfId="0" applyNumberFormat="1" applyFont="1" applyFill="1" applyBorder="1" applyAlignment="1" applyProtection="1">
      <alignment horizontal="left" vertical="center" wrapText="1" indent="2"/>
      <protection locked="0"/>
    </xf>
    <xf numFmtId="3" fontId="15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3" fontId="17" fillId="0" borderId="40" xfId="0" applyNumberFormat="1" applyFont="1" applyFill="1" applyBorder="1" applyAlignment="1" applyProtection="1">
      <alignment horizontal="left" vertical="center" wrapText="1" indent="2"/>
    </xf>
    <xf numFmtId="3" fontId="0" fillId="0" borderId="0" xfId="0" applyNumberFormat="1" applyFill="1" applyAlignment="1" applyProtection="1">
      <alignment vertical="center" wrapText="1"/>
      <protection locked="0"/>
    </xf>
    <xf numFmtId="3" fontId="26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3" fontId="18" fillId="0" borderId="40" xfId="0" applyNumberFormat="1" applyFont="1" applyFill="1" applyBorder="1" applyAlignment="1" applyProtection="1">
      <alignment horizontal="left" vertical="center" wrapText="1" indent="2"/>
      <protection locked="0"/>
    </xf>
    <xf numFmtId="3" fontId="26" fillId="0" borderId="40" xfId="0" applyNumberFormat="1" applyFont="1" applyFill="1" applyBorder="1" applyAlignment="1" applyProtection="1">
      <alignment vertical="center" wrapText="1"/>
      <protection locked="0"/>
    </xf>
    <xf numFmtId="3" fontId="26" fillId="0" borderId="8" xfId="0" applyNumberFormat="1" applyFont="1" applyFill="1" applyBorder="1" applyAlignment="1" applyProtection="1">
      <alignment vertical="center" wrapText="1"/>
      <protection locked="0"/>
    </xf>
    <xf numFmtId="3" fontId="26" fillId="0" borderId="1" xfId="0" applyNumberFormat="1" applyFont="1" applyFill="1" applyBorder="1" applyAlignment="1" applyProtection="1">
      <alignment vertical="center" wrapText="1"/>
      <protection locked="0"/>
    </xf>
    <xf numFmtId="3" fontId="26" fillId="0" borderId="3" xfId="0" applyNumberFormat="1" applyFont="1" applyFill="1" applyBorder="1" applyAlignment="1" applyProtection="1">
      <alignment vertical="center" wrapText="1"/>
      <protection locked="0"/>
    </xf>
    <xf numFmtId="3" fontId="15" fillId="0" borderId="28" xfId="0" applyNumberFormat="1" applyFont="1" applyFill="1" applyBorder="1" applyAlignment="1">
      <alignment vertical="center" wrapText="1"/>
    </xf>
    <xf numFmtId="3" fontId="15" fillId="0" borderId="40" xfId="0" applyNumberFormat="1" applyFont="1" applyFill="1" applyBorder="1" applyAlignment="1" applyProtection="1">
      <alignment vertical="center" wrapText="1"/>
      <protection locked="0"/>
    </xf>
    <xf numFmtId="3" fontId="0" fillId="0" borderId="40" xfId="0" applyNumberFormat="1" applyFont="1" applyFill="1" applyBorder="1" applyAlignment="1" applyProtection="1">
      <alignment horizontal="left" vertical="center" wrapText="1" indent="2"/>
      <protection locked="0"/>
    </xf>
    <xf numFmtId="3" fontId="10" fillId="0" borderId="40" xfId="0" applyNumberFormat="1" applyFont="1" applyFill="1" applyBorder="1" applyAlignment="1" applyProtection="1">
      <alignment vertical="center" wrapText="1"/>
      <protection locked="0"/>
    </xf>
    <xf numFmtId="3" fontId="10" fillId="0" borderId="8" xfId="0" applyNumberFormat="1" applyFont="1" applyFill="1" applyBorder="1" applyAlignment="1" applyProtection="1">
      <alignment vertical="center" wrapText="1"/>
      <protection locked="0"/>
    </xf>
    <xf numFmtId="3" fontId="10" fillId="0" borderId="3" xfId="0" applyNumberFormat="1" applyFont="1" applyFill="1" applyBorder="1" applyAlignment="1" applyProtection="1">
      <alignment vertical="center" wrapText="1"/>
      <protection locked="0"/>
    </xf>
    <xf numFmtId="3" fontId="27" fillId="0" borderId="0" xfId="0" applyNumberFormat="1" applyFont="1" applyFill="1" applyAlignment="1">
      <alignment vertical="center" wrapText="1"/>
    </xf>
    <xf numFmtId="3" fontId="15" fillId="0" borderId="49" xfId="0" applyNumberFormat="1" applyFont="1" applyFill="1" applyBorder="1" applyAlignment="1">
      <alignment horizontal="center" vertical="center" wrapText="1"/>
    </xf>
    <xf numFmtId="3" fontId="24" fillId="0" borderId="49" xfId="0" applyNumberFormat="1" applyFont="1" applyFill="1" applyBorder="1" applyAlignment="1" applyProtection="1">
      <alignment vertical="center" wrapText="1"/>
      <protection locked="0"/>
    </xf>
    <xf numFmtId="3" fontId="24" fillId="0" borderId="9" xfId="0" applyNumberFormat="1" applyFont="1" applyFill="1" applyBorder="1" applyAlignment="1" applyProtection="1">
      <alignment vertical="center" wrapText="1"/>
      <protection locked="0"/>
    </xf>
    <xf numFmtId="3" fontId="24" fillId="0" borderId="2" xfId="0" applyNumberFormat="1" applyFont="1" applyFill="1" applyBorder="1" applyAlignment="1" applyProtection="1">
      <alignment vertical="center" wrapText="1"/>
      <protection locked="0"/>
    </xf>
    <xf numFmtId="3" fontId="24" fillId="0" borderId="10" xfId="0" applyNumberFormat="1" applyFont="1" applyFill="1" applyBorder="1" applyAlignment="1" applyProtection="1">
      <alignment vertical="center" wrapText="1"/>
      <protection locked="0"/>
    </xf>
    <xf numFmtId="3" fontId="17" fillId="3" borderId="34" xfId="0" applyNumberFormat="1" applyFont="1" applyFill="1" applyBorder="1" applyAlignment="1" applyProtection="1">
      <alignment horizontal="left" vertical="center" wrapText="1" indent="2"/>
    </xf>
    <xf numFmtId="3" fontId="15" fillId="0" borderId="34" xfId="0" applyNumberFormat="1" applyFont="1" applyFill="1" applyBorder="1" applyAlignment="1" applyProtection="1">
      <alignment vertical="center" wrapText="1"/>
    </xf>
    <xf numFmtId="3" fontId="15" fillId="0" borderId="57" xfId="0" applyNumberFormat="1" applyFont="1" applyFill="1" applyBorder="1" applyAlignment="1" applyProtection="1">
      <alignment vertical="center" wrapText="1"/>
    </xf>
    <xf numFmtId="3" fontId="15" fillId="0" borderId="13" xfId="0" applyNumberFormat="1" applyFont="1" applyFill="1" applyBorder="1" applyAlignment="1" applyProtection="1">
      <alignment vertical="center" wrapText="1"/>
    </xf>
    <xf numFmtId="3" fontId="15" fillId="0" borderId="42" xfId="0" applyNumberFormat="1" applyFont="1" applyFill="1" applyBorder="1" applyAlignment="1" applyProtection="1">
      <alignment vertical="center" wrapText="1"/>
    </xf>
    <xf numFmtId="3" fontId="3" fillId="0" borderId="1" xfId="1" applyNumberFormat="1" applyFont="1" applyBorder="1" applyAlignment="1">
      <alignment horizontal="center" vertical="center" wrapText="1"/>
    </xf>
    <xf numFmtId="3" fontId="30" fillId="0" borderId="9" xfId="0" applyNumberFormat="1" applyFont="1" applyBorder="1"/>
    <xf numFmtId="9" fontId="36" fillId="0" borderId="47" xfId="0" applyNumberFormat="1" applyFont="1" applyBorder="1"/>
    <xf numFmtId="9" fontId="36" fillId="0" borderId="51" xfId="0" applyNumberFormat="1" applyFont="1" applyBorder="1"/>
    <xf numFmtId="0" fontId="7" fillId="0" borderId="0" xfId="0" applyFont="1" applyFill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3" fontId="30" fillId="0" borderId="0" xfId="0" applyNumberFormat="1" applyFont="1" applyBorder="1" applyAlignment="1">
      <alignment horizontal="center" vertical="center" wrapText="1"/>
    </xf>
    <xf numFmtId="0" fontId="30" fillId="0" borderId="0" xfId="0" applyFont="1"/>
    <xf numFmtId="49" fontId="30" fillId="0" borderId="0" xfId="0" applyNumberFormat="1" applyFont="1"/>
    <xf numFmtId="49" fontId="30" fillId="0" borderId="1" xfId="0" applyNumberFormat="1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30" fillId="0" borderId="0" xfId="0" applyFont="1" applyAlignment="1">
      <alignment vertical="center"/>
    </xf>
    <xf numFmtId="0" fontId="30" fillId="0" borderId="0" xfId="0" applyFont="1" applyBorder="1" applyAlignment="1">
      <alignment horizontal="right"/>
    </xf>
    <xf numFmtId="3" fontId="29" fillId="0" borderId="0" xfId="0" applyNumberFormat="1" applyFont="1" applyBorder="1" applyAlignment="1">
      <alignment horizontal="center" vertical="center" wrapText="1"/>
    </xf>
    <xf numFmtId="3" fontId="0" fillId="0" borderId="0" xfId="0" applyNumberFormat="1" applyBorder="1"/>
    <xf numFmtId="3" fontId="3" fillId="0" borderId="21" xfId="1" applyNumberFormat="1" applyFont="1" applyBorder="1" applyAlignment="1">
      <alignment horizontal="center" vertical="center" wrapText="1"/>
    </xf>
    <xf numFmtId="0" fontId="4" fillId="0" borderId="26" xfId="1" applyFont="1" applyFill="1" applyBorder="1" applyAlignment="1">
      <alignment horizontal="left" vertical="center" wrapText="1"/>
    </xf>
    <xf numFmtId="164" fontId="4" fillId="0" borderId="26" xfId="1" applyNumberFormat="1" applyFont="1" applyFill="1" applyBorder="1" applyAlignment="1">
      <alignment horizontal="left" vertical="center" wrapText="1"/>
    </xf>
    <xf numFmtId="0" fontId="30" fillId="0" borderId="26" xfId="0" applyFont="1" applyBorder="1" applyAlignment="1">
      <alignment horizontal="left" wrapText="1"/>
    </xf>
    <xf numFmtId="3" fontId="30" fillId="0" borderId="1" xfId="0" applyNumberFormat="1" applyFont="1" applyBorder="1" applyAlignment="1">
      <alignment vertical="center" wrapText="1"/>
    </xf>
    <xf numFmtId="3" fontId="5" fillId="0" borderId="40" xfId="0" applyNumberFormat="1" applyFont="1" applyBorder="1"/>
    <xf numFmtId="3" fontId="29" fillId="0" borderId="1" xfId="0" applyNumberFormat="1" applyFont="1" applyBorder="1" applyAlignment="1">
      <alignment vertical="center"/>
    </xf>
    <xf numFmtId="167" fontId="29" fillId="0" borderId="1" xfId="98" applyNumberFormat="1" applyFont="1" applyBorder="1"/>
    <xf numFmtId="167" fontId="30" fillId="0" borderId="1" xfId="98" applyNumberFormat="1" applyFont="1" applyBorder="1"/>
    <xf numFmtId="167" fontId="29" fillId="0" borderId="13" xfId="98" applyNumberFormat="1" applyFont="1" applyBorder="1"/>
    <xf numFmtId="167" fontId="5" fillId="0" borderId="1" xfId="98" applyNumberFormat="1" applyFont="1" applyFill="1" applyBorder="1" applyAlignment="1">
      <alignment vertical="center"/>
    </xf>
    <xf numFmtId="167" fontId="5" fillId="0" borderId="1" xfId="98" quotePrefix="1" applyNumberFormat="1" applyFont="1" applyFill="1" applyBorder="1" applyAlignment="1">
      <alignment vertical="center"/>
    </xf>
    <xf numFmtId="167" fontId="3" fillId="0" borderId="1" xfId="98" applyNumberFormat="1" applyFont="1" applyFill="1" applyBorder="1" applyAlignment="1">
      <alignment vertical="center"/>
    </xf>
    <xf numFmtId="167" fontId="7" fillId="0" borderId="1" xfId="98" applyNumberFormat="1" applyFont="1" applyFill="1" applyBorder="1" applyAlignment="1">
      <alignment vertical="center"/>
    </xf>
    <xf numFmtId="167" fontId="5" fillId="0" borderId="1" xfId="98" applyNumberFormat="1" applyFont="1" applyFill="1" applyBorder="1"/>
    <xf numFmtId="3" fontId="3" fillId="0" borderId="20" xfId="1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5" fillId="0" borderId="0" xfId="46" applyFont="1" applyAlignment="1">
      <alignment vertical="center"/>
    </xf>
    <xf numFmtId="0" fontId="3" fillId="0" borderId="0" xfId="46" applyFont="1" applyAlignment="1">
      <alignment vertical="center"/>
    </xf>
    <xf numFmtId="0" fontId="5" fillId="0" borderId="0" xfId="46" applyFont="1" applyAlignment="1">
      <alignment horizontal="center" vertical="center" wrapText="1"/>
    </xf>
    <xf numFmtId="0" fontId="5" fillId="0" borderId="0" xfId="46" applyFont="1" applyBorder="1" applyAlignment="1">
      <alignment vertical="center"/>
    </xf>
    <xf numFmtId="0" fontId="5" fillId="0" borderId="0" xfId="46" applyFont="1" applyBorder="1" applyAlignment="1">
      <alignment horizontal="center" vertical="center"/>
    </xf>
    <xf numFmtId="0" fontId="5" fillId="0" borderId="0" xfId="46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73" xfId="0" applyFont="1" applyBorder="1" applyAlignment="1">
      <alignment vertical="center"/>
    </xf>
    <xf numFmtId="3" fontId="5" fillId="0" borderId="74" xfId="0" applyNumberFormat="1" applyFont="1" applyBorder="1" applyAlignment="1">
      <alignment horizontal="right" vertical="center" wrapText="1"/>
    </xf>
    <xf numFmtId="3" fontId="5" fillId="0" borderId="87" xfId="0" applyNumberFormat="1" applyFont="1" applyBorder="1" applyAlignment="1">
      <alignment horizontal="right" vertical="center" wrapText="1"/>
    </xf>
    <xf numFmtId="0" fontId="5" fillId="0" borderId="75" xfId="0" applyFont="1" applyBorder="1" applyAlignment="1">
      <alignment vertical="center"/>
    </xf>
    <xf numFmtId="3" fontId="5" fillId="0" borderId="76" xfId="0" applyNumberFormat="1" applyFont="1" applyBorder="1" applyAlignment="1">
      <alignment horizontal="right" vertical="center" wrapText="1"/>
    </xf>
    <xf numFmtId="3" fontId="5" fillId="0" borderId="88" xfId="0" applyNumberFormat="1" applyFont="1" applyBorder="1" applyAlignment="1">
      <alignment horizontal="right" vertical="center" wrapText="1"/>
    </xf>
    <xf numFmtId="0" fontId="5" fillId="0" borderId="77" xfId="0" applyFont="1" applyBorder="1" applyAlignment="1">
      <alignment vertical="center"/>
    </xf>
    <xf numFmtId="3" fontId="5" fillId="0" borderId="78" xfId="0" applyNumberFormat="1" applyFont="1" applyBorder="1" applyAlignment="1">
      <alignment horizontal="right" vertical="center" wrapText="1"/>
    </xf>
    <xf numFmtId="3" fontId="5" fillId="0" borderId="89" xfId="0" applyNumberFormat="1" applyFont="1" applyBorder="1" applyAlignment="1">
      <alignment horizontal="right" vertical="center" wrapText="1"/>
    </xf>
    <xf numFmtId="0" fontId="5" fillId="0" borderId="18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3" fillId="0" borderId="18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0" fontId="5" fillId="0" borderId="73" xfId="0" applyFont="1" applyFill="1" applyBorder="1" applyAlignment="1">
      <alignment vertical="center"/>
    </xf>
    <xf numFmtId="17" fontId="5" fillId="0" borderId="77" xfId="0" applyNumberFormat="1" applyFont="1" applyFill="1" applyBorder="1" applyAlignment="1">
      <alignment vertical="center"/>
    </xf>
    <xf numFmtId="0" fontId="5" fillId="0" borderId="79" xfId="0" applyFont="1" applyFill="1" applyBorder="1" applyAlignment="1">
      <alignment vertical="center"/>
    </xf>
    <xf numFmtId="3" fontId="5" fillId="0" borderId="90" xfId="0" applyNumberFormat="1" applyFont="1" applyBorder="1" applyAlignment="1">
      <alignment horizontal="right" vertical="center" wrapText="1"/>
    </xf>
    <xf numFmtId="0" fontId="5" fillId="0" borderId="72" xfId="0" applyFont="1" applyFill="1" applyBorder="1" applyAlignment="1">
      <alignment vertical="center"/>
    </xf>
    <xf numFmtId="3" fontId="5" fillId="0" borderId="91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58" xfId="0" applyNumberFormat="1" applyFont="1" applyBorder="1" applyAlignment="1">
      <alignment horizontal="right" vertical="center" wrapText="1"/>
    </xf>
    <xf numFmtId="0" fontId="5" fillId="0" borderId="73" xfId="0" applyFont="1" applyBorder="1" applyAlignment="1">
      <alignment vertical="center" wrapText="1"/>
    </xf>
    <xf numFmtId="0" fontId="3" fillId="0" borderId="1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3" fontId="3" fillId="0" borderId="13" xfId="0" applyNumberFormat="1" applyFont="1" applyBorder="1" applyAlignment="1">
      <alignment horizontal="right" vertical="center" wrapText="1"/>
    </xf>
    <xf numFmtId="3" fontId="3" fillId="0" borderId="42" xfId="0" applyNumberFormat="1" applyFont="1" applyBorder="1" applyAlignment="1">
      <alignment horizontal="right" vertical="center" wrapText="1"/>
    </xf>
    <xf numFmtId="0" fontId="5" fillId="0" borderId="75" xfId="0" applyFont="1" applyFill="1" applyBorder="1" applyAlignment="1">
      <alignment vertical="center"/>
    </xf>
    <xf numFmtId="3" fontId="5" fillId="0" borderId="76" xfId="0" applyNumberFormat="1" applyFont="1" applyFill="1" applyBorder="1" applyAlignment="1">
      <alignment horizontal="right" vertical="center" wrapText="1"/>
    </xf>
    <xf numFmtId="3" fontId="5" fillId="0" borderId="88" xfId="0" applyNumberFormat="1" applyFont="1" applyFill="1" applyBorder="1" applyAlignment="1">
      <alignment horizontal="right" vertical="center" wrapText="1"/>
    </xf>
    <xf numFmtId="0" fontId="5" fillId="0" borderId="0" xfId="46" applyFont="1" applyFill="1" applyAlignment="1">
      <alignment vertical="center"/>
    </xf>
    <xf numFmtId="167" fontId="34" fillId="4" borderId="39" xfId="98" applyNumberFormat="1" applyFont="1" applyFill="1" applyBorder="1" applyAlignment="1">
      <alignment horizontal="center" vertical="center" wrapText="1"/>
    </xf>
    <xf numFmtId="167" fontId="34" fillId="4" borderId="40" xfId="98" applyNumberFormat="1" applyFont="1" applyFill="1" applyBorder="1" applyAlignment="1">
      <alignment horizontal="center" vertical="center" wrapText="1"/>
    </xf>
    <xf numFmtId="165" fontId="3" fillId="0" borderId="21" xfId="0" applyNumberFormat="1" applyFont="1" applyFill="1" applyBorder="1" applyAlignment="1">
      <alignment horizontal="left" vertical="center" wrapText="1"/>
    </xf>
    <xf numFmtId="3" fontId="3" fillId="0" borderId="21" xfId="0" applyNumberFormat="1" applyFont="1" applyFill="1" applyBorder="1" applyAlignment="1" applyProtection="1">
      <alignment vertical="center" wrapText="1"/>
    </xf>
    <xf numFmtId="0" fontId="31" fillId="0" borderId="1" xfId="0" applyFont="1" applyBorder="1" applyAlignment="1">
      <alignment vertical="center" wrapText="1"/>
    </xf>
    <xf numFmtId="0" fontId="31" fillId="0" borderId="1" xfId="0" applyFont="1" applyBorder="1" applyAlignment="1">
      <alignment vertical="center"/>
    </xf>
    <xf numFmtId="3" fontId="31" fillId="0" borderId="1" xfId="0" applyNumberFormat="1" applyFont="1" applyBorder="1" applyAlignment="1">
      <alignment vertical="center" wrapText="1"/>
    </xf>
    <xf numFmtId="0" fontId="31" fillId="0" borderId="2" xfId="0" applyFont="1" applyBorder="1" applyAlignment="1">
      <alignment vertical="center" wrapText="1"/>
    </xf>
    <xf numFmtId="0" fontId="31" fillId="0" borderId="2" xfId="0" applyFont="1" applyBorder="1" applyAlignment="1">
      <alignment vertical="center"/>
    </xf>
    <xf numFmtId="3" fontId="31" fillId="0" borderId="2" xfId="0" applyNumberFormat="1" applyFont="1" applyBorder="1" applyAlignment="1">
      <alignment vertical="center" wrapText="1"/>
    </xf>
    <xf numFmtId="3" fontId="29" fillId="0" borderId="13" xfId="0" applyNumberFormat="1" applyFont="1" applyBorder="1" applyAlignment="1">
      <alignment vertical="center" wrapText="1"/>
    </xf>
    <xf numFmtId="0" fontId="64" fillId="0" borderId="0" xfId="42" applyFont="1"/>
    <xf numFmtId="0" fontId="4" fillId="0" borderId="18" xfId="42" applyFont="1" applyBorder="1"/>
    <xf numFmtId="3" fontId="4" fillId="0" borderId="8" xfId="42" applyNumberFormat="1" applyFont="1" applyBorder="1"/>
    <xf numFmtId="3" fontId="4" fillId="0" borderId="1" xfId="42" applyNumberFormat="1" applyFont="1" applyBorder="1"/>
    <xf numFmtId="3" fontId="4" fillId="0" borderId="19" xfId="42" applyNumberFormat="1" applyFont="1" applyBorder="1"/>
    <xf numFmtId="0" fontId="2" fillId="0" borderId="20" xfId="42" applyFont="1" applyBorder="1"/>
    <xf numFmtId="3" fontId="2" fillId="0" borderId="38" xfId="42" applyNumberFormat="1" applyFont="1" applyBorder="1"/>
    <xf numFmtId="0" fontId="2" fillId="0" borderId="0" xfId="42" applyFont="1" applyBorder="1"/>
    <xf numFmtId="3" fontId="2" fillId="0" borderId="0" xfId="42" applyNumberFormat="1" applyFont="1" applyBorder="1"/>
    <xf numFmtId="0" fontId="4" fillId="0" borderId="0" xfId="42" applyFont="1"/>
    <xf numFmtId="3" fontId="4" fillId="0" borderId="0" xfId="42" applyNumberFormat="1" applyFont="1"/>
    <xf numFmtId="0" fontId="4" fillId="0" borderId="0" xfId="42" applyFont="1" applyBorder="1"/>
    <xf numFmtId="3" fontId="4" fillId="0" borderId="0" xfId="42" applyNumberFormat="1" applyFont="1" applyBorder="1"/>
    <xf numFmtId="0" fontId="4" fillId="0" borderId="18" xfId="42" applyFont="1" applyBorder="1" applyAlignment="1">
      <alignment horizontal="left"/>
    </xf>
    <xf numFmtId="3" fontId="4" fillId="0" borderId="8" xfId="42" applyNumberFormat="1" applyFont="1" applyBorder="1" applyAlignment="1">
      <alignment horizontal="right"/>
    </xf>
    <xf numFmtId="3" fontId="4" fillId="0" borderId="1" xfId="42" applyNumberFormat="1" applyFont="1" applyBorder="1" applyAlignment="1">
      <alignment horizontal="right"/>
    </xf>
    <xf numFmtId="3" fontId="2" fillId="0" borderId="38" xfId="42" applyNumberFormat="1" applyFont="1" applyBorder="1" applyAlignment="1">
      <alignment horizontal="right"/>
    </xf>
    <xf numFmtId="0" fontId="5" fillId="0" borderId="0" xfId="50" applyFont="1"/>
    <xf numFmtId="0" fontId="5" fillId="0" borderId="18" xfId="50" applyFont="1" applyBorder="1"/>
    <xf numFmtId="3" fontId="5" fillId="0" borderId="8" xfId="50" applyNumberFormat="1" applyFont="1" applyBorder="1"/>
    <xf numFmtId="3" fontId="5" fillId="0" borderId="1" xfId="50" applyNumberFormat="1" applyFont="1" applyFill="1" applyBorder="1"/>
    <xf numFmtId="3" fontId="5" fillId="0" borderId="1" xfId="50" applyNumberFormat="1" applyFont="1" applyBorder="1"/>
    <xf numFmtId="0" fontId="5" fillId="0" borderId="8" xfId="50" applyFont="1" applyBorder="1"/>
    <xf numFmtId="0" fontId="3" fillId="0" borderId="20" xfId="50" applyFont="1" applyBorder="1"/>
    <xf numFmtId="3" fontId="3" fillId="0" borderId="38" xfId="50" applyNumberFormat="1" applyFont="1" applyBorder="1"/>
    <xf numFmtId="3" fontId="3" fillId="0" borderId="21" xfId="50" applyNumberFormat="1" applyFont="1" applyBorder="1"/>
    <xf numFmtId="0" fontId="5" fillId="0" borderId="23" xfId="50" applyFont="1" applyBorder="1"/>
    <xf numFmtId="0" fontId="5" fillId="0" borderId="9" xfId="50" applyFont="1" applyBorder="1"/>
    <xf numFmtId="0" fontId="5" fillId="0" borderId="2" xfId="50" applyFont="1" applyBorder="1"/>
    <xf numFmtId="3" fontId="5" fillId="0" borderId="2" xfId="50" applyNumberFormat="1" applyFont="1" applyBorder="1"/>
    <xf numFmtId="0" fontId="3" fillId="0" borderId="38" xfId="50" applyFont="1" applyBorder="1"/>
    <xf numFmtId="0" fontId="3" fillId="0" borderId="21" xfId="50" applyFont="1" applyBorder="1"/>
    <xf numFmtId="3" fontId="3" fillId="0" borderId="8" xfId="50" applyNumberFormat="1" applyFont="1" applyBorder="1"/>
    <xf numFmtId="3" fontId="3" fillId="0" borderId="1" xfId="50" applyNumberFormat="1" applyFont="1" applyBorder="1"/>
    <xf numFmtId="3" fontId="5" fillId="0" borderId="0" xfId="50" applyNumberFormat="1" applyFont="1"/>
    <xf numFmtId="0" fontId="65" fillId="0" borderId="0" xfId="0" applyFont="1" applyFill="1"/>
    <xf numFmtId="0" fontId="64" fillId="0" borderId="0" xfId="42" applyFont="1" applyAlignment="1">
      <alignment wrapText="1"/>
    </xf>
    <xf numFmtId="0" fontId="5" fillId="0" borderId="0" xfId="50" applyFont="1" applyAlignment="1">
      <alignment wrapText="1"/>
    </xf>
    <xf numFmtId="0" fontId="3" fillId="0" borderId="15" xfId="50" applyFont="1" applyBorder="1" applyAlignment="1">
      <alignment horizontal="center" vertical="center" wrapText="1"/>
    </xf>
    <xf numFmtId="0" fontId="4" fillId="0" borderId="44" xfId="1" applyFont="1" applyFill="1" applyBorder="1" applyAlignment="1">
      <alignment horizontal="right" vertical="center"/>
    </xf>
    <xf numFmtId="0" fontId="4" fillId="0" borderId="47" xfId="1" applyFont="1" applyFill="1" applyBorder="1" applyAlignment="1">
      <alignment horizontal="right" vertical="center"/>
    </xf>
    <xf numFmtId="0" fontId="2" fillId="0" borderId="47" xfId="1" applyFont="1" applyFill="1" applyBorder="1" applyAlignment="1">
      <alignment horizontal="right" vertical="center"/>
    </xf>
    <xf numFmtId="0" fontId="2" fillId="0" borderId="47" xfId="1" applyFont="1" applyFill="1" applyBorder="1" applyAlignment="1">
      <alignment horizontal="right" vertical="center" wrapText="1"/>
    </xf>
    <xf numFmtId="0" fontId="2" fillId="0" borderId="51" xfId="0" applyFont="1" applyFill="1" applyBorder="1" applyAlignment="1">
      <alignment horizontal="right" vertical="center" wrapText="1"/>
    </xf>
    <xf numFmtId="0" fontId="4" fillId="0" borderId="25" xfId="1" applyFont="1" applyFill="1" applyBorder="1" applyAlignment="1">
      <alignment horizontal="left" vertical="center" wrapText="1"/>
    </xf>
    <xf numFmtId="0" fontId="30" fillId="0" borderId="25" xfId="0" applyFont="1" applyBorder="1" applyAlignment="1">
      <alignment horizontal="left" wrapText="1"/>
    </xf>
    <xf numFmtId="3" fontId="29" fillId="0" borderId="31" xfId="98" applyNumberFormat="1" applyFont="1" applyBorder="1"/>
    <xf numFmtId="3" fontId="29" fillId="0" borderId="5" xfId="98" applyNumberFormat="1" applyFont="1" applyBorder="1"/>
    <xf numFmtId="3" fontId="29" fillId="0" borderId="30" xfId="98" applyNumberFormat="1" applyFont="1" applyBorder="1"/>
    <xf numFmtId="3" fontId="29" fillId="0" borderId="36" xfId="98" applyNumberFormat="1" applyFont="1" applyBorder="1"/>
    <xf numFmtId="3" fontId="29" fillId="0" borderId="35" xfId="98" applyNumberFormat="1" applyFont="1" applyBorder="1"/>
    <xf numFmtId="3" fontId="29" fillId="0" borderId="1" xfId="98" applyNumberFormat="1" applyFont="1" applyBorder="1"/>
    <xf numFmtId="3" fontId="29" fillId="0" borderId="18" xfId="98" applyNumberFormat="1" applyFont="1" applyBorder="1"/>
    <xf numFmtId="3" fontId="29" fillId="0" borderId="19" xfId="98" applyNumberFormat="1" applyFont="1" applyBorder="1"/>
    <xf numFmtId="3" fontId="29" fillId="0" borderId="8" xfId="98" applyNumberFormat="1" applyFont="1" applyBorder="1"/>
    <xf numFmtId="3" fontId="29" fillId="0" borderId="3" xfId="98" applyNumberFormat="1" applyFont="1" applyBorder="1"/>
    <xf numFmtId="3" fontId="29" fillId="0" borderId="25" xfId="98" applyNumberFormat="1" applyFont="1" applyBorder="1"/>
    <xf numFmtId="3" fontId="30" fillId="0" borderId="0" xfId="98" applyNumberFormat="1" applyFont="1" applyBorder="1"/>
    <xf numFmtId="3" fontId="30" fillId="0" borderId="25" xfId="98" applyNumberFormat="1" applyFont="1" applyBorder="1"/>
    <xf numFmtId="3" fontId="30" fillId="0" borderId="26" xfId="98" applyNumberFormat="1" applyFont="1" applyBorder="1"/>
    <xf numFmtId="3" fontId="30" fillId="0" borderId="1" xfId="98" applyNumberFormat="1" applyFont="1" applyBorder="1"/>
    <xf numFmtId="3" fontId="30" fillId="0" borderId="18" xfId="98" applyNumberFormat="1" applyFont="1" applyBorder="1"/>
    <xf numFmtId="3" fontId="30" fillId="0" borderId="19" xfId="98" applyNumberFormat="1" applyFont="1" applyBorder="1"/>
    <xf numFmtId="3" fontId="30" fillId="0" borderId="8" xfId="98" applyNumberFormat="1" applyFont="1" applyBorder="1"/>
    <xf numFmtId="3" fontId="30" fillId="0" borderId="3" xfId="98" applyNumberFormat="1" applyFont="1" applyBorder="1"/>
    <xf numFmtId="3" fontId="29" fillId="0" borderId="20" xfId="98" applyNumberFormat="1" applyFont="1" applyBorder="1"/>
    <xf numFmtId="3" fontId="29" fillId="0" borderId="21" xfId="98" applyNumberFormat="1" applyFont="1" applyBorder="1"/>
    <xf numFmtId="3" fontId="2" fillId="0" borderId="20" xfId="98" applyNumberFormat="1" applyFont="1" applyFill="1" applyBorder="1"/>
    <xf numFmtId="3" fontId="2" fillId="0" borderId="21" xfId="98" applyNumberFormat="1" applyFont="1" applyFill="1" applyBorder="1"/>
    <xf numFmtId="3" fontId="29" fillId="0" borderId="22" xfId="98" applyNumberFormat="1" applyFont="1" applyBorder="1"/>
    <xf numFmtId="3" fontId="29" fillId="0" borderId="38" xfId="98" applyNumberFormat="1" applyFont="1" applyBorder="1"/>
    <xf numFmtId="3" fontId="29" fillId="0" borderId="32" xfId="98" applyNumberFormat="1" applyFont="1" applyBorder="1"/>
    <xf numFmtId="3" fontId="3" fillId="0" borderId="33" xfId="98" applyNumberFormat="1" applyFont="1" applyFill="1" applyBorder="1" applyAlignment="1">
      <alignment horizontal="center" vertical="center" wrapText="1"/>
    </xf>
    <xf numFmtId="0" fontId="19" fillId="0" borderId="37" xfId="50" applyFont="1" applyBorder="1" applyAlignment="1">
      <alignment wrapText="1"/>
    </xf>
    <xf numFmtId="3" fontId="5" fillId="0" borderId="1" xfId="1" applyNumberFormat="1" applyFont="1" applyBorder="1" applyAlignment="1">
      <alignment horizontal="right" vertical="center" wrapText="1"/>
    </xf>
    <xf numFmtId="0" fontId="66" fillId="0" borderId="1" xfId="0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6" fillId="0" borderId="0" xfId="0" applyFont="1" applyBorder="1"/>
    <xf numFmtId="3" fontId="36" fillId="0" borderId="0" xfId="0" applyNumberFormat="1" applyFont="1" applyBorder="1"/>
    <xf numFmtId="0" fontId="34" fillId="0" borderId="48" xfId="0" applyFont="1" applyBorder="1" applyAlignment="1">
      <alignment vertical="center"/>
    </xf>
    <xf numFmtId="167" fontId="34" fillId="4" borderId="49" xfId="98" applyNumberFormat="1" applyFont="1" applyFill="1" applyBorder="1" applyAlignment="1">
      <alignment horizontal="center" vertical="center" wrapText="1"/>
    </xf>
    <xf numFmtId="3" fontId="34" fillId="4" borderId="27" xfId="0" applyNumberFormat="1" applyFont="1" applyFill="1" applyBorder="1" applyAlignment="1">
      <alignment horizontal="center" vertical="center"/>
    </xf>
    <xf numFmtId="3" fontId="34" fillId="4" borderId="34" xfId="0" applyNumberFormat="1" applyFont="1" applyFill="1" applyBorder="1" applyAlignment="1">
      <alignment vertical="center"/>
    </xf>
    <xf numFmtId="3" fontId="34" fillId="4" borderId="40" xfId="0" applyNumberFormat="1" applyFont="1" applyFill="1" applyBorder="1" applyAlignment="1">
      <alignment horizontal="right" vertical="center" wrapText="1"/>
    </xf>
    <xf numFmtId="0" fontId="37" fillId="0" borderId="47" xfId="0" applyFont="1" applyBorder="1"/>
    <xf numFmtId="0" fontId="34" fillId="0" borderId="27" xfId="0" applyFont="1" applyBorder="1" applyAlignment="1">
      <alignment vertical="center"/>
    </xf>
    <xf numFmtId="0" fontId="34" fillId="0" borderId="27" xfId="0" applyFont="1" applyBorder="1" applyAlignment="1">
      <alignment horizontal="left" vertical="center"/>
    </xf>
    <xf numFmtId="0" fontId="36" fillId="0" borderId="44" xfId="0" applyFont="1" applyBorder="1"/>
    <xf numFmtId="3" fontId="36" fillId="0" borderId="46" xfId="0" applyNumberFormat="1" applyFont="1" applyBorder="1"/>
    <xf numFmtId="167" fontId="34" fillId="4" borderId="34" xfId="98" applyNumberFormat="1" applyFont="1" applyFill="1" applyBorder="1" applyAlignment="1">
      <alignment vertical="center" wrapText="1"/>
    </xf>
    <xf numFmtId="3" fontId="5" fillId="0" borderId="8" xfId="50" applyNumberFormat="1" applyFont="1" applyFill="1" applyBorder="1"/>
    <xf numFmtId="3" fontId="13" fillId="0" borderId="6" xfId="0" applyNumberFormat="1" applyFont="1" applyFill="1" applyBorder="1" applyAlignment="1" applyProtection="1"/>
    <xf numFmtId="166" fontId="34" fillId="4" borderId="33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wrapText="1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vertical="center" wrapText="1"/>
    </xf>
    <xf numFmtId="3" fontId="3" fillId="0" borderId="94" xfId="0" applyNumberFormat="1" applyFont="1" applyBorder="1" applyAlignment="1">
      <alignment horizontal="right" vertical="center"/>
    </xf>
    <xf numFmtId="3" fontId="3" fillId="0" borderId="86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vertical="center" wrapText="1"/>
    </xf>
    <xf numFmtId="3" fontId="3" fillId="0" borderId="34" xfId="0" applyNumberFormat="1" applyFont="1" applyBorder="1" applyAlignment="1">
      <alignment horizontal="right" vertical="center"/>
    </xf>
    <xf numFmtId="0" fontId="3" fillId="0" borderId="23" xfId="0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10" xfId="0" applyNumberFormat="1" applyFont="1" applyBorder="1" applyAlignment="1">
      <alignment horizontal="right" vertical="center" wrapText="1"/>
    </xf>
    <xf numFmtId="0" fontId="5" fillId="0" borderId="82" xfId="0" applyFont="1" applyBorder="1" applyAlignment="1">
      <alignment vertical="center"/>
    </xf>
    <xf numFmtId="49" fontId="29" fillId="0" borderId="0" xfId="0" applyNumberFormat="1" applyFont="1" applyBorder="1" applyAlignment="1">
      <alignment horizontal="center" vertical="center"/>
    </xf>
    <xf numFmtId="3" fontId="29" fillId="0" borderId="0" xfId="0" applyNumberFormat="1" applyFont="1" applyBorder="1" applyAlignment="1">
      <alignment vertical="center"/>
    </xf>
    <xf numFmtId="49" fontId="30" fillId="0" borderId="0" xfId="0" applyNumberFormat="1" applyFont="1" applyBorder="1" applyAlignment="1">
      <alignment vertical="center" wrapText="1"/>
    </xf>
    <xf numFmtId="0" fontId="30" fillId="0" borderId="0" xfId="0" applyFont="1" applyBorder="1" applyAlignment="1">
      <alignment vertical="center" wrapText="1"/>
    </xf>
    <xf numFmtId="3" fontId="30" fillId="0" borderId="0" xfId="0" applyNumberFormat="1" applyFont="1" applyBorder="1" applyAlignment="1">
      <alignment vertical="center" wrapText="1"/>
    </xf>
    <xf numFmtId="3" fontId="10" fillId="0" borderId="28" xfId="0" applyNumberFormat="1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left" vertical="center" wrapText="1"/>
    </xf>
    <xf numFmtId="0" fontId="3" fillId="0" borderId="82" xfId="0" applyFont="1" applyFill="1" applyBorder="1" applyAlignment="1">
      <alignment vertical="center"/>
    </xf>
    <xf numFmtId="3" fontId="3" fillId="0" borderId="58" xfId="0" applyNumberFormat="1" applyFont="1" applyBorder="1" applyAlignment="1">
      <alignment horizontal="right" vertical="center" wrapText="1"/>
    </xf>
    <xf numFmtId="3" fontId="3" fillId="0" borderId="74" xfId="0" applyNumberFormat="1" applyFont="1" applyBorder="1" applyAlignment="1">
      <alignment horizontal="right" vertical="center" wrapText="1"/>
    </xf>
    <xf numFmtId="0" fontId="3" fillId="0" borderId="18" xfId="0" applyFont="1" applyFill="1" applyBorder="1" applyAlignment="1">
      <alignment vertical="center" wrapText="1"/>
    </xf>
    <xf numFmtId="0" fontId="7" fillId="0" borderId="75" xfId="0" applyFont="1" applyBorder="1" applyAlignment="1">
      <alignment vertical="center" wrapText="1"/>
    </xf>
    <xf numFmtId="3" fontId="7" fillId="0" borderId="76" xfId="0" applyNumberFormat="1" applyFont="1" applyBorder="1" applyAlignment="1">
      <alignment horizontal="right" vertical="center" wrapText="1"/>
    </xf>
    <xf numFmtId="3" fontId="7" fillId="0" borderId="88" xfId="0" applyNumberFormat="1" applyFont="1" applyBorder="1" applyAlignment="1">
      <alignment horizontal="right" vertical="center" wrapText="1"/>
    </xf>
    <xf numFmtId="3" fontId="5" fillId="0" borderId="1" xfId="42" applyNumberFormat="1" applyFont="1" applyBorder="1"/>
    <xf numFmtId="3" fontId="5" fillId="0" borderId="19" xfId="42" applyNumberFormat="1" applyFont="1" applyBorder="1"/>
    <xf numFmtId="0" fontId="5" fillId="0" borderId="23" xfId="42" applyFont="1" applyBorder="1"/>
    <xf numFmtId="3" fontId="5" fillId="0" borderId="9" xfId="42" applyNumberFormat="1" applyFont="1" applyBorder="1"/>
    <xf numFmtId="3" fontId="5" fillId="0" borderId="2" xfId="42" applyNumberFormat="1" applyFont="1" applyBorder="1"/>
    <xf numFmtId="3" fontId="5" fillId="0" borderId="24" xfId="42" applyNumberFormat="1" applyFont="1" applyBorder="1"/>
    <xf numFmtId="0" fontId="3" fillId="0" borderId="20" xfId="42" applyFont="1" applyBorder="1"/>
    <xf numFmtId="3" fontId="3" fillId="0" borderId="38" xfId="42" applyNumberFormat="1" applyFont="1" applyBorder="1"/>
    <xf numFmtId="0" fontId="4" fillId="0" borderId="23" xfId="42" applyFont="1" applyBorder="1"/>
    <xf numFmtId="3" fontId="4" fillId="0" borderId="9" xfId="42" applyNumberFormat="1" applyFont="1" applyBorder="1"/>
    <xf numFmtId="165" fontId="30" fillId="0" borderId="18" xfId="0" applyNumberFormat="1" applyFont="1" applyFill="1" applyBorder="1" applyAlignment="1">
      <alignment horizontal="center" vertical="center" wrapText="1"/>
    </xf>
    <xf numFmtId="43" fontId="30" fillId="0" borderId="0" xfId="98" applyFont="1" applyAlignment="1">
      <alignment vertical="center"/>
    </xf>
    <xf numFmtId="0" fontId="64" fillId="0" borderId="1" xfId="42" applyFont="1" applyBorder="1"/>
    <xf numFmtId="0" fontId="2" fillId="0" borderId="18" xfId="1" applyFont="1" applyFill="1" applyBorder="1" applyAlignment="1">
      <alignment horizontal="right" vertical="center"/>
    </xf>
    <xf numFmtId="3" fontId="29" fillId="0" borderId="19" xfId="0" applyNumberFormat="1" applyFont="1" applyBorder="1"/>
    <xf numFmtId="0" fontId="2" fillId="0" borderId="25" xfId="1" applyFont="1" applyFill="1" applyBorder="1" applyAlignment="1">
      <alignment horizontal="right" vertical="center"/>
    </xf>
    <xf numFmtId="0" fontId="4" fillId="0" borderId="18" xfId="1" applyFont="1" applyFill="1" applyBorder="1" applyAlignment="1">
      <alignment horizontal="right" vertical="center"/>
    </xf>
    <xf numFmtId="3" fontId="30" fillId="0" borderId="19" xfId="0" applyNumberFormat="1" applyFont="1" applyBorder="1"/>
    <xf numFmtId="3" fontId="5" fillId="0" borderId="1" xfId="0" applyNumberFormat="1" applyFont="1" applyFill="1" applyBorder="1" applyAlignment="1">
      <alignment vertical="center" wrapText="1"/>
    </xf>
    <xf numFmtId="3" fontId="30" fillId="0" borderId="1" xfId="0" applyNumberFormat="1" applyFont="1" applyFill="1" applyBorder="1" applyAlignment="1">
      <alignment vertical="center" wrapText="1"/>
    </xf>
    <xf numFmtId="3" fontId="5" fillId="0" borderId="7" xfId="0" applyNumberFormat="1" applyFont="1" applyFill="1" applyBorder="1" applyAlignment="1" applyProtection="1">
      <alignment vertical="center" wrapText="1"/>
      <protection locked="0"/>
    </xf>
    <xf numFmtId="165" fontId="30" fillId="0" borderId="23" xfId="0" applyNumberFormat="1" applyFont="1" applyFill="1" applyBorder="1" applyAlignment="1">
      <alignment horizontal="center" vertical="center" wrapText="1"/>
    </xf>
    <xf numFmtId="165" fontId="30" fillId="0" borderId="31" xfId="0" applyNumberFormat="1" applyFont="1" applyFill="1" applyBorder="1" applyAlignment="1">
      <alignment horizontal="center" vertical="center" wrapText="1"/>
    </xf>
    <xf numFmtId="165" fontId="30" fillId="0" borderId="12" xfId="0" applyNumberFormat="1" applyFont="1" applyFill="1" applyBorder="1" applyAlignment="1">
      <alignment horizontal="center" vertical="center" wrapText="1"/>
    </xf>
    <xf numFmtId="165" fontId="30" fillId="0" borderId="1" xfId="0" applyNumberFormat="1" applyFont="1" applyFill="1" applyBorder="1" applyAlignment="1">
      <alignment vertical="center" wrapText="1"/>
    </xf>
    <xf numFmtId="165" fontId="3" fillId="0" borderId="7" xfId="0" applyNumberFormat="1" applyFont="1" applyFill="1" applyBorder="1" applyAlignment="1" applyProtection="1">
      <alignment vertical="center" wrapText="1"/>
      <protection locked="0"/>
    </xf>
    <xf numFmtId="3" fontId="3" fillId="0" borderId="7" xfId="0" applyNumberFormat="1" applyFont="1" applyFill="1" applyBorder="1" applyAlignment="1" applyProtection="1">
      <alignment vertical="center" wrapText="1"/>
      <protection locked="0"/>
    </xf>
    <xf numFmtId="165" fontId="3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30" fillId="0" borderId="1" xfId="0" applyNumberFormat="1" applyFont="1" applyBorder="1" applyAlignment="1">
      <alignment horizontal="center" vertical="center" wrapText="1"/>
    </xf>
    <xf numFmtId="49" fontId="30" fillId="0" borderId="3" xfId="0" applyNumberFormat="1" applyFont="1" applyBorder="1" applyAlignment="1">
      <alignment horizontal="center" vertical="center" wrapText="1"/>
    </xf>
    <xf numFmtId="3" fontId="31" fillId="0" borderId="4" xfId="0" applyNumberFormat="1" applyFont="1" applyBorder="1"/>
    <xf numFmtId="0" fontId="0" fillId="0" borderId="0" xfId="0" applyBorder="1" applyAlignment="1">
      <alignment wrapText="1"/>
    </xf>
    <xf numFmtId="165" fontId="3" fillId="0" borderId="2" xfId="0" applyNumberFormat="1" applyFont="1" applyFill="1" applyBorder="1" applyAlignment="1" applyProtection="1">
      <alignment vertical="center" wrapText="1"/>
      <protection locked="0"/>
    </xf>
    <xf numFmtId="165" fontId="3" fillId="0" borderId="13" xfId="0" applyNumberFormat="1" applyFont="1" applyFill="1" applyBorder="1" applyAlignment="1">
      <alignment horizontal="left" vertical="center" wrapText="1"/>
    </xf>
    <xf numFmtId="3" fontId="3" fillId="0" borderId="13" xfId="0" applyNumberFormat="1" applyFont="1" applyFill="1" applyBorder="1" applyAlignment="1" applyProtection="1">
      <alignment vertical="center" wrapText="1"/>
    </xf>
    <xf numFmtId="165" fontId="30" fillId="0" borderId="5" xfId="0" applyNumberFormat="1" applyFont="1" applyFill="1" applyBorder="1" applyAlignment="1" applyProtection="1">
      <alignment vertical="center" wrapText="1"/>
      <protection locked="0"/>
    </xf>
    <xf numFmtId="3" fontId="30" fillId="0" borderId="5" xfId="0" applyNumberFormat="1" applyFont="1" applyFill="1" applyBorder="1" applyAlignment="1" applyProtection="1">
      <alignment vertical="center" wrapText="1"/>
      <protection locked="0"/>
    </xf>
    <xf numFmtId="165" fontId="3" fillId="0" borderId="12" xfId="0" applyNumberFormat="1" applyFont="1" applyFill="1" applyBorder="1" applyAlignment="1">
      <alignment horizontal="center" vertical="center" wrapText="1"/>
    </xf>
    <xf numFmtId="165" fontId="3" fillId="0" borderId="13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 applyProtection="1">
      <alignment vertical="center" wrapText="1"/>
      <protection locked="0"/>
    </xf>
    <xf numFmtId="3" fontId="3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0" fillId="0" borderId="15" xfId="0" applyNumberFormat="1" applyFont="1" applyFill="1" applyBorder="1" applyAlignment="1">
      <alignment horizontal="center" vertical="center" wrapText="1"/>
    </xf>
    <xf numFmtId="165" fontId="8" fillId="0" borderId="16" xfId="0" applyNumberFormat="1" applyFont="1" applyFill="1" applyBorder="1" applyAlignment="1" applyProtection="1">
      <alignment vertical="center" wrapText="1"/>
      <protection locked="0"/>
    </xf>
    <xf numFmtId="3" fontId="5" fillId="0" borderId="16" xfId="0" applyNumberFormat="1" applyFont="1" applyFill="1" applyBorder="1" applyAlignment="1" applyProtection="1">
      <alignment vertical="center" wrapText="1"/>
      <protection locked="0"/>
    </xf>
    <xf numFmtId="3" fontId="3" fillId="0" borderId="16" xfId="0" applyNumberFormat="1" applyFont="1" applyFill="1" applyBorder="1" applyAlignment="1" applyProtection="1">
      <alignment horizontal="right" vertical="center" wrapText="1"/>
      <protection locked="0"/>
    </xf>
    <xf numFmtId="165" fontId="30" fillId="0" borderId="20" xfId="0" applyNumberFormat="1" applyFont="1" applyFill="1" applyBorder="1" applyAlignment="1">
      <alignment horizontal="center" vertical="center" wrapText="1"/>
    </xf>
    <xf numFmtId="165" fontId="3" fillId="0" borderId="21" xfId="0" applyNumberFormat="1" applyFont="1" applyFill="1" applyBorder="1" applyAlignment="1" applyProtection="1">
      <alignment vertical="center" wrapText="1"/>
      <protection locked="0"/>
    </xf>
    <xf numFmtId="3" fontId="3" fillId="0" borderId="21" xfId="0" applyNumberFormat="1" applyFont="1" applyFill="1" applyBorder="1" applyAlignment="1" applyProtection="1">
      <alignment vertical="center" wrapText="1"/>
      <protection locked="0"/>
    </xf>
    <xf numFmtId="3" fontId="3" fillId="0" borderId="21" xfId="0" applyNumberFormat="1" applyFont="1" applyFill="1" applyBorder="1" applyAlignment="1" applyProtection="1">
      <alignment horizontal="right" vertical="center" wrapText="1"/>
      <protection locked="0"/>
    </xf>
    <xf numFmtId="165" fontId="30" fillId="0" borderId="82" xfId="0" applyNumberFormat="1" applyFont="1" applyFill="1" applyBorder="1" applyAlignment="1">
      <alignment horizontal="center" vertical="center" wrapText="1"/>
    </xf>
    <xf numFmtId="165" fontId="5" fillId="0" borderId="7" xfId="0" applyNumberFormat="1" applyFont="1" applyFill="1" applyBorder="1" applyAlignment="1" applyProtection="1">
      <alignment vertical="center" wrapText="1"/>
      <protection locked="0"/>
    </xf>
    <xf numFmtId="3" fontId="30" fillId="0" borderId="7" xfId="0" applyNumberFormat="1" applyFont="1" applyFill="1" applyBorder="1" applyAlignment="1" applyProtection="1">
      <alignment vertical="center" wrapText="1"/>
      <protection locked="0"/>
    </xf>
    <xf numFmtId="3" fontId="30" fillId="0" borderId="7" xfId="0" applyNumberFormat="1" applyFont="1" applyFill="1" applyBorder="1" applyAlignment="1" applyProtection="1">
      <alignment horizontal="right" vertical="center" wrapText="1"/>
      <protection locked="0"/>
    </xf>
    <xf numFmtId="165" fontId="8" fillId="0" borderId="16" xfId="0" applyNumberFormat="1" applyFont="1" applyFill="1" applyBorder="1" applyAlignment="1" applyProtection="1">
      <alignment horizontal="left" vertical="center" wrapText="1"/>
      <protection locked="0"/>
    </xf>
    <xf numFmtId="3" fontId="30" fillId="0" borderId="16" xfId="0" applyNumberFormat="1" applyFont="1" applyFill="1" applyBorder="1" applyAlignment="1" applyProtection="1">
      <alignment vertical="center" wrapText="1"/>
      <protection locked="0"/>
    </xf>
    <xf numFmtId="165" fontId="3" fillId="0" borderId="16" xfId="0" applyNumberFormat="1" applyFont="1" applyFill="1" applyBorder="1" applyAlignment="1" applyProtection="1">
      <alignment vertical="center" wrapText="1"/>
      <protection locked="0"/>
    </xf>
    <xf numFmtId="165" fontId="7" fillId="0" borderId="1" xfId="0" applyNumberFormat="1" applyFont="1" applyFill="1" applyBorder="1" applyAlignment="1" applyProtection="1">
      <alignment vertical="center" wrapText="1"/>
      <protection locked="0"/>
    </xf>
    <xf numFmtId="165" fontId="7" fillId="0" borderId="1" xfId="0" applyNumberFormat="1" applyFont="1" applyFill="1" applyBorder="1" applyAlignment="1" applyProtection="1">
      <alignment horizontal="left" vertical="center" wrapText="1"/>
      <protection locked="0"/>
    </xf>
    <xf numFmtId="165" fontId="3" fillId="0" borderId="92" xfId="0" applyNumberFormat="1" applyFont="1" applyFill="1" applyBorder="1" applyAlignment="1">
      <alignment horizontal="center" vertical="center" wrapText="1"/>
    </xf>
    <xf numFmtId="165" fontId="3" fillId="0" borderId="95" xfId="0" applyNumberFormat="1" applyFont="1" applyFill="1" applyBorder="1" applyAlignment="1">
      <alignment horizontal="center" vertical="center" wrapText="1"/>
    </xf>
    <xf numFmtId="165" fontId="30" fillId="0" borderId="16" xfId="0" applyNumberFormat="1" applyFont="1" applyFill="1" applyBorder="1" applyAlignment="1" applyProtection="1">
      <alignment vertical="center" wrapText="1"/>
      <protection locked="0"/>
    </xf>
    <xf numFmtId="3" fontId="5" fillId="0" borderId="21" xfId="0" applyNumberFormat="1" applyFont="1" applyFill="1" applyBorder="1" applyAlignment="1" applyProtection="1">
      <alignment vertical="center" wrapText="1"/>
      <protection locked="0"/>
    </xf>
    <xf numFmtId="165" fontId="30" fillId="0" borderId="5" xfId="0" applyNumberFormat="1" applyFont="1" applyFill="1" applyBorder="1" applyAlignment="1">
      <alignment vertical="center" wrapText="1"/>
    </xf>
    <xf numFmtId="165" fontId="30" fillId="0" borderId="5" xfId="0" applyNumberFormat="1" applyFont="1" applyFill="1" applyBorder="1" applyAlignment="1">
      <alignment horizontal="right" vertical="center" wrapText="1"/>
    </xf>
    <xf numFmtId="165" fontId="5" fillId="0" borderId="16" xfId="0" applyNumberFormat="1" applyFont="1" applyFill="1" applyBorder="1" applyAlignment="1" applyProtection="1">
      <alignment vertical="center" wrapText="1"/>
      <protection locked="0"/>
    </xf>
    <xf numFmtId="3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5" xfId="42" applyFont="1" applyBorder="1" applyAlignment="1">
      <alignment horizontal="center" wrapText="1"/>
    </xf>
    <xf numFmtId="0" fontId="2" fillId="0" borderId="31" xfId="42" applyFont="1" applyBorder="1" applyAlignment="1">
      <alignment horizontal="center" wrapText="1"/>
    </xf>
    <xf numFmtId="0" fontId="4" fillId="0" borderId="20" xfId="42" applyFont="1" applyBorder="1"/>
    <xf numFmtId="0" fontId="4" fillId="0" borderId="38" xfId="42" applyFont="1" applyBorder="1"/>
    <xf numFmtId="0" fontId="4" fillId="0" borderId="21" xfId="42" applyFont="1" applyBorder="1"/>
    <xf numFmtId="0" fontId="4" fillId="0" borderId="22" xfId="42" applyFont="1" applyBorder="1"/>
    <xf numFmtId="0" fontId="3" fillId="0" borderId="31" xfId="42" applyFont="1" applyBorder="1" applyAlignment="1">
      <alignment horizontal="center" wrapText="1"/>
    </xf>
    <xf numFmtId="0" fontId="2" fillId="0" borderId="96" xfId="42" applyFont="1" applyBorder="1" applyAlignment="1">
      <alignment horizontal="center"/>
    </xf>
    <xf numFmtId="0" fontId="2" fillId="0" borderId="37" xfId="42" applyFont="1" applyBorder="1" applyAlignment="1">
      <alignment horizontal="center"/>
    </xf>
    <xf numFmtId="0" fontId="2" fillId="0" borderId="97" xfId="42" applyFont="1" applyBorder="1" applyAlignment="1">
      <alignment horizontal="center"/>
    </xf>
    <xf numFmtId="0" fontId="5" fillId="0" borderId="18" xfId="42" applyFont="1" applyBorder="1"/>
    <xf numFmtId="0" fontId="64" fillId="0" borderId="18" xfId="42" applyFont="1" applyBorder="1"/>
    <xf numFmtId="0" fontId="3" fillId="0" borderId="36" xfId="50" applyFont="1" applyBorder="1" applyAlignment="1">
      <alignment horizontal="center" vertical="center" wrapText="1"/>
    </xf>
    <xf numFmtId="0" fontId="5" fillId="0" borderId="15" xfId="50" applyFont="1" applyBorder="1"/>
    <xf numFmtId="0" fontId="5" fillId="0" borderId="62" xfId="50" applyFont="1" applyBorder="1"/>
    <xf numFmtId="0" fontId="5" fillId="0" borderId="16" xfId="50" applyFont="1" applyBorder="1"/>
    <xf numFmtId="3" fontId="5" fillId="0" borderId="16" xfId="50" applyNumberFormat="1" applyFont="1" applyBorder="1"/>
    <xf numFmtId="0" fontId="3" fillId="0" borderId="39" xfId="50" applyFont="1" applyBorder="1" applyAlignment="1">
      <alignment horizontal="center" vertical="center" wrapText="1"/>
    </xf>
    <xf numFmtId="0" fontId="5" fillId="0" borderId="40" xfId="50" applyFont="1" applyBorder="1"/>
    <xf numFmtId="0" fontId="3" fillId="0" borderId="40" xfId="50" applyFont="1" applyBorder="1"/>
    <xf numFmtId="0" fontId="3" fillId="0" borderId="33" xfId="50" applyFont="1" applyBorder="1"/>
    <xf numFmtId="3" fontId="29" fillId="0" borderId="8" xfId="0" applyNumberFormat="1" applyFont="1" applyBorder="1"/>
    <xf numFmtId="3" fontId="3" fillId="0" borderId="18" xfId="1" applyNumberFormat="1" applyFont="1" applyBorder="1"/>
    <xf numFmtId="3" fontId="29" fillId="0" borderId="26" xfId="0" applyNumberFormat="1" applyFont="1" applyBorder="1"/>
    <xf numFmtId="3" fontId="3" fillId="0" borderId="19" xfId="1" applyNumberFormat="1" applyFont="1" applyBorder="1"/>
    <xf numFmtId="3" fontId="29" fillId="0" borderId="18" xfId="0" applyNumberFormat="1" applyFont="1" applyBorder="1"/>
    <xf numFmtId="3" fontId="30" fillId="0" borderId="18" xfId="0" applyNumberFormat="1" applyFont="1" applyBorder="1"/>
    <xf numFmtId="3" fontId="3" fillId="0" borderId="1" xfId="0" applyNumberFormat="1" applyFont="1" applyFill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/>
    </xf>
    <xf numFmtId="3" fontId="3" fillId="0" borderId="40" xfId="0" applyNumberFormat="1" applyFont="1" applyBorder="1" applyAlignment="1">
      <alignment horizontal="right" vertical="center"/>
    </xf>
    <xf numFmtId="3" fontId="3" fillId="0" borderId="98" xfId="0" applyNumberFormat="1" applyFont="1" applyBorder="1" applyAlignment="1">
      <alignment horizontal="right" vertical="center"/>
    </xf>
    <xf numFmtId="3" fontId="3" fillId="0" borderId="33" xfId="0" applyNumberFormat="1" applyFont="1" applyBorder="1" applyAlignment="1">
      <alignment horizontal="right" vertical="center"/>
    </xf>
    <xf numFmtId="1" fontId="36" fillId="0" borderId="1" xfId="0" applyNumberFormat="1" applyFont="1" applyBorder="1"/>
    <xf numFmtId="1" fontId="34" fillId="0" borderId="1" xfId="0" applyNumberFormat="1" applyFont="1" applyBorder="1"/>
    <xf numFmtId="0" fontId="34" fillId="31" borderId="11" xfId="0" applyFont="1" applyFill="1" applyBorder="1"/>
    <xf numFmtId="1" fontId="34" fillId="0" borderId="13" xfId="0" applyNumberFormat="1" applyFont="1" applyBorder="1"/>
    <xf numFmtId="0" fontId="5" fillId="0" borderId="1" xfId="0" applyFont="1" applyBorder="1"/>
    <xf numFmtId="0" fontId="3" fillId="0" borderId="1" xfId="0" applyFont="1" applyBorder="1"/>
    <xf numFmtId="0" fontId="34" fillId="0" borderId="1" xfId="0" applyFont="1" applyFill="1" applyBorder="1"/>
    <xf numFmtId="0" fontId="36" fillId="0" borderId="1" xfId="0" applyFont="1" applyFill="1" applyBorder="1"/>
    <xf numFmtId="1" fontId="36" fillId="0" borderId="1" xfId="0" applyNumberFormat="1" applyFont="1" applyFill="1" applyBorder="1"/>
    <xf numFmtId="1" fontId="34" fillId="0" borderId="1" xfId="0" applyNumberFormat="1" applyFont="1" applyFill="1" applyBorder="1"/>
    <xf numFmtId="0" fontId="36" fillId="0" borderId="3" xfId="0" applyFont="1" applyFill="1" applyBorder="1"/>
    <xf numFmtId="0" fontId="36" fillId="0" borderId="4" xfId="0" applyFont="1" applyFill="1" applyBorder="1"/>
    <xf numFmtId="0" fontId="36" fillId="0" borderId="8" xfId="0" applyFont="1" applyFill="1" applyBorder="1"/>
    <xf numFmtId="0" fontId="33" fillId="0" borderId="6" xfId="0" applyFont="1" applyFill="1" applyBorder="1" applyAlignment="1">
      <alignment horizontal="right"/>
    </xf>
    <xf numFmtId="0" fontId="33" fillId="0" borderId="6" xfId="0" applyFont="1" applyFill="1" applyBorder="1" applyAlignment="1">
      <alignment horizontal="left"/>
    </xf>
    <xf numFmtId="0" fontId="33" fillId="0" borderId="6" xfId="0" applyFont="1" applyFill="1" applyBorder="1"/>
    <xf numFmtId="0" fontId="0" fillId="0" borderId="0" xfId="0" applyFill="1" applyAlignment="1">
      <alignment wrapText="1"/>
    </xf>
    <xf numFmtId="0" fontId="35" fillId="0" borderId="0" xfId="0" applyFont="1" applyFill="1" applyAlignment="1">
      <alignment horizontal="center" vertical="center" wrapText="1"/>
    </xf>
    <xf numFmtId="0" fontId="36" fillId="0" borderId="1" xfId="0" applyFont="1" applyFill="1" applyBorder="1" applyAlignment="1">
      <alignment horizontal="right" vertical="center"/>
    </xf>
    <xf numFmtId="0" fontId="34" fillId="0" borderId="1" xfId="0" applyFont="1" applyFill="1" applyBorder="1" applyAlignment="1">
      <alignment horizontal="right" vertical="center"/>
    </xf>
    <xf numFmtId="0" fontId="28" fillId="0" borderId="0" xfId="0" applyFont="1" applyFill="1" applyAlignment="1">
      <alignment wrapText="1"/>
    </xf>
    <xf numFmtId="0" fontId="35" fillId="0" borderId="0" xfId="0" applyFont="1" applyFill="1"/>
    <xf numFmtId="0" fontId="34" fillId="0" borderId="3" xfId="0" applyFont="1" applyFill="1" applyBorder="1" applyAlignment="1">
      <alignment horizontal="right" vertical="center"/>
    </xf>
    <xf numFmtId="0" fontId="37" fillId="0" borderId="1" xfId="0" applyFont="1" applyFill="1" applyBorder="1" applyAlignment="1">
      <alignment horizontal="right" vertical="center"/>
    </xf>
    <xf numFmtId="0" fontId="37" fillId="0" borderId="3" xfId="0" applyFont="1" applyFill="1" applyBorder="1" applyAlignment="1">
      <alignment horizontal="left"/>
    </xf>
    <xf numFmtId="1" fontId="37" fillId="0" borderId="8" xfId="0" applyNumberFormat="1" applyFont="1" applyFill="1" applyBorder="1" applyAlignment="1">
      <alignment horizontal="left" vertical="center" wrapText="1"/>
    </xf>
    <xf numFmtId="0" fontId="37" fillId="0" borderId="11" xfId="0" applyFont="1" applyFill="1" applyBorder="1" applyAlignment="1">
      <alignment horizontal="right" vertical="center"/>
    </xf>
    <xf numFmtId="0" fontId="37" fillId="0" borderId="11" xfId="0" applyFont="1" applyFill="1" applyBorder="1" applyAlignment="1">
      <alignment horizontal="left"/>
    </xf>
    <xf numFmtId="1" fontId="37" fillId="0" borderId="11" xfId="0" applyNumberFormat="1" applyFont="1" applyFill="1" applyBorder="1" applyAlignment="1">
      <alignment horizontal="left" vertical="center" wrapText="1"/>
    </xf>
    <xf numFmtId="0" fontId="36" fillId="0" borderId="11" xfId="0" applyFont="1" applyFill="1" applyBorder="1"/>
    <xf numFmtId="0" fontId="37" fillId="0" borderId="1" xfId="0" applyFont="1" applyFill="1" applyBorder="1" applyAlignment="1">
      <alignment horizontal="right" vertical="center" wrapText="1"/>
    </xf>
    <xf numFmtId="0" fontId="37" fillId="0" borderId="8" xfId="0" applyFont="1" applyFill="1" applyBorder="1" applyAlignment="1">
      <alignment horizontal="left" vertical="center" wrapText="1"/>
    </xf>
    <xf numFmtId="0" fontId="34" fillId="0" borderId="11" xfId="0" applyFont="1" applyFill="1" applyBorder="1" applyAlignment="1">
      <alignment horizontal="right" vertical="center"/>
    </xf>
    <xf numFmtId="0" fontId="34" fillId="0" borderId="11" xfId="0" applyFont="1" applyFill="1" applyBorder="1" applyAlignment="1">
      <alignment horizontal="left" vertical="center" wrapText="1"/>
    </xf>
    <xf numFmtId="0" fontId="34" fillId="0" borderId="11" xfId="0" applyFont="1" applyFill="1" applyBorder="1"/>
    <xf numFmtId="0" fontId="34" fillId="0" borderId="6" xfId="0" applyFont="1" applyFill="1" applyBorder="1" applyAlignment="1">
      <alignment horizontal="right" vertical="center"/>
    </xf>
    <xf numFmtId="0" fontId="36" fillId="0" borderId="6" xfId="0" applyFont="1" applyFill="1" applyBorder="1" applyAlignment="1">
      <alignment horizontal="left" vertical="center" wrapText="1"/>
    </xf>
    <xf numFmtId="0" fontId="36" fillId="0" borderId="6" xfId="0" applyFont="1" applyFill="1" applyBorder="1"/>
    <xf numFmtId="0" fontId="34" fillId="0" borderId="10" xfId="0" applyFont="1" applyFill="1" applyBorder="1" applyAlignment="1">
      <alignment horizontal="right" vertical="center"/>
    </xf>
    <xf numFmtId="0" fontId="36" fillId="0" borderId="9" xfId="0" applyFont="1" applyFill="1" applyBorder="1"/>
    <xf numFmtId="0" fontId="36" fillId="0" borderId="10" xfId="0" applyFont="1" applyFill="1" applyBorder="1"/>
    <xf numFmtId="0" fontId="34" fillId="0" borderId="12" xfId="0" applyFont="1" applyFill="1" applyBorder="1" applyAlignment="1">
      <alignment vertical="center" wrapText="1"/>
    </xf>
    <xf numFmtId="3" fontId="34" fillId="0" borderId="13" xfId="98" applyNumberFormat="1" applyFont="1" applyFill="1" applyBorder="1" applyAlignment="1">
      <alignment horizontal="right" vertical="center"/>
    </xf>
    <xf numFmtId="3" fontId="34" fillId="0" borderId="14" xfId="98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 wrapText="1"/>
    </xf>
    <xf numFmtId="0" fontId="36" fillId="0" borderId="0" xfId="0" applyFont="1" applyFill="1" applyAlignment="1">
      <alignment horizontal="right"/>
    </xf>
    <xf numFmtId="0" fontId="36" fillId="0" borderId="0" xfId="0" applyFont="1" applyFill="1" applyAlignment="1">
      <alignment horizontal="left"/>
    </xf>
    <xf numFmtId="0" fontId="36" fillId="0" borderId="0" xfId="0" applyFont="1" applyFill="1"/>
    <xf numFmtId="0" fontId="5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1" fillId="0" borderId="18" xfId="0" applyNumberFormat="1" applyFont="1" applyBorder="1" applyAlignment="1">
      <alignment vertical="center" wrapText="1"/>
    </xf>
    <xf numFmtId="49" fontId="31" fillId="0" borderId="23" xfId="0" applyNumberFormat="1" applyFont="1" applyBorder="1" applyAlignment="1">
      <alignment vertical="center" wrapText="1"/>
    </xf>
    <xf numFmtId="3" fontId="30" fillId="0" borderId="0" xfId="0" applyNumberFormat="1" applyFont="1" applyFill="1" applyBorder="1"/>
    <xf numFmtId="0" fontId="6" fillId="0" borderId="2" xfId="1" applyFont="1" applyFill="1" applyBorder="1" applyAlignment="1">
      <alignment horizontal="left" vertical="center" wrapText="1" indent="2"/>
    </xf>
    <xf numFmtId="0" fontId="34" fillId="0" borderId="60" xfId="0" applyFont="1" applyBorder="1" applyAlignment="1">
      <alignment horizontal="center" vertical="center"/>
    </xf>
    <xf numFmtId="9" fontId="36" fillId="0" borderId="0" xfId="0" applyNumberFormat="1" applyFont="1" applyBorder="1"/>
    <xf numFmtId="167" fontId="34" fillId="4" borderId="46" xfId="98" applyNumberFormat="1" applyFont="1" applyFill="1" applyBorder="1" applyAlignment="1">
      <alignment horizontal="center" vertical="center" wrapText="1"/>
    </xf>
    <xf numFmtId="3" fontId="33" fillId="0" borderId="0" xfId="0" applyNumberFormat="1" applyFont="1"/>
    <xf numFmtId="166" fontId="33" fillId="0" borderId="0" xfId="0" applyNumberFormat="1" applyFont="1"/>
    <xf numFmtId="0" fontId="36" fillId="0" borderId="1" xfId="0" applyFont="1" applyBorder="1" applyAlignment="1">
      <alignment horizontal="right"/>
    </xf>
    <xf numFmtId="0" fontId="36" fillId="0" borderId="1" xfId="0" applyFont="1" applyFill="1" applyBorder="1" applyAlignment="1">
      <alignment horizontal="right"/>
    </xf>
    <xf numFmtId="3" fontId="5" fillId="0" borderId="87" xfId="0" applyNumberFormat="1" applyFont="1" applyFill="1" applyBorder="1" applyAlignment="1">
      <alignment horizontal="right" vertical="center" wrapText="1"/>
    </xf>
    <xf numFmtId="3" fontId="3" fillId="0" borderId="13" xfId="0" applyNumberFormat="1" applyFont="1" applyFill="1" applyBorder="1" applyAlignment="1">
      <alignment horizontal="right" vertical="center" wrapText="1"/>
    </xf>
    <xf numFmtId="3" fontId="5" fillId="0" borderId="74" xfId="0" applyNumberFormat="1" applyFont="1" applyFill="1" applyBorder="1" applyAlignment="1">
      <alignment horizontal="right" vertical="center" wrapText="1"/>
    </xf>
    <xf numFmtId="3" fontId="5" fillId="0" borderId="78" xfId="0" applyNumberFormat="1" applyFont="1" applyFill="1" applyBorder="1" applyAlignment="1">
      <alignment horizontal="right" vertical="center" wrapText="1"/>
    </xf>
    <xf numFmtId="3" fontId="5" fillId="0" borderId="80" xfId="0" applyNumberFormat="1" applyFont="1" applyFill="1" applyBorder="1" applyAlignment="1">
      <alignment horizontal="right" vertical="center" wrapText="1"/>
    </xf>
    <xf numFmtId="3" fontId="3" fillId="0" borderId="7" xfId="0" applyNumberFormat="1" applyFont="1" applyFill="1" applyBorder="1" applyAlignment="1">
      <alignment horizontal="right" vertical="center" wrapText="1"/>
    </xf>
    <xf numFmtId="3" fontId="5" fillId="0" borderId="81" xfId="0" applyNumberFormat="1" applyFont="1" applyFill="1" applyBorder="1" applyAlignment="1">
      <alignment horizontal="right" vertical="center" wrapText="1"/>
    </xf>
    <xf numFmtId="0" fontId="5" fillId="0" borderId="20" xfId="0" applyFont="1" applyBorder="1" applyAlignment="1">
      <alignment vertical="center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32" xfId="0" applyNumberFormat="1" applyFont="1" applyBorder="1" applyAlignment="1">
      <alignment horizontal="right" vertical="center" wrapText="1"/>
    </xf>
    <xf numFmtId="0" fontId="30" fillId="0" borderId="0" xfId="0" applyFont="1" applyFill="1" applyBorder="1"/>
    <xf numFmtId="0" fontId="69" fillId="0" borderId="0" xfId="0" applyFont="1"/>
    <xf numFmtId="49" fontId="3" fillId="0" borderId="18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/>
    </xf>
    <xf numFmtId="0" fontId="69" fillId="0" borderId="1" xfId="0" applyFont="1" applyFill="1" applyBorder="1"/>
    <xf numFmtId="0" fontId="3" fillId="0" borderId="20" xfId="0" applyNumberFormat="1" applyFont="1" applyFill="1" applyBorder="1" applyAlignment="1">
      <alignment horizontal="center"/>
    </xf>
    <xf numFmtId="0" fontId="3" fillId="0" borderId="32" xfId="0" applyFont="1" applyFill="1" applyBorder="1"/>
    <xf numFmtId="3" fontId="5" fillId="0" borderId="1" xfId="0" applyNumberFormat="1" applyFont="1" applyBorder="1" applyAlignment="1">
      <alignment vertical="center" wrapText="1"/>
    </xf>
    <xf numFmtId="0" fontId="3" fillId="0" borderId="3" xfId="0" applyFont="1" applyFill="1" applyBorder="1" applyAlignment="1">
      <alignment horizontal="center"/>
    </xf>
    <xf numFmtId="3" fontId="8" fillId="0" borderId="1" xfId="0" applyNumberFormat="1" applyFont="1" applyFill="1" applyBorder="1" applyAlignment="1" applyProtection="1">
      <alignment vertical="center" wrapText="1"/>
      <protection locked="0"/>
    </xf>
    <xf numFmtId="3" fontId="70" fillId="0" borderId="16" xfId="0" applyNumberFormat="1" applyFont="1" applyFill="1" applyBorder="1" applyAlignment="1" applyProtection="1">
      <alignment vertical="center" wrapText="1"/>
      <protection locked="0"/>
    </xf>
    <xf numFmtId="3" fontId="70" fillId="0" borderId="1" xfId="0" applyNumberFormat="1" applyFont="1" applyFill="1" applyBorder="1" applyAlignment="1" applyProtection="1">
      <alignment vertical="center" wrapText="1"/>
      <protection locked="0"/>
    </xf>
    <xf numFmtId="165" fontId="5" fillId="0" borderId="5" xfId="0" applyNumberFormat="1" applyFont="1" applyFill="1" applyBorder="1" applyAlignment="1" applyProtection="1">
      <alignment vertical="center" wrapText="1"/>
      <protection locked="0"/>
    </xf>
    <xf numFmtId="3" fontId="30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" xfId="3" applyNumberFormat="1" applyFont="1" applyFill="1" applyBorder="1" applyAlignment="1" applyProtection="1">
      <alignment vertical="center"/>
    </xf>
    <xf numFmtId="0" fontId="5" fillId="0" borderId="18" xfId="42" applyFont="1" applyBorder="1" applyAlignment="1">
      <alignment vertical="center"/>
    </xf>
    <xf numFmtId="165" fontId="31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65" fontId="30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/>
    <xf numFmtId="0" fontId="69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32" xfId="0" applyFont="1" applyFill="1" applyBorder="1" applyAlignment="1">
      <alignment horizontal="right"/>
    </xf>
    <xf numFmtId="0" fontId="3" fillId="0" borderId="40" xfId="0" applyFont="1" applyFill="1" applyBorder="1" applyAlignment="1">
      <alignment horizontal="center" vertical="center" wrapText="1"/>
    </xf>
    <xf numFmtId="0" fontId="3" fillId="0" borderId="40" xfId="0" applyFont="1" applyFill="1" applyBorder="1"/>
    <xf numFmtId="0" fontId="69" fillId="0" borderId="40" xfId="0" applyFont="1" applyFill="1" applyBorder="1"/>
    <xf numFmtId="0" fontId="3" fillId="0" borderId="40" xfId="0" applyFont="1" applyFill="1" applyBorder="1" applyAlignment="1">
      <alignment horizontal="right"/>
    </xf>
    <xf numFmtId="0" fontId="3" fillId="0" borderId="40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right"/>
    </xf>
    <xf numFmtId="0" fontId="36" fillId="0" borderId="1" xfId="0" applyFont="1" applyBorder="1" applyAlignment="1"/>
    <xf numFmtId="0" fontId="34" fillId="0" borderId="1" xfId="0" applyFont="1" applyBorder="1" applyAlignment="1"/>
    <xf numFmtId="3" fontId="13" fillId="0" borderId="6" xfId="0" applyNumberFormat="1" applyFont="1" applyFill="1" applyBorder="1" applyAlignment="1" applyProtection="1">
      <alignment horizontal="center"/>
    </xf>
    <xf numFmtId="0" fontId="64" fillId="0" borderId="37" xfId="42" applyFont="1" applyBorder="1" applyAlignment="1">
      <alignment horizontal="right"/>
    </xf>
    <xf numFmtId="0" fontId="5" fillId="0" borderId="0" xfId="50" applyFont="1" applyBorder="1" applyAlignment="1">
      <alignment horizontal="right"/>
    </xf>
    <xf numFmtId="0" fontId="3" fillId="0" borderId="5" xfId="50" applyFont="1" applyBorder="1" applyAlignment="1">
      <alignment horizontal="center" vertical="center" wrapText="1"/>
    </xf>
    <xf numFmtId="0" fontId="3" fillId="0" borderId="30" xfId="50" applyFont="1" applyBorder="1" applyAlignment="1">
      <alignment horizontal="center" wrapText="1"/>
    </xf>
    <xf numFmtId="3" fontId="4" fillId="0" borderId="19" xfId="42" applyNumberFormat="1" applyFont="1" applyBorder="1" applyAlignment="1">
      <alignment horizontal="right"/>
    </xf>
    <xf numFmtId="3" fontId="2" fillId="0" borderId="53" xfId="42" applyNumberFormat="1" applyFont="1" applyBorder="1" applyAlignment="1">
      <alignment horizontal="right"/>
    </xf>
    <xf numFmtId="3" fontId="5" fillId="0" borderId="19" xfId="50" applyNumberFormat="1" applyFont="1" applyBorder="1"/>
    <xf numFmtId="3" fontId="3" fillId="0" borderId="19" xfId="50" applyNumberFormat="1" applyFont="1" applyBorder="1"/>
    <xf numFmtId="3" fontId="3" fillId="0" borderId="22" xfId="50" applyNumberFormat="1" applyFont="1" applyBorder="1"/>
    <xf numFmtId="3" fontId="29" fillId="0" borderId="18" xfId="98" applyNumberFormat="1" applyFont="1" applyFill="1" applyBorder="1"/>
    <xf numFmtId="3" fontId="29" fillId="0" borderId="1" xfId="98" applyNumberFormat="1" applyFont="1" applyFill="1" applyBorder="1"/>
    <xf numFmtId="3" fontId="29" fillId="0" borderId="19" xfId="98" applyNumberFormat="1" applyFont="1" applyFill="1" applyBorder="1"/>
    <xf numFmtId="3" fontId="29" fillId="0" borderId="8" xfId="98" applyNumberFormat="1" applyFont="1" applyFill="1" applyBorder="1"/>
    <xf numFmtId="3" fontId="30" fillId="0" borderId="25" xfId="98" applyNumberFormat="1" applyFont="1" applyFill="1" applyBorder="1"/>
    <xf numFmtId="3" fontId="30" fillId="0" borderId="0" xfId="98" applyNumberFormat="1" applyFont="1" applyFill="1" applyBorder="1"/>
    <xf numFmtId="3" fontId="30" fillId="0" borderId="26" xfId="98" applyNumberFormat="1" applyFont="1" applyFill="1" applyBorder="1"/>
    <xf numFmtId="3" fontId="30" fillId="0" borderId="18" xfId="98" applyNumberFormat="1" applyFont="1" applyFill="1" applyBorder="1"/>
    <xf numFmtId="3" fontId="30" fillId="0" borderId="1" xfId="98" applyNumberFormat="1" applyFont="1" applyFill="1" applyBorder="1"/>
    <xf numFmtId="3" fontId="30" fillId="0" borderId="19" xfId="98" applyNumberFormat="1" applyFont="1" applyFill="1" applyBorder="1"/>
    <xf numFmtId="3" fontId="30" fillId="0" borderId="8" xfId="98" applyNumberFormat="1" applyFont="1" applyFill="1" applyBorder="1"/>
    <xf numFmtId="167" fontId="34" fillId="0" borderId="1" xfId="98" applyNumberFormat="1" applyFont="1" applyFill="1" applyBorder="1" applyAlignment="1">
      <alignment horizontal="right" vertical="center"/>
    </xf>
    <xf numFmtId="167" fontId="34" fillId="0" borderId="1" xfId="98" applyNumberFormat="1" applyFont="1" applyFill="1" applyBorder="1"/>
    <xf numFmtId="167" fontId="28" fillId="0" borderId="0" xfId="98" applyNumberFormat="1" applyFont="1" applyFill="1" applyAlignment="1">
      <alignment wrapText="1"/>
    </xf>
    <xf numFmtId="167" fontId="30" fillId="0" borderId="0" xfId="98" applyNumberFormat="1" applyFont="1" applyBorder="1"/>
    <xf numFmtId="0" fontId="5" fillId="0" borderId="0" xfId="43" applyFont="1" applyFill="1"/>
    <xf numFmtId="0" fontId="5" fillId="0" borderId="0" xfId="43" applyFont="1"/>
    <xf numFmtId="0" fontId="73" fillId="0" borderId="0" xfId="43" applyFont="1"/>
    <xf numFmtId="0" fontId="5" fillId="0" borderId="18" xfId="43" applyFont="1" applyBorder="1" applyAlignment="1">
      <alignment vertical="center"/>
    </xf>
    <xf numFmtId="0" fontId="73" fillId="0" borderId="1" xfId="43" applyFont="1" applyBorder="1" applyAlignment="1">
      <alignment horizontal="center" vertical="center" wrapText="1"/>
    </xf>
    <xf numFmtId="0" fontId="5" fillId="0" borderId="18" xfId="43" applyFont="1" applyFill="1" applyBorder="1" applyAlignment="1">
      <alignment vertical="center"/>
    </xf>
    <xf numFmtId="0" fontId="5" fillId="0" borderId="1" xfId="43" applyFont="1" applyFill="1" applyBorder="1" applyAlignment="1">
      <alignment horizontal="right" wrapText="1"/>
    </xf>
    <xf numFmtId="167" fontId="5" fillId="0" borderId="1" xfId="98" applyNumberFormat="1" applyFont="1" applyFill="1" applyBorder="1" applyAlignment="1">
      <alignment horizontal="right" wrapText="1"/>
    </xf>
    <xf numFmtId="3" fontId="5" fillId="0" borderId="1" xfId="43" applyNumberFormat="1" applyFont="1" applyFill="1" applyBorder="1" applyAlignment="1">
      <alignment horizontal="right"/>
    </xf>
    <xf numFmtId="3" fontId="5" fillId="0" borderId="1" xfId="43" applyNumberFormat="1" applyFont="1" applyFill="1" applyBorder="1" applyAlignment="1">
      <alignment horizontal="right" wrapText="1"/>
    </xf>
    <xf numFmtId="3" fontId="3" fillId="0" borderId="1" xfId="43" applyNumberFormat="1" applyFont="1" applyFill="1" applyBorder="1" applyAlignment="1">
      <alignment horizontal="right" wrapText="1"/>
    </xf>
    <xf numFmtId="3" fontId="3" fillId="33" borderId="19" xfId="43" applyNumberFormat="1" applyFont="1" applyFill="1" applyBorder="1" applyAlignment="1">
      <alignment horizontal="right"/>
    </xf>
    <xf numFmtId="0" fontId="30" fillId="21" borderId="1" xfId="0" applyFont="1" applyFill="1" applyBorder="1" applyAlignment="1" applyProtection="1"/>
    <xf numFmtId="0" fontId="30" fillId="21" borderId="1" xfId="0" applyFont="1" applyFill="1" applyBorder="1" applyAlignment="1" applyProtection="1">
      <alignment wrapText="1"/>
    </xf>
    <xf numFmtId="3" fontId="73" fillId="0" borderId="1" xfId="43" applyNumberFormat="1" applyFont="1" applyFill="1" applyBorder="1" applyAlignment="1">
      <alignment horizontal="right" wrapText="1"/>
    </xf>
    <xf numFmtId="3" fontId="72" fillId="0" borderId="1" xfId="43" applyNumberFormat="1" applyFont="1" applyFill="1" applyBorder="1" applyAlignment="1">
      <alignment horizontal="right" wrapText="1"/>
    </xf>
    <xf numFmtId="0" fontId="5" fillId="0" borderId="1" xfId="43" applyFont="1" applyBorder="1" applyAlignment="1">
      <alignment horizontal="right" wrapText="1"/>
    </xf>
    <xf numFmtId="3" fontId="5" fillId="0" borderId="1" xfId="43" applyNumberFormat="1" applyFont="1" applyBorder="1" applyAlignment="1">
      <alignment horizontal="right" wrapText="1"/>
    </xf>
    <xf numFmtId="167" fontId="5" fillId="0" borderId="1" xfId="98" applyNumberFormat="1" applyFont="1" applyBorder="1" applyAlignment="1">
      <alignment horizontal="right" wrapText="1"/>
    </xf>
    <xf numFmtId="3" fontId="72" fillId="0" borderId="1" xfId="43" applyNumberFormat="1" applyFont="1" applyBorder="1" applyAlignment="1">
      <alignment horizontal="right" wrapText="1"/>
    </xf>
    <xf numFmtId="3" fontId="73" fillId="0" borderId="1" xfId="43" applyNumberFormat="1" applyFont="1" applyBorder="1" applyAlignment="1">
      <alignment horizontal="right" wrapText="1"/>
    </xf>
    <xf numFmtId="3" fontId="3" fillId="0" borderId="1" xfId="43" applyNumberFormat="1" applyFont="1" applyBorder="1" applyAlignment="1">
      <alignment horizontal="right" wrapText="1"/>
    </xf>
    <xf numFmtId="3" fontId="5" fillId="0" borderId="1" xfId="43" applyNumberFormat="1" applyFont="1" applyBorder="1" applyAlignment="1">
      <alignment horizontal="right"/>
    </xf>
    <xf numFmtId="167" fontId="5" fillId="0" borderId="1" xfId="98" applyNumberFormat="1" applyFont="1" applyBorder="1" applyAlignment="1">
      <alignment horizontal="right"/>
    </xf>
    <xf numFmtId="167" fontId="3" fillId="0" borderId="21" xfId="98" applyNumberFormat="1" applyFont="1" applyBorder="1" applyAlignment="1">
      <alignment horizontal="right"/>
    </xf>
    <xf numFmtId="167" fontId="5" fillId="0" borderId="0" xfId="98" applyNumberFormat="1" applyFont="1"/>
    <xf numFmtId="0" fontId="5" fillId="0" borderId="0" xfId="43" applyFont="1" applyAlignment="1">
      <alignment horizontal="center" vertical="center"/>
    </xf>
    <xf numFmtId="0" fontId="73" fillId="0" borderId="1" xfId="43" applyFont="1" applyBorder="1" applyAlignment="1">
      <alignment horizontal="center" vertical="center"/>
    </xf>
    <xf numFmtId="0" fontId="5" fillId="0" borderId="18" xfId="43" applyFont="1" applyBorder="1"/>
    <xf numFmtId="0" fontId="5" fillId="0" borderId="1" xfId="43" applyFont="1" applyBorder="1"/>
    <xf numFmtId="3" fontId="5" fillId="0" borderId="1" xfId="43" applyNumberFormat="1" applyFont="1" applyBorder="1"/>
    <xf numFmtId="3" fontId="3" fillId="32" borderId="1" xfId="43" applyNumberFormat="1" applyFont="1" applyFill="1" applyBorder="1"/>
    <xf numFmtId="3" fontId="5" fillId="0" borderId="1" xfId="43" applyNumberFormat="1" applyFont="1" applyFill="1" applyBorder="1"/>
    <xf numFmtId="3" fontId="3" fillId="33" borderId="19" xfId="43" applyNumberFormat="1" applyFont="1" applyFill="1" applyBorder="1"/>
    <xf numFmtId="0" fontId="5" fillId="0" borderId="20" xfId="43" applyFont="1" applyBorder="1"/>
    <xf numFmtId="0" fontId="29" fillId="21" borderId="21" xfId="0" applyFont="1" applyFill="1" applyBorder="1" applyAlignment="1" applyProtection="1"/>
    <xf numFmtId="0" fontId="5" fillId="0" borderId="21" xfId="43" applyFont="1" applyBorder="1"/>
    <xf numFmtId="3" fontId="3" fillId="0" borderId="21" xfId="43" applyNumberFormat="1" applyFont="1" applyBorder="1"/>
    <xf numFmtId="3" fontId="3" fillId="32" borderId="21" xfId="43" applyNumberFormat="1" applyFont="1" applyFill="1" applyBorder="1"/>
    <xf numFmtId="3" fontId="3" fillId="33" borderId="22" xfId="43" applyNumberFormat="1" applyFont="1" applyFill="1" applyBorder="1"/>
    <xf numFmtId="0" fontId="3" fillId="0" borderId="1" xfId="43" applyFont="1" applyBorder="1"/>
    <xf numFmtId="0" fontId="3" fillId="34" borderId="21" xfId="43" applyFont="1" applyFill="1" applyBorder="1"/>
    <xf numFmtId="49" fontId="5" fillId="0" borderId="0" xfId="43" applyNumberFormat="1" applyFont="1"/>
    <xf numFmtId="49" fontId="5" fillId="0" borderId="38" xfId="43" applyNumberFormat="1" applyFont="1" applyBorder="1"/>
    <xf numFmtId="49" fontId="5" fillId="0" borderId="8" xfId="43" applyNumberFormat="1" applyFont="1" applyBorder="1" applyAlignment="1">
      <alignment vertical="center"/>
    </xf>
    <xf numFmtId="0" fontId="30" fillId="21" borderId="1" xfId="0" applyFont="1" applyFill="1" applyBorder="1" applyAlignment="1" applyProtection="1">
      <alignment vertical="center" wrapText="1"/>
    </xf>
    <xf numFmtId="0" fontId="5" fillId="0" borderId="1" xfId="43" applyFont="1" applyBorder="1" applyAlignment="1">
      <alignment vertical="center"/>
    </xf>
    <xf numFmtId="3" fontId="5" fillId="0" borderId="1" xfId="43" applyNumberFormat="1" applyFont="1" applyBorder="1" applyAlignment="1">
      <alignment vertical="center"/>
    </xf>
    <xf numFmtId="3" fontId="3" fillId="32" borderId="1" xfId="43" applyNumberFormat="1" applyFont="1" applyFill="1" applyBorder="1" applyAlignment="1">
      <alignment vertical="center"/>
    </xf>
    <xf numFmtId="3" fontId="5" fillId="0" borderId="1" xfId="43" applyNumberFormat="1" applyFont="1" applyFill="1" applyBorder="1" applyAlignment="1">
      <alignment vertical="center"/>
    </xf>
    <xf numFmtId="3" fontId="3" fillId="33" borderId="19" xfId="43" applyNumberFormat="1" applyFont="1" applyFill="1" applyBorder="1" applyAlignment="1">
      <alignment vertical="center"/>
    </xf>
    <xf numFmtId="0" fontId="5" fillId="0" borderId="0" xfId="43" applyFont="1" applyAlignment="1">
      <alignment vertical="center"/>
    </xf>
    <xf numFmtId="0" fontId="30" fillId="21" borderId="1" xfId="0" applyFont="1" applyFill="1" applyBorder="1" applyAlignment="1" applyProtection="1">
      <alignment vertical="center"/>
    </xf>
    <xf numFmtId="3" fontId="5" fillId="0" borderId="1" xfId="43" applyNumberFormat="1" applyFont="1" applyBorder="1" applyAlignment="1">
      <alignment horizontal="right" vertical="center"/>
    </xf>
    <xf numFmtId="3" fontId="5" fillId="0" borderId="1" xfId="43" applyNumberFormat="1" applyFont="1" applyFill="1" applyBorder="1" applyAlignment="1">
      <alignment horizontal="right" vertical="center"/>
    </xf>
    <xf numFmtId="49" fontId="5" fillId="0" borderId="8" xfId="43" applyNumberFormat="1" applyFont="1" applyFill="1" applyBorder="1" applyAlignment="1">
      <alignment vertical="center"/>
    </xf>
    <xf numFmtId="167" fontId="5" fillId="0" borderId="1" xfId="98" applyNumberFormat="1" applyFont="1" applyBorder="1" applyAlignment="1">
      <alignment horizontal="right" vertical="center" wrapText="1"/>
    </xf>
    <xf numFmtId="3" fontId="3" fillId="33" borderId="19" xfId="43" applyNumberFormat="1" applyFont="1" applyFill="1" applyBorder="1" applyAlignment="1">
      <alignment horizontal="right" vertical="center"/>
    </xf>
    <xf numFmtId="0" fontId="3" fillId="0" borderId="1" xfId="1" applyFont="1" applyBorder="1" applyAlignment="1">
      <alignment horizontal="center" vertical="center" wrapText="1"/>
    </xf>
    <xf numFmtId="49" fontId="30" fillId="0" borderId="18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left" vertical="center" wrapText="1"/>
    </xf>
    <xf numFmtId="0" fontId="34" fillId="0" borderId="4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right"/>
    </xf>
    <xf numFmtId="0" fontId="5" fillId="0" borderId="1" xfId="43" applyFont="1" applyFill="1" applyBorder="1" applyAlignment="1">
      <alignment wrapText="1"/>
    </xf>
    <xf numFmtId="3" fontId="3" fillId="0" borderId="0" xfId="1" applyNumberFormat="1" applyFont="1" applyBorder="1"/>
    <xf numFmtId="0" fontId="3" fillId="0" borderId="1" xfId="1" applyFont="1" applyBorder="1" applyAlignment="1">
      <alignment horizontal="center" vertical="center" wrapText="1"/>
    </xf>
    <xf numFmtId="0" fontId="73" fillId="0" borderId="1" xfId="43" applyFont="1" applyBorder="1" applyAlignment="1">
      <alignment horizontal="center" vertical="center" wrapText="1"/>
    </xf>
    <xf numFmtId="3" fontId="29" fillId="0" borderId="42" xfId="0" applyNumberFormat="1" applyFont="1" applyBorder="1"/>
    <xf numFmtId="3" fontId="29" fillId="0" borderId="1" xfId="0" applyNumberFormat="1" applyFont="1" applyFill="1" applyBorder="1"/>
    <xf numFmtId="0" fontId="3" fillId="0" borderId="19" xfId="1" applyFont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right" vertical="center" wrapText="1"/>
    </xf>
    <xf numFmtId="0" fontId="2" fillId="0" borderId="20" xfId="1" applyFont="1" applyFill="1" applyBorder="1" applyAlignment="1">
      <alignment horizontal="right" vertical="center" wrapText="1"/>
    </xf>
    <xf numFmtId="3" fontId="3" fillId="0" borderId="21" xfId="1" applyNumberFormat="1" applyFont="1" applyBorder="1"/>
    <xf numFmtId="3" fontId="29" fillId="0" borderId="21" xfId="0" applyNumberFormat="1" applyFont="1" applyBorder="1"/>
    <xf numFmtId="3" fontId="29" fillId="0" borderId="21" xfId="0" applyNumberFormat="1" applyFont="1" applyFill="1" applyBorder="1"/>
    <xf numFmtId="3" fontId="29" fillId="0" borderId="22" xfId="0" applyNumberFormat="1" applyFont="1" applyBorder="1"/>
    <xf numFmtId="0" fontId="3" fillId="0" borderId="8" xfId="1" applyFont="1" applyBorder="1" applyAlignment="1">
      <alignment horizontal="center" vertical="center" wrapText="1"/>
    </xf>
    <xf numFmtId="3" fontId="29" fillId="0" borderId="38" xfId="0" applyNumberFormat="1" applyFont="1" applyBorder="1"/>
    <xf numFmtId="0" fontId="3" fillId="0" borderId="18" xfId="1" applyFont="1" applyBorder="1" applyAlignment="1">
      <alignment horizontal="center" vertical="center" wrapText="1"/>
    </xf>
    <xf numFmtId="3" fontId="3" fillId="0" borderId="25" xfId="1" applyNumberFormat="1" applyFont="1" applyBorder="1"/>
    <xf numFmtId="3" fontId="3" fillId="0" borderId="26" xfId="1" applyNumberFormat="1" applyFont="1" applyBorder="1"/>
    <xf numFmtId="3" fontId="3" fillId="0" borderId="20" xfId="1" applyNumberFormat="1" applyFont="1" applyBorder="1"/>
    <xf numFmtId="3" fontId="3" fillId="0" borderId="22" xfId="1" applyNumberFormat="1" applyFont="1" applyBorder="1"/>
    <xf numFmtId="3" fontId="30" fillId="0" borderId="1" xfId="0" applyNumberFormat="1" applyFont="1" applyBorder="1" applyAlignment="1">
      <alignment horizontal="right" wrapText="1"/>
    </xf>
    <xf numFmtId="3" fontId="30" fillId="0" borderId="1" xfId="0" applyNumberFormat="1" applyFont="1" applyBorder="1" applyAlignment="1">
      <alignment horizontal="right"/>
    </xf>
    <xf numFmtId="3" fontId="29" fillId="0" borderId="1" xfId="0" applyNumberFormat="1" applyFont="1" applyBorder="1" applyAlignment="1">
      <alignment horizontal="right" vertical="center"/>
    </xf>
    <xf numFmtId="3" fontId="29" fillId="0" borderId="9" xfId="0" applyNumberFormat="1" applyFont="1" applyBorder="1"/>
    <xf numFmtId="3" fontId="29" fillId="0" borderId="36" xfId="0" applyNumberFormat="1" applyFont="1" applyBorder="1"/>
    <xf numFmtId="3" fontId="29" fillId="0" borderId="61" xfId="0" applyNumberFormat="1" applyFont="1" applyBorder="1"/>
    <xf numFmtId="0" fontId="2" fillId="0" borderId="23" xfId="1" applyFont="1" applyFill="1" applyBorder="1" applyAlignment="1">
      <alignment horizontal="right" vertical="center"/>
    </xf>
    <xf numFmtId="3" fontId="29" fillId="0" borderId="24" xfId="0" applyNumberFormat="1" applyFont="1" applyBorder="1"/>
    <xf numFmtId="3" fontId="30" fillId="0" borderId="28" xfId="0" applyNumberFormat="1" applyFont="1" applyBorder="1"/>
    <xf numFmtId="0" fontId="2" fillId="0" borderId="31" xfId="1" applyFont="1" applyFill="1" applyBorder="1" applyAlignment="1">
      <alignment horizontal="right" vertical="center"/>
    </xf>
    <xf numFmtId="3" fontId="29" fillId="0" borderId="30" xfId="0" applyNumberFormat="1" applyFont="1" applyBorder="1"/>
    <xf numFmtId="0" fontId="6" fillId="0" borderId="48" xfId="1" applyFont="1" applyFill="1" applyBorder="1" applyAlignment="1">
      <alignment horizontal="right" vertical="center"/>
    </xf>
    <xf numFmtId="3" fontId="31" fillId="0" borderId="56" xfId="0" applyNumberFormat="1" applyFont="1" applyBorder="1"/>
    <xf numFmtId="0" fontId="4" fillId="0" borderId="31" xfId="1" applyFont="1" applyFill="1" applyBorder="1" applyAlignment="1">
      <alignment horizontal="right" vertical="center"/>
    </xf>
    <xf numFmtId="3" fontId="30" fillId="0" borderId="30" xfId="0" applyNumberFormat="1" applyFont="1" applyBorder="1"/>
    <xf numFmtId="0" fontId="6" fillId="0" borderId="18" xfId="1" applyFont="1" applyFill="1" applyBorder="1" applyAlignment="1">
      <alignment horizontal="right" vertical="center"/>
    </xf>
    <xf numFmtId="3" fontId="31" fillId="0" borderId="19" xfId="0" applyNumberFormat="1" applyFont="1" applyBorder="1"/>
    <xf numFmtId="3" fontId="30" fillId="0" borderId="52" xfId="0" applyNumberFormat="1" applyFont="1" applyBorder="1"/>
    <xf numFmtId="0" fontId="2" fillId="0" borderId="82" xfId="1" applyFont="1" applyFill="1" applyBorder="1" applyAlignment="1">
      <alignment horizontal="right" vertical="center"/>
    </xf>
    <xf numFmtId="3" fontId="29" fillId="0" borderId="99" xfId="0" applyNumberFormat="1" applyFont="1" applyBorder="1"/>
    <xf numFmtId="0" fontId="2" fillId="0" borderId="100" xfId="1" applyFont="1" applyFill="1" applyBorder="1" applyAlignment="1">
      <alignment horizontal="right" vertical="center" wrapText="1"/>
    </xf>
    <xf numFmtId="3" fontId="29" fillId="0" borderId="54" xfId="0" applyNumberFormat="1" applyFont="1" applyBorder="1"/>
    <xf numFmtId="3" fontId="29" fillId="0" borderId="101" xfId="0" applyNumberFormat="1" applyFont="1" applyBorder="1"/>
    <xf numFmtId="3" fontId="29" fillId="0" borderId="55" xfId="0" applyNumberFormat="1" applyFont="1" applyBorder="1"/>
    <xf numFmtId="164" fontId="6" fillId="0" borderId="56" xfId="1" applyNumberFormat="1" applyFont="1" applyFill="1" applyBorder="1" applyAlignment="1">
      <alignment horizontal="left" vertical="center" wrapText="1"/>
    </xf>
    <xf numFmtId="0" fontId="6" fillId="0" borderId="28" xfId="1" applyFont="1" applyFill="1" applyBorder="1" applyAlignment="1">
      <alignment horizontal="left" vertical="center" wrapText="1"/>
    </xf>
    <xf numFmtId="0" fontId="2" fillId="0" borderId="28" xfId="1" applyFont="1" applyFill="1" applyBorder="1" applyAlignment="1">
      <alignment horizontal="left" vertical="center" wrapText="1"/>
    </xf>
    <xf numFmtId="3" fontId="29" fillId="0" borderId="23" xfId="0" applyNumberFormat="1" applyFont="1" applyBorder="1"/>
    <xf numFmtId="3" fontId="5" fillId="0" borderId="47" xfId="1" applyNumberFormat="1" applyFont="1" applyBorder="1"/>
    <xf numFmtId="3" fontId="5" fillId="0" borderId="18" xfId="1" applyNumberFormat="1" applyFont="1" applyBorder="1"/>
    <xf numFmtId="3" fontId="5" fillId="0" borderId="19" xfId="1" applyNumberFormat="1" applyFont="1" applyBorder="1"/>
    <xf numFmtId="3" fontId="31" fillId="0" borderId="28" xfId="0" applyNumberFormat="1" applyFont="1" applyBorder="1"/>
    <xf numFmtId="3" fontId="29" fillId="0" borderId="31" xfId="0" applyNumberFormat="1" applyFont="1" applyBorder="1"/>
    <xf numFmtId="3" fontId="30" fillId="0" borderId="31" xfId="0" applyNumberFormat="1" applyFont="1" applyBorder="1"/>
    <xf numFmtId="3" fontId="30" fillId="0" borderId="47" xfId="0" applyNumberFormat="1" applyFont="1" applyBorder="1"/>
    <xf numFmtId="3" fontId="30" fillId="0" borderId="44" xfId="0" applyNumberFormat="1" applyFont="1" applyBorder="1"/>
    <xf numFmtId="3" fontId="29" fillId="0" borderId="82" xfId="0" applyNumberFormat="1" applyFont="1" applyBorder="1"/>
    <xf numFmtId="3" fontId="29" fillId="0" borderId="100" xfId="0" applyNumberFormat="1" applyFont="1" applyBorder="1"/>
    <xf numFmtId="3" fontId="29" fillId="0" borderId="14" xfId="0" applyNumberFormat="1" applyFont="1" applyBorder="1" applyAlignment="1">
      <alignment vertical="center" wrapText="1"/>
    </xf>
    <xf numFmtId="49" fontId="5" fillId="0" borderId="18" xfId="0" applyNumberFormat="1" applyFont="1" applyFill="1" applyBorder="1" applyAlignment="1">
      <alignment vertical="center" wrapText="1"/>
    </xf>
    <xf numFmtId="3" fontId="30" fillId="0" borderId="19" xfId="0" applyNumberFormat="1" applyFont="1" applyBorder="1" applyAlignment="1">
      <alignment vertical="center" wrapText="1"/>
    </xf>
    <xf numFmtId="3" fontId="31" fillId="0" borderId="19" xfId="0" applyNumberFormat="1" applyFont="1" applyBorder="1" applyAlignment="1">
      <alignment vertical="center" wrapText="1"/>
    </xf>
    <xf numFmtId="49" fontId="30" fillId="0" borderId="20" xfId="0" applyNumberFormat="1" applyFont="1" applyBorder="1" applyAlignment="1">
      <alignment vertical="center" wrapText="1"/>
    </xf>
    <xf numFmtId="0" fontId="30" fillId="0" borderId="21" xfId="0" applyFont="1" applyBorder="1" applyAlignment="1">
      <alignment vertical="center" wrapText="1"/>
    </xf>
    <xf numFmtId="3" fontId="30" fillId="0" borderId="21" xfId="0" applyNumberFormat="1" applyFont="1" applyBorder="1" applyAlignment="1">
      <alignment vertical="center" wrapText="1"/>
    </xf>
    <xf numFmtId="3" fontId="31" fillId="0" borderId="21" xfId="0" applyNumberFormat="1" applyFont="1" applyBorder="1" applyAlignment="1">
      <alignment vertical="center" wrapText="1"/>
    </xf>
    <xf numFmtId="3" fontId="31" fillId="0" borderId="22" xfId="0" applyNumberFormat="1" applyFont="1" applyBorder="1" applyAlignment="1">
      <alignment vertical="center" wrapText="1"/>
    </xf>
    <xf numFmtId="0" fontId="3" fillId="0" borderId="3" xfId="1" applyFont="1" applyBorder="1" applyAlignment="1">
      <alignment horizontal="center" vertical="center" wrapText="1"/>
    </xf>
    <xf numFmtId="3" fontId="30" fillId="0" borderId="3" xfId="0" applyNumberFormat="1" applyFont="1" applyBorder="1" applyAlignment="1">
      <alignment vertical="center" wrapText="1"/>
    </xf>
    <xf numFmtId="3" fontId="31" fillId="0" borderId="3" xfId="0" applyNumberFormat="1" applyFont="1" applyBorder="1" applyAlignment="1">
      <alignment vertical="center" wrapText="1"/>
    </xf>
    <xf numFmtId="3" fontId="31" fillId="0" borderId="10" xfId="0" applyNumberFormat="1" applyFont="1" applyBorder="1" applyAlignment="1">
      <alignment vertical="center" wrapText="1"/>
    </xf>
    <xf numFmtId="3" fontId="30" fillId="0" borderId="32" xfId="0" applyNumberFormat="1" applyFont="1" applyBorder="1" applyAlignment="1">
      <alignment vertical="center" wrapText="1"/>
    </xf>
    <xf numFmtId="3" fontId="3" fillId="0" borderId="18" xfId="1" applyNumberFormat="1" applyFont="1" applyBorder="1" applyAlignment="1">
      <alignment horizontal="center" vertical="center" wrapText="1"/>
    </xf>
    <xf numFmtId="3" fontId="30" fillId="0" borderId="18" xfId="0" applyNumberFormat="1" applyFont="1" applyBorder="1" applyAlignment="1">
      <alignment vertical="center" wrapText="1"/>
    </xf>
    <xf numFmtId="3" fontId="31" fillId="0" borderId="18" xfId="0" applyNumberFormat="1" applyFont="1" applyBorder="1" applyAlignment="1">
      <alignment vertical="center" wrapText="1"/>
    </xf>
    <xf numFmtId="3" fontId="31" fillId="0" borderId="20" xfId="0" applyNumberFormat="1" applyFont="1" applyBorder="1" applyAlignment="1">
      <alignment vertical="center" wrapText="1"/>
    </xf>
    <xf numFmtId="3" fontId="29" fillId="0" borderId="12" xfId="0" applyNumberFormat="1" applyFont="1" applyBorder="1" applyAlignment="1">
      <alignment vertical="center" wrapText="1"/>
    </xf>
    <xf numFmtId="0" fontId="31" fillId="0" borderId="0" xfId="0" applyFont="1" applyBorder="1" applyAlignment="1">
      <alignment horizontal="left"/>
    </xf>
    <xf numFmtId="0" fontId="0" fillId="0" borderId="0" xfId="0" applyFill="1" applyBorder="1"/>
    <xf numFmtId="0" fontId="5" fillId="0" borderId="25" xfId="1" applyFont="1" applyFill="1" applyBorder="1" applyAlignment="1">
      <alignment horizontal="right" vertical="center"/>
    </xf>
    <xf numFmtId="0" fontId="6" fillId="0" borderId="25" xfId="1" applyFont="1" applyFill="1" applyBorder="1" applyAlignment="1">
      <alignment horizontal="right" vertical="center"/>
    </xf>
    <xf numFmtId="0" fontId="7" fillId="0" borderId="25" xfId="0" applyFont="1" applyFill="1" applyBorder="1" applyAlignment="1">
      <alignment horizontal="right" vertical="center" wrapText="1"/>
    </xf>
    <xf numFmtId="0" fontId="4" fillId="0" borderId="25" xfId="0" applyFont="1" applyFill="1" applyBorder="1" applyAlignment="1">
      <alignment horizontal="right" vertical="center" wrapText="1"/>
    </xf>
    <xf numFmtId="0" fontId="2" fillId="0" borderId="18" xfId="0" applyFont="1" applyFill="1" applyBorder="1" applyAlignment="1">
      <alignment horizontal="right" vertical="center" wrapText="1"/>
    </xf>
    <xf numFmtId="0" fontId="2" fillId="0" borderId="20" xfId="0" applyFont="1" applyFill="1" applyBorder="1" applyAlignment="1">
      <alignment horizontal="right" vertical="center" wrapText="1"/>
    </xf>
    <xf numFmtId="0" fontId="3" fillId="0" borderId="21" xfId="0" applyFont="1" applyFill="1" applyBorder="1" applyAlignment="1">
      <alignment horizontal="left" vertical="center"/>
    </xf>
    <xf numFmtId="0" fontId="36" fillId="31" borderId="1" xfId="0" applyFont="1" applyFill="1" applyBorder="1"/>
    <xf numFmtId="1" fontId="34" fillId="0" borderId="4" xfId="0" applyNumberFormat="1" applyFont="1" applyBorder="1"/>
    <xf numFmtId="1" fontId="34" fillId="0" borderId="3" xfId="0" applyNumberFormat="1" applyFont="1" applyFill="1" applyBorder="1"/>
    <xf numFmtId="0" fontId="34" fillId="0" borderId="4" xfId="0" applyFont="1" applyFill="1" applyBorder="1"/>
    <xf numFmtId="1" fontId="34" fillId="0" borderId="8" xfId="0" applyNumberFormat="1" applyFont="1" applyFill="1" applyBorder="1"/>
    <xf numFmtId="0" fontId="34" fillId="0" borderId="3" xfId="0" applyFont="1" applyFill="1" applyBorder="1"/>
    <xf numFmtId="0" fontId="34" fillId="0" borderId="8" xfId="0" applyFont="1" applyFill="1" applyBorder="1"/>
    <xf numFmtId="1" fontId="34" fillId="0" borderId="4" xfId="0" applyNumberFormat="1" applyFont="1" applyFill="1" applyBorder="1"/>
    <xf numFmtId="0" fontId="34" fillId="0" borderId="4" xfId="0" applyFont="1" applyBorder="1"/>
    <xf numFmtId="1" fontId="34" fillId="0" borderId="8" xfId="0" applyNumberFormat="1" applyFont="1" applyBorder="1"/>
    <xf numFmtId="3" fontId="5" fillId="0" borderId="0" xfId="43" applyNumberFormat="1" applyFont="1"/>
    <xf numFmtId="0" fontId="5" fillId="31" borderId="18" xfId="43" applyFont="1" applyFill="1" applyBorder="1" applyAlignment="1">
      <alignment horizontal="center" vertical="center"/>
    </xf>
    <xf numFmtId="3" fontId="3" fillId="0" borderId="21" xfId="43" applyNumberFormat="1" applyFont="1" applyBorder="1" applyAlignment="1">
      <alignment vertical="center"/>
    </xf>
    <xf numFmtId="3" fontId="3" fillId="31" borderId="21" xfId="43" applyNumberFormat="1" applyFont="1" applyFill="1" applyBorder="1" applyAlignment="1">
      <alignment vertical="center"/>
    </xf>
    <xf numFmtId="3" fontId="3" fillId="32" borderId="21" xfId="43" applyNumberFormat="1" applyFont="1" applyFill="1" applyBorder="1" applyAlignment="1">
      <alignment vertical="center"/>
    </xf>
    <xf numFmtId="3" fontId="3" fillId="33" borderId="22" xfId="43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vertical="center" wrapText="1"/>
    </xf>
    <xf numFmtId="3" fontId="30" fillId="0" borderId="1" xfId="0" applyNumberFormat="1" applyFont="1" applyBorder="1" applyAlignment="1">
      <alignment wrapText="1"/>
    </xf>
    <xf numFmtId="0" fontId="30" fillId="0" borderId="1" xfId="0" applyFont="1" applyBorder="1" applyAlignment="1">
      <alignment wrapText="1"/>
    </xf>
    <xf numFmtId="0" fontId="5" fillId="0" borderId="18" xfId="0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29" fillId="0" borderId="1" xfId="0" applyNumberFormat="1" applyFont="1" applyBorder="1" applyAlignment="1">
      <alignment wrapText="1"/>
    </xf>
    <xf numFmtId="0" fontId="29" fillId="0" borderId="1" xfId="0" applyFont="1" applyBorder="1" applyAlignment="1">
      <alignment wrapText="1"/>
    </xf>
    <xf numFmtId="3" fontId="6" fillId="0" borderId="1" xfId="0" applyNumberFormat="1" applyFont="1" applyFill="1" applyBorder="1" applyAlignment="1">
      <alignment vertical="center" wrapText="1"/>
    </xf>
    <xf numFmtId="0" fontId="30" fillId="0" borderId="0" xfId="0" applyFont="1" applyBorder="1" applyAlignment="1">
      <alignment horizontal="right" wrapText="1"/>
    </xf>
    <xf numFmtId="0" fontId="30" fillId="0" borderId="0" xfId="0" applyFont="1" applyBorder="1" applyAlignment="1">
      <alignment wrapText="1"/>
    </xf>
    <xf numFmtId="3" fontId="30" fillId="0" borderId="0" xfId="0" applyNumberFormat="1" applyFont="1" applyBorder="1" applyAlignment="1">
      <alignment wrapText="1"/>
    </xf>
    <xf numFmtId="3" fontId="30" fillId="0" borderId="1" xfId="98" applyNumberFormat="1" applyFont="1" applyBorder="1" applyAlignment="1">
      <alignment wrapText="1"/>
    </xf>
    <xf numFmtId="3" fontId="29" fillId="0" borderId="1" xfId="98" applyNumberFormat="1" applyFont="1" applyBorder="1" applyAlignment="1">
      <alignment wrapText="1"/>
    </xf>
    <xf numFmtId="3" fontId="30" fillId="0" borderId="0" xfId="98" applyNumberFormat="1" applyFont="1" applyBorder="1" applyAlignment="1">
      <alignment wrapText="1"/>
    </xf>
    <xf numFmtId="3" fontId="5" fillId="0" borderId="1" xfId="1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horizontal="right" vertical="center"/>
    </xf>
    <xf numFmtId="0" fontId="7" fillId="0" borderId="1" xfId="1" applyFont="1" applyBorder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0" fontId="0" fillId="0" borderId="0" xfId="0" applyAlignment="1"/>
    <xf numFmtId="3" fontId="3" fillId="0" borderId="1" xfId="1" applyNumberFormat="1" applyFont="1" applyBorder="1" applyAlignment="1">
      <alignment horizontal="right" vertical="center"/>
    </xf>
    <xf numFmtId="0" fontId="3" fillId="0" borderId="1" xfId="1" applyFont="1" applyBorder="1" applyAlignment="1">
      <alignment horizontal="right" vertical="center"/>
    </xf>
    <xf numFmtId="0" fontId="5" fillId="0" borderId="1" xfId="1" applyFont="1" applyBorder="1" applyAlignment="1">
      <alignment horizontal="right" vertical="center"/>
    </xf>
    <xf numFmtId="0" fontId="5" fillId="0" borderId="23" xfId="42" applyFont="1" applyBorder="1" applyAlignment="1">
      <alignment vertical="center"/>
    </xf>
    <xf numFmtId="3" fontId="4" fillId="0" borderId="9" xfId="42" applyNumberFormat="1" applyFont="1" applyBorder="1" applyAlignment="1">
      <alignment horizontal="right"/>
    </xf>
    <xf numFmtId="3" fontId="4" fillId="0" borderId="56" xfId="42" applyNumberFormat="1" applyFont="1" applyBorder="1" applyAlignment="1">
      <alignment horizontal="right"/>
    </xf>
    <xf numFmtId="3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70" fillId="0" borderId="19" xfId="0" applyNumberFormat="1" applyFont="1" applyFill="1" applyBorder="1" applyAlignment="1" applyProtection="1">
      <alignment vertical="center" wrapText="1"/>
      <protection locked="0"/>
    </xf>
    <xf numFmtId="3" fontId="3" fillId="0" borderId="2" xfId="0" applyNumberFormat="1" applyFont="1" applyFill="1" applyBorder="1" applyAlignment="1" applyProtection="1">
      <alignment vertical="center" wrapText="1"/>
      <protection locked="0"/>
    </xf>
    <xf numFmtId="3" fontId="3" fillId="0" borderId="24" xfId="0" applyNumberFormat="1" applyFont="1" applyFill="1" applyBorder="1" applyAlignment="1" applyProtection="1">
      <alignment vertical="center" wrapText="1"/>
      <protection locked="0"/>
    </xf>
    <xf numFmtId="3" fontId="3" fillId="0" borderId="14" xfId="0" applyNumberFormat="1" applyFont="1" applyFill="1" applyBorder="1" applyAlignment="1" applyProtection="1">
      <alignment vertical="center" wrapText="1"/>
    </xf>
    <xf numFmtId="3" fontId="30" fillId="0" borderId="19" xfId="0" applyNumberFormat="1" applyFont="1" applyFill="1" applyBorder="1" applyAlignment="1" applyProtection="1">
      <alignment vertical="center" wrapText="1"/>
      <protection locked="0"/>
    </xf>
    <xf numFmtId="3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" xfId="1" applyFont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left" vertical="center" wrapText="1"/>
    </xf>
    <xf numFmtId="0" fontId="73" fillId="0" borderId="1" xfId="43" applyFont="1" applyBorder="1" applyAlignment="1">
      <alignment horizontal="center" vertical="center" wrapText="1"/>
    </xf>
    <xf numFmtId="0" fontId="69" fillId="0" borderId="16" xfId="0" applyFont="1" applyBorder="1" applyAlignment="1">
      <alignment horizontal="center" vertical="center"/>
    </xf>
    <xf numFmtId="167" fontId="29" fillId="0" borderId="38" xfId="98" applyNumberFormat="1" applyFont="1" applyBorder="1"/>
    <xf numFmtId="167" fontId="29" fillId="0" borderId="21" xfId="98" applyNumberFormat="1" applyFont="1" applyBorder="1"/>
    <xf numFmtId="167" fontId="29" fillId="0" borderId="22" xfId="98" applyNumberFormat="1" applyFont="1" applyBorder="1"/>
    <xf numFmtId="167" fontId="29" fillId="0" borderId="8" xfId="98" applyNumberFormat="1" applyFont="1" applyBorder="1"/>
    <xf numFmtId="167" fontId="29" fillId="0" borderId="19" xfId="98" applyNumberFormat="1" applyFont="1" applyBorder="1"/>
    <xf numFmtId="167" fontId="3" fillId="0" borderId="20" xfId="98" applyNumberFormat="1" applyFont="1" applyBorder="1"/>
    <xf numFmtId="167" fontId="3" fillId="0" borderId="38" xfId="98" applyNumberFormat="1" applyFont="1" applyBorder="1"/>
    <xf numFmtId="167" fontId="3" fillId="0" borderId="21" xfId="98" applyNumberFormat="1" applyFont="1" applyBorder="1"/>
    <xf numFmtId="167" fontId="3" fillId="0" borderId="21" xfId="98" applyNumberFormat="1" applyFont="1" applyFill="1" applyBorder="1" applyAlignment="1">
      <alignment horizontal="right"/>
    </xf>
    <xf numFmtId="167" fontId="3" fillId="33" borderId="19" xfId="98" applyNumberFormat="1" applyFont="1" applyFill="1" applyBorder="1" applyAlignment="1">
      <alignment horizontal="right"/>
    </xf>
    <xf numFmtId="167" fontId="3" fillId="0" borderId="0" xfId="98" applyNumberFormat="1" applyFont="1"/>
    <xf numFmtId="3" fontId="5" fillId="0" borderId="8" xfId="43" applyNumberFormat="1" applyFont="1" applyFill="1" applyBorder="1" applyAlignment="1">
      <alignment horizontal="right"/>
    </xf>
    <xf numFmtId="167" fontId="3" fillId="0" borderId="38" xfId="98" applyNumberFormat="1" applyFont="1" applyFill="1" applyBorder="1" applyAlignment="1">
      <alignment horizontal="right"/>
    </xf>
    <xf numFmtId="167" fontId="3" fillId="33" borderId="22" xfId="98" applyNumberFormat="1" applyFont="1" applyFill="1" applyBorder="1" applyAlignment="1">
      <alignment horizontal="right"/>
    </xf>
    <xf numFmtId="167" fontId="3" fillId="0" borderId="1" xfId="98" applyNumberFormat="1" applyFont="1" applyFill="1" applyBorder="1" applyAlignment="1">
      <alignment horizontal="right" wrapText="1"/>
    </xf>
    <xf numFmtId="167" fontId="5" fillId="0" borderId="1" xfId="98" applyNumberFormat="1" applyFont="1" applyFill="1" applyBorder="1" applyAlignment="1">
      <alignment horizontal="right" vertical="center" wrapText="1"/>
    </xf>
    <xf numFmtId="167" fontId="5" fillId="0" borderId="8" xfId="98" applyNumberFormat="1" applyFont="1" applyFill="1" applyBorder="1" applyAlignment="1">
      <alignment horizontal="right"/>
    </xf>
    <xf numFmtId="167" fontId="3" fillId="0" borderId="1" xfId="98" applyNumberFormat="1" applyFont="1" applyBorder="1" applyAlignment="1">
      <alignment horizontal="right" wrapText="1"/>
    </xf>
    <xf numFmtId="167" fontId="5" fillId="0" borderId="8" xfId="98" applyNumberFormat="1" applyFont="1" applyFill="1" applyBorder="1" applyAlignment="1">
      <alignment horizontal="right" vertical="center"/>
    </xf>
    <xf numFmtId="167" fontId="3" fillId="0" borderId="1" xfId="98" applyNumberFormat="1" applyFont="1" applyBorder="1" applyAlignment="1">
      <alignment horizontal="right" vertical="center" wrapText="1"/>
    </xf>
    <xf numFmtId="0" fontId="34" fillId="31" borderId="1" xfId="0" applyFont="1" applyFill="1" applyBorder="1"/>
    <xf numFmtId="0" fontId="36" fillId="31" borderId="8" xfId="0" applyFont="1" applyFill="1" applyBorder="1"/>
    <xf numFmtId="0" fontId="36" fillId="31" borderId="1" xfId="0" applyFont="1" applyFill="1" applyBorder="1" applyAlignment="1"/>
    <xf numFmtId="0" fontId="5" fillId="31" borderId="1" xfId="0" applyFont="1" applyFill="1" applyBorder="1"/>
    <xf numFmtId="0" fontId="3" fillId="31" borderId="1" xfId="0" applyFont="1" applyFill="1" applyBorder="1"/>
    <xf numFmtId="0" fontId="37" fillId="0" borderId="1" xfId="0" applyFont="1" applyBorder="1" applyAlignment="1">
      <alignment horizontal="right"/>
    </xf>
    <xf numFmtId="0" fontId="37" fillId="0" borderId="1" xfId="0" applyFont="1" applyFill="1" applyBorder="1" applyAlignment="1">
      <alignment horizontal="right"/>
    </xf>
    <xf numFmtId="0" fontId="37" fillId="0" borderId="1" xfId="0" applyFont="1" applyBorder="1" applyAlignment="1"/>
    <xf numFmtId="0" fontId="76" fillId="0" borderId="0" xfId="0" applyFont="1" applyAlignment="1">
      <alignment wrapText="1"/>
    </xf>
    <xf numFmtId="167" fontId="29" fillId="0" borderId="2" xfId="98" applyNumberFormat="1" applyFont="1" applyBorder="1" applyAlignment="1"/>
    <xf numFmtId="167" fontId="29" fillId="0" borderId="1" xfId="98" applyNumberFormat="1" applyFont="1" applyBorder="1" applyAlignment="1"/>
    <xf numFmtId="167" fontId="29" fillId="0" borderId="13" xfId="98" applyNumberFormat="1" applyFont="1" applyBorder="1" applyAlignment="1"/>
    <xf numFmtId="167" fontId="29" fillId="0" borderId="1" xfId="98" applyNumberFormat="1" applyFont="1" applyFill="1" applyBorder="1" applyAlignment="1"/>
    <xf numFmtId="167" fontId="30" fillId="0" borderId="6" xfId="98" applyNumberFormat="1" applyFont="1" applyBorder="1" applyAlignment="1"/>
    <xf numFmtId="167" fontId="30" fillId="0" borderId="5" xfId="98" applyNumberFormat="1" applyFont="1" applyBorder="1" applyAlignment="1"/>
    <xf numFmtId="167" fontId="30" fillId="0" borderId="1" xfId="98" applyNumberFormat="1" applyFont="1" applyBorder="1" applyAlignment="1"/>
    <xf numFmtId="167" fontId="30" fillId="0" borderId="4" xfId="98" applyNumberFormat="1" applyFont="1" applyBorder="1" applyAlignment="1"/>
    <xf numFmtId="167" fontId="30" fillId="0" borderId="11" xfId="98" applyNumberFormat="1" applyFont="1" applyBorder="1" applyAlignment="1"/>
    <xf numFmtId="167" fontId="30" fillId="0" borderId="8" xfId="98" applyNumberFormat="1" applyFont="1" applyBorder="1" applyAlignment="1"/>
    <xf numFmtId="167" fontId="30" fillId="0" borderId="36" xfId="98" applyNumberFormat="1" applyFont="1" applyBorder="1" applyAlignment="1"/>
    <xf numFmtId="167" fontId="30" fillId="0" borderId="9" xfId="98" applyNumberFormat="1" applyFont="1" applyBorder="1" applyAlignment="1"/>
    <xf numFmtId="167" fontId="30" fillId="0" borderId="0" xfId="98" applyNumberFormat="1" applyFont="1" applyBorder="1" applyAlignment="1"/>
    <xf numFmtId="167" fontId="29" fillId="0" borderId="0" xfId="98" applyNumberFormat="1" applyFont="1" applyBorder="1"/>
    <xf numFmtId="167" fontId="29" fillId="0" borderId="26" xfId="98" applyNumberFormat="1" applyFont="1" applyBorder="1"/>
    <xf numFmtId="167" fontId="30" fillId="0" borderId="8" xfId="98" applyNumberFormat="1" applyFont="1" applyBorder="1"/>
    <xf numFmtId="167" fontId="5" fillId="0" borderId="1" xfId="98" applyNumberFormat="1" applyFont="1" applyBorder="1"/>
    <xf numFmtId="167" fontId="3" fillId="0" borderId="1" xfId="98" applyNumberFormat="1" applyFont="1" applyBorder="1"/>
    <xf numFmtId="167" fontId="30" fillId="0" borderId="8" xfId="98" applyNumberFormat="1" applyFont="1" applyFill="1" applyBorder="1"/>
    <xf numFmtId="167" fontId="30" fillId="0" borderId="1" xfId="98" applyNumberFormat="1" applyFont="1" applyFill="1" applyBorder="1"/>
    <xf numFmtId="167" fontId="31" fillId="0" borderId="0" xfId="98" applyNumberFormat="1" applyFont="1" applyBorder="1"/>
    <xf numFmtId="167" fontId="7" fillId="0" borderId="0" xfId="98" applyNumberFormat="1" applyFont="1" applyFill="1" applyBorder="1" applyAlignment="1">
      <alignment vertical="center" wrapText="1"/>
    </xf>
    <xf numFmtId="167" fontId="30" fillId="0" borderId="19" xfId="98" applyNumberFormat="1" applyFont="1" applyBorder="1"/>
    <xf numFmtId="167" fontId="30" fillId="0" borderId="19" xfId="98" applyNumberFormat="1" applyFont="1" applyFill="1" applyBorder="1"/>
    <xf numFmtId="167" fontId="3" fillId="0" borderId="19" xfId="98" applyNumberFormat="1" applyFont="1" applyFill="1" applyBorder="1"/>
    <xf numFmtId="167" fontId="3" fillId="0" borderId="8" xfId="98" applyNumberFormat="1" applyFont="1" applyFill="1" applyBorder="1"/>
    <xf numFmtId="167" fontId="3" fillId="0" borderId="1" xfId="98" applyNumberFormat="1" applyFont="1" applyFill="1" applyBorder="1"/>
    <xf numFmtId="167" fontId="5" fillId="0" borderId="8" xfId="98" applyNumberFormat="1" applyFont="1" applyBorder="1"/>
    <xf numFmtId="167" fontId="5" fillId="0" borderId="19" xfId="98" applyNumberFormat="1" applyFont="1" applyBorder="1"/>
    <xf numFmtId="167" fontId="3" fillId="0" borderId="19" xfId="98" applyNumberFormat="1" applyFont="1" applyBorder="1"/>
    <xf numFmtId="167" fontId="3" fillId="0" borderId="8" xfId="98" applyNumberFormat="1" applyFont="1" applyBorder="1"/>
    <xf numFmtId="167" fontId="3" fillId="34" borderId="21" xfId="98" applyNumberFormat="1" applyFont="1" applyFill="1" applyBorder="1"/>
    <xf numFmtId="167" fontId="3" fillId="34" borderId="22" xfId="98" applyNumberFormat="1" applyFont="1" applyFill="1" applyBorder="1"/>
    <xf numFmtId="167" fontId="3" fillId="34" borderId="38" xfId="98" applyNumberFormat="1" applyFont="1" applyFill="1" applyBorder="1"/>
    <xf numFmtId="0" fontId="5" fillId="0" borderId="1" xfId="43" applyFont="1" applyFill="1" applyBorder="1"/>
    <xf numFmtId="0" fontId="4" fillId="0" borderId="3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4" fillId="0" borderId="26" xfId="1" applyFont="1" applyFill="1" applyBorder="1" applyAlignment="1">
      <alignment horizontal="left" vertical="center" wrapText="1"/>
    </xf>
    <xf numFmtId="0" fontId="4" fillId="0" borderId="28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26" xfId="1" applyFont="1" applyFill="1" applyBorder="1" applyAlignment="1">
      <alignment horizontal="left" vertical="center" wrapText="1"/>
    </xf>
    <xf numFmtId="3" fontId="77" fillId="0" borderId="1" xfId="43" applyNumberFormat="1" applyFont="1" applyBorder="1" applyAlignment="1">
      <alignment horizontal="right"/>
    </xf>
    <xf numFmtId="167" fontId="3" fillId="0" borderId="1" xfId="98" applyNumberFormat="1" applyFont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 wrapText="1"/>
    </xf>
    <xf numFmtId="164" fontId="6" fillId="0" borderId="0" xfId="1" applyNumberFormat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29" fillId="0" borderId="32" xfId="0" applyFont="1" applyBorder="1" applyAlignment="1">
      <alignment horizontal="left"/>
    </xf>
    <xf numFmtId="167" fontId="29" fillId="0" borderId="18" xfId="98" applyNumberFormat="1" applyFont="1" applyBorder="1"/>
    <xf numFmtId="167" fontId="29" fillId="0" borderId="25" xfId="98" applyNumberFormat="1" applyFont="1" applyBorder="1"/>
    <xf numFmtId="167" fontId="30" fillId="0" borderId="18" xfId="98" applyNumberFormat="1" applyFont="1" applyBorder="1"/>
    <xf numFmtId="167" fontId="30" fillId="0" borderId="18" xfId="98" applyNumberFormat="1" applyFont="1" applyFill="1" applyBorder="1"/>
    <xf numFmtId="167" fontId="29" fillId="0" borderId="20" xfId="98" applyNumberFormat="1" applyFont="1" applyBorder="1"/>
    <xf numFmtId="0" fontId="32" fillId="0" borderId="0" xfId="0" applyFont="1" applyAlignment="1">
      <alignment horizontal="center" vertical="center" wrapText="1"/>
    </xf>
    <xf numFmtId="0" fontId="71" fillId="0" borderId="0" xfId="0" applyFont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" fontId="11" fillId="0" borderId="0" xfId="2" applyNumberFormat="1" applyFont="1" applyFill="1" applyBorder="1" applyAlignment="1">
      <alignment horizontal="center"/>
    </xf>
    <xf numFmtId="3" fontId="12" fillId="0" borderId="0" xfId="2" applyNumberFormat="1" applyFont="1" applyFill="1" applyBorder="1" applyAlignment="1" applyProtection="1">
      <alignment horizontal="left" vertical="center"/>
    </xf>
    <xf numFmtId="3" fontId="11" fillId="0" borderId="0" xfId="2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19" fillId="0" borderId="0" xfId="0" applyFont="1" applyFill="1" applyAlignment="1">
      <alignment horizontal="center"/>
    </xf>
    <xf numFmtId="0" fontId="3" fillId="0" borderId="1" xfId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right"/>
    </xf>
    <xf numFmtId="0" fontId="2" fillId="0" borderId="15" xfId="42" applyFont="1" applyBorder="1" applyAlignment="1">
      <alignment horizontal="center"/>
    </xf>
    <xf numFmtId="0" fontId="2" fillId="0" borderId="62" xfId="42" applyFont="1" applyBorder="1" applyAlignment="1">
      <alignment horizontal="center"/>
    </xf>
    <xf numFmtId="0" fontId="2" fillId="0" borderId="16" xfId="42" applyFont="1" applyBorder="1" applyAlignment="1">
      <alignment horizontal="center"/>
    </xf>
    <xf numFmtId="0" fontId="2" fillId="0" borderId="17" xfId="42" applyFont="1" applyBorder="1" applyAlignment="1">
      <alignment horizontal="center"/>
    </xf>
    <xf numFmtId="0" fontId="2" fillId="0" borderId="59" xfId="42" applyFont="1" applyBorder="1" applyAlignment="1">
      <alignment horizontal="center"/>
    </xf>
    <xf numFmtId="0" fontId="2" fillId="0" borderId="50" xfId="42" applyFont="1" applyBorder="1" applyAlignment="1">
      <alignment horizontal="center"/>
    </xf>
    <xf numFmtId="0" fontId="2" fillId="0" borderId="60" xfId="42" applyFont="1" applyBorder="1" applyAlignment="1">
      <alignment horizontal="center"/>
    </xf>
    <xf numFmtId="0" fontId="5" fillId="0" borderId="37" xfId="50" applyFont="1" applyBorder="1" applyAlignment="1">
      <alignment horizontal="right" wrapText="1"/>
    </xf>
    <xf numFmtId="0" fontId="3" fillId="0" borderId="9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9" xfId="1" applyFont="1" applyFill="1" applyBorder="1" applyAlignment="1">
      <alignment horizontal="center" vertical="center" wrapText="1"/>
    </xf>
    <xf numFmtId="0" fontId="4" fillId="0" borderId="51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 wrapText="1"/>
    </xf>
    <xf numFmtId="3" fontId="30" fillId="0" borderId="15" xfId="0" applyNumberFormat="1" applyFont="1" applyBorder="1" applyAlignment="1">
      <alignment horizontal="center" vertical="center" wrapText="1"/>
    </xf>
    <xf numFmtId="3" fontId="30" fillId="0" borderId="16" xfId="0" applyNumberFormat="1" applyFont="1" applyBorder="1" applyAlignment="1">
      <alignment horizontal="center" vertical="center" wrapText="1"/>
    </xf>
    <xf numFmtId="3" fontId="30" fillId="0" borderId="17" xfId="0" applyNumberFormat="1" applyFont="1" applyBorder="1" applyAlignment="1">
      <alignment horizontal="center" vertical="center" wrapText="1"/>
    </xf>
    <xf numFmtId="3" fontId="30" fillId="0" borderId="62" xfId="0" applyNumberFormat="1" applyFont="1" applyBorder="1" applyAlignment="1">
      <alignment horizontal="center" vertical="center" wrapText="1"/>
    </xf>
    <xf numFmtId="3" fontId="30" fillId="0" borderId="45" xfId="0" applyNumberFormat="1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93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left" vertical="center" wrapText="1"/>
    </xf>
    <xf numFmtId="0" fontId="2" fillId="0" borderId="19" xfId="1" applyFont="1" applyFill="1" applyBorder="1" applyAlignment="1">
      <alignment horizontal="left" vertical="center" wrapText="1"/>
    </xf>
    <xf numFmtId="0" fontId="3" fillId="0" borderId="18" xfId="1" applyFont="1" applyFill="1" applyBorder="1" applyAlignment="1">
      <alignment horizontal="left" vertical="center" wrapText="1"/>
    </xf>
    <xf numFmtId="0" fontId="3" fillId="0" borderId="19" xfId="1" applyFont="1" applyFill="1" applyBorder="1" applyAlignment="1">
      <alignment horizontal="left" vertical="center" wrapText="1"/>
    </xf>
    <xf numFmtId="0" fontId="5" fillId="0" borderId="25" xfId="1" applyFont="1" applyFill="1" applyBorder="1" applyAlignment="1">
      <alignment horizontal="left" vertical="center" wrapText="1"/>
    </xf>
    <xf numFmtId="0" fontId="5" fillId="0" borderId="26" xfId="1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4" fillId="0" borderId="31" xfId="1" applyFont="1" applyFill="1" applyBorder="1" applyAlignment="1">
      <alignment horizontal="left" vertical="center" wrapText="1"/>
    </xf>
    <xf numFmtId="0" fontId="4" fillId="0" borderId="30" xfId="1" applyFont="1" applyFill="1" applyBorder="1" applyAlignment="1">
      <alignment horizontal="left" vertical="center" wrapText="1"/>
    </xf>
    <xf numFmtId="0" fontId="4" fillId="0" borderId="18" xfId="1" applyFont="1" applyFill="1" applyBorder="1" applyAlignment="1">
      <alignment horizontal="left" vertical="center" wrapText="1"/>
    </xf>
    <xf numFmtId="0" fontId="4" fillId="0" borderId="19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167" fontId="30" fillId="0" borderId="6" xfId="98" applyNumberFormat="1" applyFont="1" applyBorder="1" applyAlignment="1"/>
    <xf numFmtId="0" fontId="4" fillId="0" borderId="5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167" fontId="30" fillId="0" borderId="3" xfId="98" applyNumberFormat="1" applyFont="1" applyFill="1" applyBorder="1" applyAlignment="1">
      <alignment vertical="center"/>
    </xf>
    <xf numFmtId="167" fontId="30" fillId="0" borderId="4" xfId="98" applyNumberFormat="1" applyFont="1" applyFill="1" applyBorder="1" applyAlignment="1">
      <alignment vertical="center"/>
    </xf>
    <xf numFmtId="167" fontId="30" fillId="0" borderId="8" xfId="98" applyNumberFormat="1" applyFont="1" applyFill="1" applyBorder="1" applyAlignment="1">
      <alignment vertical="center"/>
    </xf>
    <xf numFmtId="167" fontId="3" fillId="0" borderId="1" xfId="98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left" vertical="center" wrapText="1"/>
    </xf>
    <xf numFmtId="0" fontId="2" fillId="0" borderId="13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8" xfId="1" applyFont="1" applyFill="1" applyBorder="1" applyAlignment="1">
      <alignment horizontal="left" vertical="center" wrapText="1"/>
    </xf>
    <xf numFmtId="0" fontId="2" fillId="0" borderId="21" xfId="1" applyFont="1" applyFill="1" applyBorder="1" applyAlignment="1">
      <alignment horizontal="left" vertical="center" wrapText="1"/>
    </xf>
    <xf numFmtId="0" fontId="2" fillId="0" borderId="3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49" fontId="30" fillId="0" borderId="16" xfId="0" applyNumberFormat="1" applyFont="1" applyBorder="1" applyAlignment="1">
      <alignment horizontal="center" vertical="center" wrapText="1"/>
    </xf>
    <xf numFmtId="49" fontId="30" fillId="0" borderId="17" xfId="0" applyNumberFormat="1" applyFont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49" fontId="30" fillId="0" borderId="19" xfId="0" applyNumberFormat="1" applyFont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0" fontId="2" fillId="0" borderId="45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49" fontId="29" fillId="0" borderId="15" xfId="0" applyNumberFormat="1" applyFont="1" applyBorder="1" applyAlignment="1">
      <alignment horizontal="center" vertical="center" wrapText="1"/>
    </xf>
    <xf numFmtId="49" fontId="29" fillId="0" borderId="16" xfId="0" applyNumberFormat="1" applyFont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49" fontId="30" fillId="0" borderId="62" xfId="0" applyNumberFormat="1" applyFont="1" applyBorder="1" applyAlignment="1">
      <alignment horizontal="center" vertical="center" wrapText="1"/>
    </xf>
    <xf numFmtId="49" fontId="29" fillId="0" borderId="18" xfId="0" applyNumberFormat="1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49" fontId="29" fillId="0" borderId="19" xfId="0" applyNumberFormat="1" applyFont="1" applyBorder="1" applyAlignment="1">
      <alignment horizontal="center" vertical="center" wrapText="1"/>
    </xf>
    <xf numFmtId="49" fontId="30" fillId="0" borderId="8" xfId="0" applyNumberFormat="1" applyFont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19" xfId="1" applyFont="1" applyFill="1" applyBorder="1" applyAlignment="1">
      <alignment horizontal="left" vertical="center" wrapText="1"/>
    </xf>
    <xf numFmtId="0" fontId="2" fillId="0" borderId="22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/>
    </xf>
    <xf numFmtId="0" fontId="4" fillId="0" borderId="19" xfId="1" applyFont="1" applyFill="1" applyBorder="1" applyAlignment="1">
      <alignment horizontal="left" vertical="center"/>
    </xf>
    <xf numFmtId="0" fontId="3" fillId="0" borderId="26" xfId="1" applyFont="1" applyFill="1" applyBorder="1" applyAlignment="1">
      <alignment horizontal="left" vertical="center" wrapText="1"/>
    </xf>
    <xf numFmtId="49" fontId="30" fillId="0" borderId="15" xfId="0" applyNumberFormat="1" applyFont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 wrapText="1"/>
    </xf>
    <xf numFmtId="49" fontId="30" fillId="0" borderId="18" xfId="0" applyNumberFormat="1" applyFont="1" applyBorder="1" applyAlignment="1">
      <alignment horizontal="center" vertical="center" wrapText="1"/>
    </xf>
    <xf numFmtId="0" fontId="4" fillId="0" borderId="28" xfId="1" applyFont="1" applyFill="1" applyBorder="1" applyAlignment="1">
      <alignment horizontal="left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49" fontId="30" fillId="0" borderId="16" xfId="0" applyNumberFormat="1" applyFont="1" applyFill="1" applyBorder="1" applyAlignment="1">
      <alignment horizontal="center" vertical="center" wrapText="1"/>
    </xf>
    <xf numFmtId="49" fontId="30" fillId="0" borderId="17" xfId="0" applyNumberFormat="1" applyFont="1" applyFill="1" applyBorder="1" applyAlignment="1">
      <alignment horizontal="center" vertical="center" wrapText="1"/>
    </xf>
    <xf numFmtId="49" fontId="30" fillId="0" borderId="8" xfId="0" applyNumberFormat="1" applyFont="1" applyFill="1" applyBorder="1" applyAlignment="1">
      <alignment horizontal="center" vertical="center" wrapText="1"/>
    </xf>
    <xf numFmtId="49" fontId="30" fillId="0" borderId="102" xfId="0" applyNumberFormat="1" applyFont="1" applyBorder="1" applyAlignment="1">
      <alignment horizontal="center" vertical="center" wrapText="1"/>
    </xf>
    <xf numFmtId="49" fontId="30" fillId="0" borderId="41" xfId="0" applyNumberFormat="1" applyFont="1" applyBorder="1" applyAlignment="1">
      <alignment horizontal="center" vertical="center" wrapText="1"/>
    </xf>
    <xf numFmtId="49" fontId="30" fillId="0" borderId="103" xfId="0" applyNumberFormat="1" applyFont="1" applyBorder="1" applyAlignment="1">
      <alignment horizontal="center" vertical="center" wrapText="1"/>
    </xf>
    <xf numFmtId="49" fontId="30" fillId="0" borderId="44" xfId="0" applyNumberFormat="1" applyFont="1" applyBorder="1" applyAlignment="1">
      <alignment horizontal="center" vertical="center" wrapText="1"/>
    </xf>
    <xf numFmtId="49" fontId="30" fillId="0" borderId="6" xfId="0" applyNumberFormat="1" applyFont="1" applyBorder="1" applyAlignment="1">
      <alignment horizontal="center" vertical="center" wrapText="1"/>
    </xf>
    <xf numFmtId="49" fontId="30" fillId="0" borderId="52" xfId="0" applyNumberFormat="1" applyFont="1" applyBorder="1" applyAlignment="1">
      <alignment horizontal="center" vertical="center" wrapText="1"/>
    </xf>
    <xf numFmtId="0" fontId="30" fillId="0" borderId="6" xfId="0" applyFont="1" applyBorder="1" applyAlignment="1">
      <alignment horizontal="right"/>
    </xf>
    <xf numFmtId="0" fontId="2" fillId="0" borderId="24" xfId="1" applyFont="1" applyFill="1" applyBorder="1" applyAlignment="1">
      <alignment horizontal="left" vertical="center" wrapText="1"/>
    </xf>
    <xf numFmtId="0" fontId="2" fillId="0" borderId="54" xfId="1" applyFont="1" applyFill="1" applyBorder="1" applyAlignment="1">
      <alignment horizontal="left" vertical="center" wrapText="1"/>
    </xf>
    <xf numFmtId="0" fontId="2" fillId="0" borderId="101" xfId="1" applyFont="1" applyFill="1" applyBorder="1" applyAlignment="1">
      <alignment horizontal="left" vertical="center" wrapText="1"/>
    </xf>
    <xf numFmtId="0" fontId="2" fillId="0" borderId="99" xfId="1" applyFont="1" applyFill="1" applyBorder="1" applyAlignment="1">
      <alignment horizontal="left" vertical="center" wrapText="1"/>
    </xf>
    <xf numFmtId="49" fontId="29" fillId="0" borderId="3" xfId="0" applyNumberFormat="1" applyFont="1" applyBorder="1" applyAlignment="1">
      <alignment horizontal="center" vertical="center"/>
    </xf>
    <xf numFmtId="49" fontId="29" fillId="0" borderId="8" xfId="0" applyNumberFormat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center"/>
    </xf>
    <xf numFmtId="49" fontId="30" fillId="0" borderId="3" xfId="0" applyNumberFormat="1" applyFont="1" applyBorder="1" applyAlignment="1">
      <alignment horizontal="center" vertical="center" wrapText="1"/>
    </xf>
    <xf numFmtId="49" fontId="30" fillId="0" borderId="3" xfId="0" applyNumberFormat="1" applyFont="1" applyBorder="1" applyAlignment="1">
      <alignment horizontal="center" vertical="center"/>
    </xf>
    <xf numFmtId="49" fontId="30" fillId="0" borderId="8" xfId="0" applyNumberFormat="1" applyFont="1" applyBorder="1" applyAlignment="1">
      <alignment horizontal="center" vertical="center"/>
    </xf>
    <xf numFmtId="0" fontId="30" fillId="0" borderId="102" xfId="0" applyFont="1" applyBorder="1" applyAlignment="1">
      <alignment horizontal="center" vertical="center"/>
    </xf>
    <xf numFmtId="0" fontId="30" fillId="0" borderId="41" xfId="0" applyFont="1" applyBorder="1" applyAlignment="1">
      <alignment horizontal="center" vertical="center"/>
    </xf>
    <xf numFmtId="0" fontId="30" fillId="0" borderId="103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52" xfId="0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/>
    </xf>
    <xf numFmtId="0" fontId="30" fillId="0" borderId="45" xfId="0" applyFont="1" applyBorder="1" applyAlignment="1">
      <alignment horizontal="center"/>
    </xf>
    <xf numFmtId="0" fontId="5" fillId="0" borderId="3" xfId="1" applyFont="1" applyFill="1" applyBorder="1" applyAlignment="1">
      <alignment horizontal="center" vertical="center" wrapText="1"/>
    </xf>
    <xf numFmtId="49" fontId="29" fillId="0" borderId="27" xfId="0" applyNumberFormat="1" applyFont="1" applyBorder="1" applyAlignment="1">
      <alignment horizontal="center"/>
    </xf>
    <xf numFmtId="49" fontId="29" fillId="0" borderId="57" xfId="0" applyNumberFormat="1" applyFont="1" applyBorder="1" applyAlignment="1">
      <alignment horizontal="center"/>
    </xf>
    <xf numFmtId="0" fontId="30" fillId="0" borderId="4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49" fontId="30" fillId="0" borderId="47" xfId="0" applyNumberFormat="1" applyFont="1" applyBorder="1" applyAlignment="1">
      <alignment horizontal="left" vertical="center" wrapText="1"/>
    </xf>
    <xf numFmtId="49" fontId="30" fillId="0" borderId="8" xfId="0" applyNumberFormat="1" applyFont="1" applyBorder="1" applyAlignment="1">
      <alignment horizontal="left" vertical="center" wrapText="1"/>
    </xf>
    <xf numFmtId="0" fontId="30" fillId="0" borderId="47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left" vertical="center" wrapText="1"/>
    </xf>
    <xf numFmtId="49" fontId="30" fillId="0" borderId="15" xfId="0" applyNumberFormat="1" applyFont="1" applyBorder="1" applyAlignment="1">
      <alignment horizontal="center"/>
    </xf>
    <xf numFmtId="49" fontId="30" fillId="0" borderId="18" xfId="0" applyNumberFormat="1" applyFont="1" applyBorder="1" applyAlignment="1">
      <alignment horizontal="center"/>
    </xf>
    <xf numFmtId="0" fontId="30" fillId="0" borderId="16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/>
    </xf>
    <xf numFmtId="49" fontId="30" fillId="0" borderId="62" xfId="0" applyNumberFormat="1" applyFont="1" applyFill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left" vertical="center"/>
    </xf>
    <xf numFmtId="0" fontId="29" fillId="0" borderId="1" xfId="0" applyFont="1" applyBorder="1" applyAlignment="1">
      <alignment horizontal="left"/>
    </xf>
    <xf numFmtId="0" fontId="4" fillId="0" borderId="1" xfId="1" applyFont="1" applyFill="1" applyBorder="1" applyAlignment="1">
      <alignment vertical="center"/>
    </xf>
    <xf numFmtId="0" fontId="5" fillId="0" borderId="1" xfId="1" applyFont="1" applyFill="1" applyBorder="1" applyAlignment="1">
      <alignment vertical="center"/>
    </xf>
    <xf numFmtId="0" fontId="29" fillId="0" borderId="1" xfId="0" applyFont="1" applyBorder="1" applyAlignment="1">
      <alignment horizontal="center" vertical="center" wrapText="1"/>
    </xf>
    <xf numFmtId="3" fontId="29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2" fillId="0" borderId="10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3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61" xfId="1" applyFont="1" applyFill="1" applyBorder="1" applyAlignment="1">
      <alignment horizontal="center" vertical="center" wrapText="1"/>
    </xf>
    <xf numFmtId="0" fontId="2" fillId="0" borderId="36" xfId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right"/>
    </xf>
    <xf numFmtId="0" fontId="36" fillId="0" borderId="1" xfId="0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 wrapText="1"/>
    </xf>
    <xf numFmtId="0" fontId="36" fillId="0" borderId="8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left" vertical="center" wrapText="1"/>
    </xf>
    <xf numFmtId="167" fontId="34" fillId="0" borderId="1" xfId="98" applyNumberFormat="1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42" xfId="0" applyFont="1" applyFill="1" applyBorder="1" applyAlignment="1">
      <alignment horizontal="left" vertical="center" wrapText="1"/>
    </xf>
    <xf numFmtId="0" fontId="34" fillId="0" borderId="57" xfId="0" applyFont="1" applyFill="1" applyBorder="1" applyAlignment="1">
      <alignment horizontal="left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58" xfId="0" applyFont="1" applyBorder="1" applyAlignment="1">
      <alignment horizontal="center" vertical="center" wrapText="1"/>
    </xf>
    <xf numFmtId="0" fontId="34" fillId="0" borderId="61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left" vertical="center" wrapText="1"/>
    </xf>
    <xf numFmtId="0" fontId="36" fillId="0" borderId="8" xfId="0" applyFont="1" applyBorder="1" applyAlignment="1">
      <alignment horizontal="left" vertical="center" wrapText="1"/>
    </xf>
    <xf numFmtId="0" fontId="34" fillId="0" borderId="3" xfId="0" applyFont="1" applyBorder="1" applyAlignment="1">
      <alignment horizontal="left" vertical="center" wrapText="1"/>
    </xf>
    <xf numFmtId="0" fontId="34" fillId="0" borderId="8" xfId="0" applyFont="1" applyBorder="1" applyAlignment="1">
      <alignment horizontal="left" vertical="center" wrapText="1"/>
    </xf>
    <xf numFmtId="0" fontId="34" fillId="0" borderId="42" xfId="0" applyFont="1" applyBorder="1" applyAlignment="1">
      <alignment horizontal="left" vertical="center" wrapText="1"/>
    </xf>
    <xf numFmtId="0" fontId="34" fillId="0" borderId="57" xfId="0" applyFont="1" applyBorder="1" applyAlignment="1">
      <alignment horizontal="left" vertical="center" wrapText="1"/>
    </xf>
    <xf numFmtId="0" fontId="30" fillId="0" borderId="37" xfId="0" applyFont="1" applyBorder="1" applyAlignment="1">
      <alignment horizontal="right"/>
    </xf>
    <xf numFmtId="0" fontId="30" fillId="0" borderId="0" xfId="0" applyFont="1" applyBorder="1" applyAlignment="1">
      <alignment horizontal="right"/>
    </xf>
    <xf numFmtId="49" fontId="3" fillId="0" borderId="15" xfId="0" applyNumberFormat="1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3" fontId="21" fillId="0" borderId="12" xfId="0" applyNumberFormat="1" applyFont="1" applyFill="1" applyBorder="1" applyAlignment="1">
      <alignment horizontal="center" vertical="center"/>
    </xf>
    <xf numFmtId="3" fontId="21" fillId="0" borderId="13" xfId="0" applyNumberFormat="1" applyFont="1" applyFill="1" applyBorder="1" applyAlignment="1">
      <alignment horizontal="center" vertical="center"/>
    </xf>
    <xf numFmtId="3" fontId="21" fillId="0" borderId="42" xfId="0" applyNumberFormat="1" applyFont="1" applyFill="1" applyBorder="1" applyAlignment="1">
      <alignment horizontal="center" vertical="center"/>
    </xf>
    <xf numFmtId="3" fontId="21" fillId="0" borderId="39" xfId="0" applyNumberFormat="1" applyFont="1" applyFill="1" applyBorder="1" applyAlignment="1">
      <alignment horizontal="center" vertical="center"/>
    </xf>
    <xf numFmtId="3" fontId="21" fillId="0" borderId="33" xfId="0" applyNumberFormat="1" applyFont="1" applyFill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left" vertical="center" wrapText="1" indent="2"/>
    </xf>
    <xf numFmtId="3" fontId="14" fillId="0" borderId="14" xfId="0" applyNumberFormat="1" applyFont="1" applyFill="1" applyBorder="1" applyAlignment="1">
      <alignment horizontal="left" vertical="center" wrapText="1" indent="2"/>
    </xf>
    <xf numFmtId="3" fontId="21" fillId="0" borderId="39" xfId="0" applyNumberFormat="1" applyFont="1" applyFill="1" applyBorder="1" applyAlignment="1">
      <alignment horizontal="center" vertical="center" wrapText="1"/>
    </xf>
    <xf numFmtId="3" fontId="21" fillId="0" borderId="33" xfId="0" applyNumberFormat="1" applyFont="1" applyFill="1" applyBorder="1" applyAlignment="1">
      <alignment horizontal="center" vertical="center" wrapText="1"/>
    </xf>
    <xf numFmtId="3" fontId="21" fillId="0" borderId="60" xfId="0" applyNumberFormat="1" applyFont="1" applyFill="1" applyBorder="1" applyAlignment="1">
      <alignment horizontal="center" vertical="center"/>
    </xf>
    <xf numFmtId="3" fontId="21" fillId="0" borderId="53" xfId="0" applyNumberFormat="1" applyFont="1" applyFill="1" applyBorder="1" applyAlignment="1">
      <alignment horizontal="center" vertical="center"/>
    </xf>
    <xf numFmtId="3" fontId="3" fillId="0" borderId="0" xfId="3" applyNumberFormat="1" applyFont="1" applyFill="1" applyBorder="1" applyAlignment="1" applyProtection="1">
      <alignment horizontal="left" vertical="center" indent="1"/>
    </xf>
    <xf numFmtId="167" fontId="73" fillId="0" borderId="1" xfId="98" applyNumberFormat="1" applyFont="1" applyBorder="1" applyAlignment="1">
      <alignment horizontal="center" vertical="center"/>
    </xf>
    <xf numFmtId="0" fontId="5" fillId="0" borderId="37" xfId="43" applyFont="1" applyBorder="1" applyAlignment="1">
      <alignment horizontal="center"/>
    </xf>
    <xf numFmtId="0" fontId="36" fillId="0" borderId="37" xfId="0" applyFont="1" applyBorder="1" applyAlignment="1">
      <alignment horizontal="right"/>
    </xf>
    <xf numFmtId="0" fontId="5" fillId="0" borderId="15" xfId="43" applyFont="1" applyBorder="1" applyAlignment="1">
      <alignment vertical="center"/>
    </xf>
    <xf numFmtId="0" fontId="5" fillId="0" borderId="18" xfId="43" applyFont="1" applyBorder="1" applyAlignment="1">
      <alignment vertical="center"/>
    </xf>
    <xf numFmtId="49" fontId="5" fillId="0" borderId="95" xfId="43" applyNumberFormat="1" applyFont="1" applyBorder="1" applyAlignment="1">
      <alignment horizontal="center" vertical="center"/>
    </xf>
    <xf numFmtId="49" fontId="5" fillId="0" borderId="7" xfId="43" applyNumberFormat="1" applyFont="1" applyBorder="1" applyAlignment="1">
      <alignment horizontal="center" vertical="center"/>
    </xf>
    <xf numFmtId="49" fontId="5" fillId="0" borderId="5" xfId="43" applyNumberFormat="1" applyFont="1" applyBorder="1" applyAlignment="1">
      <alignment horizontal="center" vertical="center"/>
    </xf>
    <xf numFmtId="0" fontId="72" fillId="0" borderId="16" xfId="43" applyFont="1" applyBorder="1" applyAlignment="1">
      <alignment horizontal="center" vertical="center" wrapText="1"/>
    </xf>
    <xf numFmtId="0" fontId="73" fillId="0" borderId="1" xfId="43" applyFont="1" applyBorder="1" applyAlignment="1">
      <alignment horizontal="center" vertical="center" wrapText="1"/>
    </xf>
    <xf numFmtId="0" fontId="72" fillId="0" borderId="16" xfId="43" applyFont="1" applyBorder="1" applyAlignment="1">
      <alignment horizontal="center" vertical="center"/>
    </xf>
    <xf numFmtId="0" fontId="69" fillId="0" borderId="16" xfId="0" applyFont="1" applyBorder="1" applyAlignment="1">
      <alignment horizontal="center" vertical="center"/>
    </xf>
    <xf numFmtId="0" fontId="72" fillId="32" borderId="17" xfId="43" applyFont="1" applyFill="1" applyBorder="1" applyAlignment="1">
      <alignment horizontal="center" vertical="center" wrapText="1"/>
    </xf>
    <xf numFmtId="0" fontId="72" fillId="32" borderId="19" xfId="43" applyFont="1" applyFill="1" applyBorder="1" applyAlignment="1">
      <alignment horizontal="center" vertical="center" wrapText="1"/>
    </xf>
    <xf numFmtId="0" fontId="72" fillId="0" borderId="62" xfId="43" applyFont="1" applyBorder="1" applyAlignment="1">
      <alignment horizontal="center" vertical="center"/>
    </xf>
    <xf numFmtId="0" fontId="73" fillId="0" borderId="1" xfId="43" applyFont="1" applyFill="1" applyBorder="1" applyAlignment="1">
      <alignment horizontal="center" vertical="center" wrapText="1"/>
    </xf>
    <xf numFmtId="0" fontId="5" fillId="0" borderId="1" xfId="44" applyFont="1" applyBorder="1" applyAlignment="1">
      <alignment horizontal="center" vertical="center" wrapText="1"/>
    </xf>
    <xf numFmtId="0" fontId="73" fillId="0" borderId="8" xfId="43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3" fillId="0" borderId="2" xfId="43" applyFont="1" applyBorder="1" applyAlignment="1">
      <alignment horizontal="center" vertical="center" wrapText="1"/>
    </xf>
    <xf numFmtId="0" fontId="73" fillId="0" borderId="5" xfId="43" applyFont="1" applyBorder="1" applyAlignment="1">
      <alignment horizontal="center" vertical="center" wrapText="1"/>
    </xf>
    <xf numFmtId="0" fontId="72" fillId="0" borderId="1" xfId="43" applyFont="1" applyBorder="1" applyAlignment="1">
      <alignment horizontal="center" vertical="center" wrapText="1"/>
    </xf>
    <xf numFmtId="0" fontId="72" fillId="32" borderId="16" xfId="43" applyFont="1" applyFill="1" applyBorder="1" applyAlignment="1">
      <alignment horizontal="center" vertical="center" wrapText="1"/>
    </xf>
    <xf numFmtId="0" fontId="72" fillId="32" borderId="1" xfId="43" applyFont="1" applyFill="1" applyBorder="1" applyAlignment="1">
      <alignment horizontal="center" vertical="center" wrapText="1"/>
    </xf>
    <xf numFmtId="0" fontId="72" fillId="33" borderId="17" xfId="43" applyFont="1" applyFill="1" applyBorder="1" applyAlignment="1">
      <alignment horizontal="center" vertical="center" wrapText="1"/>
    </xf>
    <xf numFmtId="0" fontId="72" fillId="33" borderId="19" xfId="43" applyFont="1" applyFill="1" applyBorder="1" applyAlignment="1">
      <alignment horizontal="center" vertical="center" wrapText="1"/>
    </xf>
    <xf numFmtId="0" fontId="73" fillId="0" borderId="1" xfId="44" applyFont="1" applyBorder="1" applyAlignment="1">
      <alignment horizontal="center" vertical="center" wrapText="1"/>
    </xf>
    <xf numFmtId="0" fontId="74" fillId="0" borderId="1" xfId="0" applyFont="1" applyBorder="1" applyAlignment="1">
      <alignment horizontal="center" vertical="center" wrapText="1"/>
    </xf>
    <xf numFmtId="0" fontId="75" fillId="0" borderId="1" xfId="0" applyFont="1" applyBorder="1" applyAlignment="1">
      <alignment horizontal="center" vertical="center" wrapText="1"/>
    </xf>
    <xf numFmtId="0" fontId="72" fillId="0" borderId="17" xfId="43" applyFont="1" applyFill="1" applyBorder="1" applyAlignment="1">
      <alignment horizontal="center" vertical="center" wrapText="1"/>
    </xf>
    <xf numFmtId="0" fontId="72" fillId="0" borderId="19" xfId="43" applyFont="1" applyFill="1" applyBorder="1" applyAlignment="1">
      <alignment horizontal="center" vertical="center" wrapText="1"/>
    </xf>
    <xf numFmtId="0" fontId="5" fillId="0" borderId="16" xfId="44" applyFont="1" applyBorder="1" applyAlignment="1">
      <alignment horizontal="center" vertical="center"/>
    </xf>
  </cellXfs>
  <cellStyles count="99">
    <cellStyle name="20% - 1. jelölőszín 2" xfId="4"/>
    <cellStyle name="20% - 2. jelölőszín 2" xfId="5"/>
    <cellStyle name="20% - 3. jelölőszín 2" xfId="6"/>
    <cellStyle name="20% - 4. jelölőszín 2" xfId="7"/>
    <cellStyle name="20% - 5. jelölőszín 2" xfId="8"/>
    <cellStyle name="20% - 6. jelölőszín 2" xfId="9"/>
    <cellStyle name="20% - Accent1" xfId="57"/>
    <cellStyle name="20% - Accent2" xfId="58"/>
    <cellStyle name="20% - Accent3" xfId="59"/>
    <cellStyle name="20% - Accent4" xfId="60"/>
    <cellStyle name="20% - Accent5" xfId="61"/>
    <cellStyle name="20% - Accent6" xfId="62"/>
    <cellStyle name="40% - 1. jelölőszín 2" xfId="10"/>
    <cellStyle name="40% - 2. jelölőszín 2" xfId="11"/>
    <cellStyle name="40% - 3. jelölőszín 2" xfId="12"/>
    <cellStyle name="40% - 4. jelölőszín 2" xfId="13"/>
    <cellStyle name="40% - 5. jelölőszín 2" xfId="14"/>
    <cellStyle name="40% - 6. jelölőszín 2" xfId="15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60% - 1. jelölőszín 2" xfId="16"/>
    <cellStyle name="60% - 2. jelölőszín 2" xfId="17"/>
    <cellStyle name="60% - 3. jelölőszín 2" xfId="18"/>
    <cellStyle name="60% - 4. jelölőszín 2" xfId="19"/>
    <cellStyle name="60% - 5. jelölőszín 2" xfId="20"/>
    <cellStyle name="60% - 6. jelölőszín 2" xfId="21"/>
    <cellStyle name="60% - Accent1" xfId="69"/>
    <cellStyle name="60% - Accent2" xfId="70"/>
    <cellStyle name="60% - Accent3" xfId="71"/>
    <cellStyle name="60% - Accent4" xfId="72"/>
    <cellStyle name="60% - Accent5" xfId="73"/>
    <cellStyle name="60% - Accent6" xfId="74"/>
    <cellStyle name="Accent1" xfId="75"/>
    <cellStyle name="Accent2" xfId="76"/>
    <cellStyle name="Accent3" xfId="77"/>
    <cellStyle name="Accent4" xfId="78"/>
    <cellStyle name="Accent5" xfId="79"/>
    <cellStyle name="Accent6" xfId="80"/>
    <cellStyle name="Bad" xfId="81"/>
    <cellStyle name="Bevitel 2" xfId="22"/>
    <cellStyle name="Calculation" xfId="82"/>
    <cellStyle name="Check Cell" xfId="83"/>
    <cellStyle name="Cím 2" xfId="23"/>
    <cellStyle name="Címsor 1 2" xfId="24"/>
    <cellStyle name="Címsor 2 2" xfId="25"/>
    <cellStyle name="Címsor 3 2" xfId="26"/>
    <cellStyle name="Címsor 4 2" xfId="27"/>
    <cellStyle name="Ellenőrzőcella 2" xfId="28"/>
    <cellStyle name="Explanatory Text" xfId="84"/>
    <cellStyle name="Ezres" xfId="98" builtinId="3"/>
    <cellStyle name="Ezres 2" xfId="56"/>
    <cellStyle name="Figyelmeztetés 2" xfId="29"/>
    <cellStyle name="Good" xfId="85"/>
    <cellStyle name="Heading 1" xfId="86"/>
    <cellStyle name="Heading 2" xfId="87"/>
    <cellStyle name="Heading 3" xfId="88"/>
    <cellStyle name="Heading 4" xfId="89"/>
    <cellStyle name="Hivatkozott cella 2" xfId="30"/>
    <cellStyle name="Input" xfId="90"/>
    <cellStyle name="Jegyzet 2" xfId="31"/>
    <cellStyle name="Jelölőszín (1) 2" xfId="32"/>
    <cellStyle name="Jelölőszín (2) 2" xfId="33"/>
    <cellStyle name="Jelölőszín (3) 2" xfId="34"/>
    <cellStyle name="Jelölőszín (4) 2" xfId="35"/>
    <cellStyle name="Jelölőszín (5) 2" xfId="36"/>
    <cellStyle name="Jelölőszín (6) 2" xfId="37"/>
    <cellStyle name="Jó 2" xfId="38"/>
    <cellStyle name="Kimenet 2" xfId="39"/>
    <cellStyle name="Linked Cell" xfId="91"/>
    <cellStyle name="Magyarázó szöveg 2" xfId="40"/>
    <cellStyle name="Neutral" xfId="92"/>
    <cellStyle name="Normál" xfId="0" builtinId="0"/>
    <cellStyle name="Normál 2" xfId="1"/>
    <cellStyle name="Normál 2 2" xfId="41"/>
    <cellStyle name="Normál 2_TÁJÉKOZTATÓ _TÁBLÁK" xfId="42"/>
    <cellStyle name="Normál 3" xfId="43"/>
    <cellStyle name="Normál 4" xfId="44"/>
    <cellStyle name="Normál 4 2" xfId="45"/>
    <cellStyle name="Normál 5" xfId="46"/>
    <cellStyle name="Normál 5 2" xfId="47"/>
    <cellStyle name="Normál 5 3" xfId="48"/>
    <cellStyle name="Normal_KARSZJ3" xfId="49"/>
    <cellStyle name="Normál_KVRENMUNKA" xfId="2"/>
    <cellStyle name="Normál_SEGEDLETEK" xfId="3"/>
    <cellStyle name="Normál_TÁJÉKOZTATÓ _TÁBLÁK" xfId="50"/>
    <cellStyle name="Note" xfId="93"/>
    <cellStyle name="Output" xfId="94"/>
    <cellStyle name="Összesen 2" xfId="51"/>
    <cellStyle name="Rossz 2" xfId="52"/>
    <cellStyle name="Semleges 2" xfId="53"/>
    <cellStyle name="Számítás 2" xfId="54"/>
    <cellStyle name="Százalék 2" xfId="55"/>
    <cellStyle name="Title" xfId="95"/>
    <cellStyle name="Total" xfId="96"/>
    <cellStyle name="Warning Text" xfId="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umok\T&#246;bbc&#233;l&#250;Kist&#233;rs&#233;giT&#225;rsul&#225;s\Normat&#237;va_2006\BMelfogadott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T&#246;bbc&#233;l&#250;Kist&#233;rs&#233;giT&#225;rsul&#225;s/Normat&#237;va_2006/BMelfogadott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vasar\k&#246;z&#246;s\Users\cora\AppData\Local\Microsoft\Messenger\irodavezeto@rkt.hu\Sharing%20Folders\csermenyih@freemail.hu\Normat&#237;va\2008\Szent%20L&#225;szl&#243;%20V&#246;lgye%20T&#246;bbc&#233;l&#250;%20Kist&#233;rs&#233;gi%20T&#225;rsul&#225;s,700107,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T&#246;bbc&#233;l&#250;Kist&#233;rs&#233;giT&#225;rsul&#225;s/Normat&#237;va_2007/normat&#237;vafelm&#233;r&#233;s200611h&#243;/4002_kit&#246;lt&#246;tt1204(V&#201;GLEGES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7-2008)"/>
      <sheetName val="2.2.1. (TKT fennt.2008-2009)"/>
      <sheetName val="2.2.2.-2.3. feladatok"/>
      <sheetName val="szakszolgálati adatok"/>
      <sheetName val="2.4. feladat-szoc. étkeztetés"/>
      <sheetName val="2.4. feladat"/>
      <sheetName val="2.5.-2.8. feladatok"/>
      <sheetName val="info"/>
    </sheetNames>
    <sheetDataSet>
      <sheetData sheetId="0" refreshError="1">
        <row r="34">
          <cell r="BT34" t="e">
            <v>#N/A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e">
            <v>#N/A</v>
          </cell>
        </row>
        <row r="44">
          <cell r="BT44" t="e">
            <v>#N/A</v>
          </cell>
        </row>
        <row r="45">
          <cell r="BT45" t="e">
            <v>#N/A</v>
          </cell>
        </row>
        <row r="46">
          <cell r="BT46" t="e">
            <v>#N/A</v>
          </cell>
        </row>
        <row r="47">
          <cell r="BT47" t="e">
            <v>#N/A</v>
          </cell>
        </row>
        <row r="48">
          <cell r="BT48" t="str">
            <v>Ács</v>
          </cell>
        </row>
        <row r="49">
          <cell r="BT49" t="e">
            <v>#N/A</v>
          </cell>
        </row>
        <row r="50">
          <cell r="BT50" t="str">
            <v>Acsád</v>
          </cell>
        </row>
        <row r="51">
          <cell r="BT51" t="e">
            <v>#N/A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e">
            <v>#N/A</v>
          </cell>
        </row>
        <row r="55">
          <cell r="BT55" t="e">
            <v>#N/A</v>
          </cell>
        </row>
        <row r="56">
          <cell r="BT56" t="str">
            <v>Adony</v>
          </cell>
        </row>
        <row r="57">
          <cell r="BT57" t="e">
            <v>#N/A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e">
            <v>#N/A</v>
          </cell>
        </row>
        <row r="61">
          <cell r="BT61" t="e">
            <v>#N/A</v>
          </cell>
        </row>
        <row r="62">
          <cell r="BT62" t="e">
            <v>#N/A</v>
          </cell>
        </row>
        <row r="63">
          <cell r="BT63" t="e">
            <v>#N/A</v>
          </cell>
        </row>
        <row r="64">
          <cell r="BT64" t="e">
            <v>#N/A</v>
          </cell>
        </row>
        <row r="65">
          <cell r="BT65" t="str">
            <v>Ajka</v>
          </cell>
        </row>
        <row r="66">
          <cell r="BT66" t="e">
            <v>#N/A</v>
          </cell>
        </row>
        <row r="67">
          <cell r="BT67" t="e">
            <v>#N/A</v>
          </cell>
        </row>
        <row r="68">
          <cell r="BT68" t="e">
            <v>#N/A</v>
          </cell>
        </row>
        <row r="69">
          <cell r="BT69" t="e">
            <v>#N/A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e">
            <v>#N/A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e">
            <v>#N/A</v>
          </cell>
        </row>
        <row r="81">
          <cell r="BT81" t="e">
            <v>#N/A</v>
          </cell>
        </row>
        <row r="82">
          <cell r="BT82" t="e">
            <v>#N/A</v>
          </cell>
        </row>
        <row r="83">
          <cell r="BT83" t="e">
            <v>#N/A</v>
          </cell>
        </row>
        <row r="84">
          <cell r="BT84" t="e">
            <v>#N/A</v>
          </cell>
        </row>
        <row r="85">
          <cell r="BT85" t="e">
            <v>#N/A</v>
          </cell>
        </row>
        <row r="86">
          <cell r="BT86" t="e">
            <v>#N/A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e">
            <v>#N/A</v>
          </cell>
        </row>
        <row r="90">
          <cell r="BT90" t="str">
            <v>Alsónyék</v>
          </cell>
        </row>
        <row r="91">
          <cell r="BT91" t="e">
            <v>#N/A</v>
          </cell>
        </row>
        <row r="92">
          <cell r="BT92" t="str">
            <v>Szücs Attila Gábor</v>
          </cell>
        </row>
        <row r="93">
          <cell r="BT93" t="str">
            <v>Alsópetény</v>
          </cell>
        </row>
        <row r="94">
          <cell r="BT94" t="str">
            <v>Szent István u. 8.</v>
          </cell>
        </row>
        <row r="95">
          <cell r="BT95" t="e">
            <v>#N/A</v>
          </cell>
        </row>
        <row r="96">
          <cell r="BT96" t="str">
            <v>500_1000</v>
          </cell>
        </row>
        <row r="97">
          <cell r="BT97" t="e">
            <v>#N/A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e">
            <v>#N/A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e">
            <v>#N/A</v>
          </cell>
        </row>
        <row r="108">
          <cell r="BT108" t="e">
            <v>#N/A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e">
            <v>#N/A</v>
          </cell>
        </row>
        <row r="113">
          <cell r="BT113" t="e">
            <v>#N/A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e">
            <v>#N/A</v>
          </cell>
        </row>
        <row r="117">
          <cell r="BT117" t="str">
            <v>Apátistvánfalva</v>
          </cell>
        </row>
        <row r="118">
          <cell r="BT118" t="e">
            <v>#N/A</v>
          </cell>
        </row>
        <row r="119">
          <cell r="BT119" t="str">
            <v>Apc</v>
          </cell>
        </row>
        <row r="120">
          <cell r="BT120" t="e">
            <v>#N/A</v>
          </cell>
        </row>
        <row r="121">
          <cell r="BT121" t="e">
            <v>#N/A</v>
          </cell>
        </row>
        <row r="122">
          <cell r="BT122" t="e">
            <v>#N/A</v>
          </cell>
        </row>
        <row r="123">
          <cell r="BT123" t="e">
            <v>#N/A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e">
            <v>#N/A</v>
          </cell>
        </row>
        <row r="128">
          <cell r="BT128" t="e">
            <v>#N/A</v>
          </cell>
        </row>
        <row r="129">
          <cell r="BT129" t="e">
            <v>#N/A</v>
          </cell>
        </row>
        <row r="130">
          <cell r="BT130" t="e">
            <v>#N/A</v>
          </cell>
        </row>
        <row r="131">
          <cell r="BT131" t="e">
            <v>#N/A</v>
          </cell>
        </row>
        <row r="132">
          <cell r="BT132" t="e">
            <v>#N/A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e">
            <v>#N/A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e">
            <v>#N/A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e">
            <v>#N/A</v>
          </cell>
        </row>
        <row r="148">
          <cell r="BT148" t="str">
            <v>Bácsalmás</v>
          </cell>
        </row>
        <row r="149">
          <cell r="BT149" t="e">
            <v>#N/A</v>
          </cell>
        </row>
        <row r="150">
          <cell r="BT150" t="e">
            <v>#N/A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e">
            <v>#N/A</v>
          </cell>
        </row>
        <row r="154">
          <cell r="BT154" t="e">
            <v>#N/A</v>
          </cell>
        </row>
        <row r="155">
          <cell r="BT155" t="e">
            <v>#N/A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e">
            <v>#N/A</v>
          </cell>
        </row>
        <row r="159">
          <cell r="BT159" t="e">
            <v>#N/A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e">
            <v>#N/A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e">
            <v>#N/A</v>
          </cell>
        </row>
        <row r="173">
          <cell r="BT173" t="e">
            <v>#N/A</v>
          </cell>
        </row>
        <row r="174">
          <cell r="BT174" t="e">
            <v>#N/A</v>
          </cell>
        </row>
        <row r="175">
          <cell r="BT175" t="e">
            <v>#N/A</v>
          </cell>
        </row>
        <row r="176">
          <cell r="BT176" t="e">
            <v>#N/A</v>
          </cell>
        </row>
        <row r="177">
          <cell r="BT177" t="e">
            <v>#N/A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e">
            <v>#N/A</v>
          </cell>
        </row>
        <row r="181">
          <cell r="BT181" t="e">
            <v>#N/A</v>
          </cell>
        </row>
        <row r="182">
          <cell r="BT182" t="str">
            <v>Bakonysárkány</v>
          </cell>
        </row>
        <row r="183">
          <cell r="BT183" t="e">
            <v>#N/A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e">
            <v>#N/A</v>
          </cell>
        </row>
        <row r="192">
          <cell r="BT192" t="e">
            <v>#N/A</v>
          </cell>
        </row>
        <row r="193">
          <cell r="BT193" t="str">
            <v>Baktüttös</v>
          </cell>
        </row>
        <row r="194">
          <cell r="BT194" t="e">
            <v>#N/A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e">
            <v>#N/A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e">
            <v>#N/A</v>
          </cell>
        </row>
        <row r="205">
          <cell r="BT205" t="e">
            <v>#N/A</v>
          </cell>
        </row>
        <row r="206">
          <cell r="BT206" t="str">
            <v>Balatonfőkajár</v>
          </cell>
        </row>
        <row r="207">
          <cell r="BT207" t="e">
            <v>#N/A</v>
          </cell>
        </row>
        <row r="208">
          <cell r="BT208" t="str">
            <v>Balatonfüred</v>
          </cell>
        </row>
        <row r="209">
          <cell r="BT209" t="e">
            <v>#N/A</v>
          </cell>
        </row>
        <row r="210">
          <cell r="BT210" t="e">
            <v>#N/A</v>
          </cell>
        </row>
        <row r="211">
          <cell r="BT211" t="e">
            <v>#N/A</v>
          </cell>
        </row>
        <row r="212">
          <cell r="BT212" t="e">
            <v>#N/A</v>
          </cell>
        </row>
        <row r="213">
          <cell r="BT213" t="str">
            <v>Balatonkeresztúr</v>
          </cell>
        </row>
        <row r="214">
          <cell r="BT214" t="e">
            <v>#N/A</v>
          </cell>
        </row>
        <row r="215">
          <cell r="BT215" t="e">
            <v>#N/A</v>
          </cell>
        </row>
        <row r="216">
          <cell r="BT216" t="e">
            <v>#N/A</v>
          </cell>
        </row>
        <row r="217">
          <cell r="BT217" t="e">
            <v>#N/A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e">
            <v>#N/A</v>
          </cell>
        </row>
        <row r="229">
          <cell r="BT229" t="e">
            <v>#N/A</v>
          </cell>
        </row>
        <row r="230">
          <cell r="BT230" t="e">
            <v>#N/A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e">
            <v>#N/A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e">
            <v>#N/A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e">
            <v>#N/A</v>
          </cell>
        </row>
        <row r="244">
          <cell r="BT244" t="e">
            <v>#N/A</v>
          </cell>
        </row>
        <row r="245">
          <cell r="BT245" t="e">
            <v>#N/A</v>
          </cell>
        </row>
        <row r="246">
          <cell r="BT246" t="e">
            <v>#N/A</v>
          </cell>
        </row>
        <row r="247">
          <cell r="BT247" t="str">
            <v>Báránd</v>
          </cell>
        </row>
        <row r="248">
          <cell r="BT248" t="e">
            <v>#N/A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e">
            <v>#N/A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e">
            <v>#N/A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e">
            <v>#N/A</v>
          </cell>
        </row>
        <row r="258">
          <cell r="BT258" t="str">
            <v>Basal</v>
          </cell>
        </row>
        <row r="259">
          <cell r="BT259" t="e">
            <v>#N/A</v>
          </cell>
        </row>
        <row r="260">
          <cell r="BT260" t="str">
            <v>Báta</v>
          </cell>
        </row>
        <row r="261">
          <cell r="BT261" t="e">
            <v>#N/A</v>
          </cell>
        </row>
        <row r="262">
          <cell r="BT262" t="e">
            <v>#N/A</v>
          </cell>
        </row>
        <row r="263">
          <cell r="BT263" t="e">
            <v>#N/A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e">
            <v>#N/A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e">
            <v>#N/A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e">
            <v>#N/A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e">
            <v>#N/A</v>
          </cell>
        </row>
        <row r="290">
          <cell r="BT290" t="e">
            <v>#N/A</v>
          </cell>
        </row>
        <row r="291">
          <cell r="BT291" t="e">
            <v>#N/A</v>
          </cell>
        </row>
        <row r="292">
          <cell r="BT292" t="e">
            <v>#N/A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e">
            <v>#N/A</v>
          </cell>
        </row>
        <row r="296">
          <cell r="BT296" t="str">
            <v>Belsősárd</v>
          </cell>
        </row>
        <row r="297">
          <cell r="BT297" t="e">
            <v>#N/A</v>
          </cell>
        </row>
        <row r="298">
          <cell r="BT298" t="e">
            <v>#N/A</v>
          </cell>
        </row>
        <row r="299">
          <cell r="BT299" t="e">
            <v>#N/A</v>
          </cell>
        </row>
        <row r="300">
          <cell r="BT300" t="e">
            <v>#N/A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e">
            <v>#N/A</v>
          </cell>
        </row>
        <row r="304">
          <cell r="BT304" t="e">
            <v>#N/A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e">
            <v>#N/A</v>
          </cell>
        </row>
        <row r="313">
          <cell r="BT313" t="str">
            <v>Berkesd</v>
          </cell>
        </row>
        <row r="314">
          <cell r="BT314" t="e">
            <v>#N/A</v>
          </cell>
        </row>
        <row r="315">
          <cell r="BT315" t="e">
            <v>#N/A</v>
          </cell>
        </row>
        <row r="316">
          <cell r="BT316" t="str">
            <v>Berzék</v>
          </cell>
        </row>
        <row r="317">
          <cell r="BT317" t="e">
            <v>#N/A</v>
          </cell>
        </row>
        <row r="318">
          <cell r="BT318" t="str">
            <v>Besence</v>
          </cell>
        </row>
        <row r="319">
          <cell r="BT319" t="e">
            <v>#N/A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e">
            <v>#N/A</v>
          </cell>
        </row>
        <row r="323">
          <cell r="BT323" t="e">
            <v>#N/A</v>
          </cell>
        </row>
        <row r="324">
          <cell r="BT324" t="e">
            <v>#N/A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e">
            <v>#N/A</v>
          </cell>
        </row>
        <row r="329">
          <cell r="BT329" t="str">
            <v>Bicsérd</v>
          </cell>
        </row>
        <row r="330">
          <cell r="BT330" t="e">
            <v>#N/A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e">
            <v>#N/A</v>
          </cell>
        </row>
        <row r="337">
          <cell r="BT337" t="str">
            <v>Bikal</v>
          </cell>
        </row>
        <row r="338">
          <cell r="BT338" t="e">
            <v>#N/A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e">
            <v>#N/A</v>
          </cell>
        </row>
        <row r="349">
          <cell r="BT349" t="e">
            <v>#N/A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e">
            <v>#N/A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e">
            <v>#N/A</v>
          </cell>
        </row>
        <row r="360">
          <cell r="BT360" t="str">
            <v>步渠灡扺湥⁩汥慳E⠀戲 湉浺滩楹琠狡畳⁳泡慴⁬汥潴瑴朠敹浲步步渠灡扺湥⁩汥慳ó؉䄀 ㄀　 　　　 昀儀渁氀 渀愀最礀漀戀戀 氀愀欀漀猀猀最猀稀洀切 渀欀漀爀洀渀礀稀愀琀 氀琀愀氀 渀氀氀愀渀 昀攀渀渀琀愀爀琀漀琀琀 瘀漀搀欀戀愀渀 愀稀 渀氀氀愀渀 攀氀椀渀搀琀漀琀琀 ㄀⸀ 渀攀瘀攀氀猀椀 瘀 渀攀洀 瘀攀最礀攀猀 挀猀漀瀀漀爀琀樀愀椀戀愀 樀爀 最礀攀爀洀攀欀攀欀 猀稀洀愀 ⠀愀 ㄀　 　　　 昀儀渁氀 渀愀最礀漀戀戀 氀愀欀漀猀猀最猀稀洀</v>
          </cell>
        </row>
        <row r="361">
          <cell r="BT361" t="e">
            <v>#N/A</v>
          </cell>
        </row>
        <row r="362">
          <cell r="BT362" t="str">
            <v>Bogács</v>
          </cell>
        </row>
        <row r="363">
          <cell r="BT363" t="e">
            <v>#N/A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e">
            <v>#N/A</v>
          </cell>
        </row>
        <row r="367">
          <cell r="BT367" t="str">
            <v>Bogyoszló</v>
          </cell>
        </row>
        <row r="368">
          <cell r="BT368" t="str">
            <v>Dr. Ferencz Márton</v>
          </cell>
        </row>
        <row r="369">
          <cell r="BT369" t="str">
            <v>Bókaháza</v>
          </cell>
        </row>
        <row r="370">
          <cell r="BT370" t="e">
            <v>#N/A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e">
            <v>#N/A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e">
            <v>#N/A</v>
          </cell>
        </row>
        <row r="377">
          <cell r="BT377" t="e">
            <v>#N/A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e">
            <v>#N/A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e">
            <v>#N/A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e">
            <v>#N/A</v>
          </cell>
        </row>
        <row r="399">
          <cell r="BT399" t="e">
            <v>#N/A</v>
          </cell>
        </row>
        <row r="400">
          <cell r="BT400" t="e">
            <v>#N/A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e">
            <v>#N/A</v>
          </cell>
        </row>
        <row r="404">
          <cell r="BT404" t="e">
            <v>#N/A</v>
          </cell>
        </row>
        <row r="405">
          <cell r="BT405" t="e">
            <v>#N/A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e">
            <v>#N/A</v>
          </cell>
        </row>
        <row r="412">
          <cell r="BT412" t="e">
            <v>#N/A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e">
            <v>#N/A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e">
            <v>#N/A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e">
            <v>#N/A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e">
            <v>#N/A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e">
            <v>#N/A</v>
          </cell>
        </row>
        <row r="433">
          <cell r="BT433" t="e">
            <v>#N/A</v>
          </cell>
        </row>
        <row r="434">
          <cell r="BT434" t="e">
            <v>#N/A</v>
          </cell>
        </row>
        <row r="435">
          <cell r="BT435" t="e">
            <v>#N/A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e">
            <v>#N/A</v>
          </cell>
        </row>
        <row r="440">
          <cell r="BT440" t="str">
            <v>Bükkszentmárton</v>
          </cell>
        </row>
        <row r="441">
          <cell r="BT441" t="e">
            <v>#N/A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e">
            <v>#N/A</v>
          </cell>
        </row>
        <row r="445">
          <cell r="BT445" t="e">
            <v>#N/A</v>
          </cell>
        </row>
        <row r="446">
          <cell r="BT446" t="str">
            <v>Cakóháza</v>
          </cell>
        </row>
        <row r="447">
          <cell r="BT447" t="e">
            <v>#N/A</v>
          </cell>
        </row>
        <row r="448">
          <cell r="BT448" t="e">
            <v>#N/A</v>
          </cell>
        </row>
        <row r="449">
          <cell r="BT449" t="e">
            <v>#N/A</v>
          </cell>
        </row>
        <row r="450">
          <cell r="BT450" t="str">
            <v>Dr. Jakab Róbert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e">
            <v>#N/A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e">
            <v>#N/A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e">
            <v>#N/A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e">
            <v>#N/A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e">
            <v>#N/A</v>
          </cell>
        </row>
        <row r="467">
          <cell r="BT467" t="e">
            <v>#N/A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e">
            <v>#N/A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e">
            <v>#N/A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e">
            <v>#N/A</v>
          </cell>
        </row>
        <row r="488">
          <cell r="BT488" t="str">
            <v>Csávoly</v>
          </cell>
        </row>
        <row r="489">
          <cell r="BT489" t="e">
            <v>#N/A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e">
            <v>#N/A</v>
          </cell>
        </row>
        <row r="494">
          <cell r="BT494" t="e">
            <v>#N/A</v>
          </cell>
        </row>
        <row r="495">
          <cell r="BT495" t="str">
            <v>Csém</v>
          </cell>
        </row>
        <row r="496">
          <cell r="BT496" t="str">
            <v>Kossuth  L. u. 28.</v>
          </cell>
        </row>
        <row r="497">
          <cell r="BT497" t="e">
            <v>#N/A</v>
          </cell>
        </row>
        <row r="498">
          <cell r="BT498" t="str">
            <v>Csengele</v>
          </cell>
        </row>
        <row r="499">
          <cell r="BT499" t="e">
            <v>#N/A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e">
            <v>#N/A</v>
          </cell>
        </row>
        <row r="504">
          <cell r="BT504" t="e">
            <v>#N/A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e">
            <v>#N/A</v>
          </cell>
        </row>
        <row r="509">
          <cell r="BT509" t="e">
            <v>#N/A</v>
          </cell>
        </row>
        <row r="510">
          <cell r="BT510" t="e">
            <v>#N/A</v>
          </cell>
        </row>
        <row r="511">
          <cell r="BT511" t="e">
            <v>#N/A</v>
          </cell>
        </row>
        <row r="512">
          <cell r="BT512" t="e">
            <v>#N/A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e">
            <v>#N/A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Bonyhádvarasd</v>
          </cell>
        </row>
        <row r="527">
          <cell r="BT527" t="e">
            <v>#N/A</v>
          </cell>
        </row>
        <row r="528">
          <cell r="BT528" t="e">
            <v>#N/A</v>
          </cell>
        </row>
        <row r="529">
          <cell r="BT529" t="e">
            <v>#N/A</v>
          </cell>
        </row>
        <row r="530">
          <cell r="BT530" t="e">
            <v>#N/A</v>
          </cell>
        </row>
        <row r="531">
          <cell r="BT531" t="e">
            <v>#N/A</v>
          </cell>
        </row>
        <row r="532">
          <cell r="BT532" t="e">
            <v>#N/A</v>
          </cell>
        </row>
        <row r="533">
          <cell r="BT533" t="str">
            <v>Csitár</v>
          </cell>
        </row>
        <row r="534">
          <cell r="BT534" t="e">
            <v>#N/A</v>
          </cell>
        </row>
        <row r="535">
          <cell r="BT535" t="e">
            <v>#N/A</v>
          </cell>
        </row>
        <row r="536">
          <cell r="BT536" t="e">
            <v>#N/A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e">
            <v>#N/A</v>
          </cell>
        </row>
        <row r="542">
          <cell r="BT542" t="str">
            <v>Csoma</v>
          </cell>
        </row>
        <row r="543">
          <cell r="BT543" t="e">
            <v>#N/A</v>
          </cell>
        </row>
        <row r="544">
          <cell r="BT544" t="e">
            <v>#N/A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Orbán Zsolt</v>
          </cell>
        </row>
        <row r="550">
          <cell r="BT550" t="e">
            <v>#N/A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e">
            <v>#N/A</v>
          </cell>
        </row>
        <row r="557">
          <cell r="BT557" t="e">
            <v>#N/A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e">
            <v>#N/A</v>
          </cell>
        </row>
        <row r="561">
          <cell r="BT561" t="str">
            <v>Csörnyeföld</v>
          </cell>
        </row>
        <row r="562">
          <cell r="BT562" t="e">
            <v>#N/A</v>
          </cell>
        </row>
        <row r="563">
          <cell r="BT563" t="e">
            <v>#N/A</v>
          </cell>
        </row>
        <row r="564">
          <cell r="BT564" t="str">
            <v>Vaszari Dezső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e">
            <v>#N/A</v>
          </cell>
        </row>
        <row r="568">
          <cell r="BT568" t="str">
            <v>Zalaszentlőrinc</v>
          </cell>
        </row>
        <row r="569">
          <cell r="BT569" t="e">
            <v>#N/A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e">
            <v>#N/A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e">
            <v>#N/A</v>
          </cell>
        </row>
        <row r="581">
          <cell r="BT581" t="e">
            <v>#N/A</v>
          </cell>
        </row>
        <row r="582">
          <cell r="BT582" t="str">
            <v>Darnó</v>
          </cell>
        </row>
        <row r="583">
          <cell r="BT583" t="e">
            <v>#N/A</v>
          </cell>
        </row>
        <row r="584">
          <cell r="BT584" t="e">
            <v>#N/A</v>
          </cell>
        </row>
        <row r="585">
          <cell r="BT585" t="str">
            <v>Darvas</v>
          </cell>
        </row>
        <row r="586">
          <cell r="BT586" t="e">
            <v>#N/A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e">
            <v>#N/A</v>
          </cell>
        </row>
        <row r="591">
          <cell r="BT591" t="str">
            <v>Dédestapolcsány</v>
          </cell>
        </row>
        <row r="592">
          <cell r="BT592" t="str">
            <v>Rákóczi u. 57.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Zalaújlak</v>
          </cell>
        </row>
        <row r="598">
          <cell r="BT598" t="e">
            <v>#N/A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e">
            <v>#N/A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e">
            <v>#N/A</v>
          </cell>
        </row>
        <row r="615">
          <cell r="BT615" t="e">
            <v>#N/A</v>
          </cell>
        </row>
        <row r="616">
          <cell r="BT616" t="e">
            <v>#N/A</v>
          </cell>
        </row>
        <row r="617">
          <cell r="BT617" t="str">
            <v>Domaháza</v>
          </cell>
        </row>
        <row r="618">
          <cell r="BT618" t="e">
            <v>#N/A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e">
            <v>#N/A</v>
          </cell>
        </row>
        <row r="629">
          <cell r="BT629" t="e">
            <v>#N/A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e">
            <v>#N/A</v>
          </cell>
        </row>
        <row r="634">
          <cell r="BT634" t="e">
            <v>#N/A</v>
          </cell>
        </row>
        <row r="635">
          <cell r="BT635" t="str">
            <v>Dömsöd</v>
          </cell>
        </row>
        <row r="636">
          <cell r="BT636" t="e">
            <v>#N/A</v>
          </cell>
        </row>
        <row r="637">
          <cell r="BT637" t="str">
            <v>Dörgicse</v>
          </cell>
        </row>
        <row r="638">
          <cell r="BT638" t="e">
            <v>#N/A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e">
            <v>#N/A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e">
            <v>#N/A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e">
            <v>#N/A</v>
          </cell>
        </row>
        <row r="654">
          <cell r="BT654" t="str">
            <v>Drégelypalánk</v>
          </cell>
        </row>
        <row r="655">
          <cell r="BT655" t="e">
            <v>#N/A</v>
          </cell>
        </row>
        <row r="656">
          <cell r="BT656" t="str">
            <v>Dudar</v>
          </cell>
        </row>
        <row r="657">
          <cell r="BT657" t="e">
            <v>#N/A</v>
          </cell>
        </row>
        <row r="658">
          <cell r="BT658" t="e">
            <v>#N/A</v>
          </cell>
        </row>
        <row r="659">
          <cell r="BT659" t="str">
            <v>Dunabogdány</v>
          </cell>
        </row>
        <row r="660">
          <cell r="BT660" t="e">
            <v>#N/A</v>
          </cell>
        </row>
        <row r="661">
          <cell r="BT661" t="e">
            <v>#N/A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e">
            <v>#N/A</v>
          </cell>
        </row>
        <row r="665">
          <cell r="BT665" t="e">
            <v>#N/A</v>
          </cell>
        </row>
        <row r="666">
          <cell r="BT666" t="e">
            <v>#N/A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e">
            <v>#N/A</v>
          </cell>
        </row>
        <row r="670">
          <cell r="BT670" t="e">
            <v>#N/A</v>
          </cell>
        </row>
        <row r="671">
          <cell r="BT671" t="str">
            <v>Dunaszentgyörgy</v>
          </cell>
        </row>
        <row r="672">
          <cell r="BT672" t="e">
            <v>#N/A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e">
            <v>#N/A</v>
          </cell>
        </row>
        <row r="676">
          <cell r="BT676" t="str">
            <v>Dunaújváros</v>
          </cell>
        </row>
        <row r="677">
          <cell r="BT677" t="str">
            <v>潨⁬瑬穯珡瘠湡਩_x0000_汁敭楤_x0011_䐀⹲䜠杲⁹慂獺_x0007_䘁儀 甀 㔀㠀Ѐ_x0000_灁橡	一癯毡倠泡_x000F_䠁攀最攀搀焀猁 䰀愀樀漀猀渀ࠀĀFő tér 2_x000F_䐀竳慳䜠⹹甠‮⸳_x000B_䄀獬瓳汥步獥_x000C_䈀摯⁲楔潢୲_x0000_敫甠‮㘳ਮ_x0000_汁慶穳_x000D_䬀獩⁳穳_x001F_䬀獩⁳穳䜠潲正⁩敖潲楮慫	䘁儀 切琀 㘀㌀⸀਀_x0000_汁獺汯慣_x000F_娀楳潲⁳摮牯_x0012_䬀獯畳桴䰠‮⹵ㄠ㠲Ю_x0000_牁慫_x000E_嘀牡湡楡䰠珡決ჳ_x0000_畈祮摡⁩瑵慣㈠⸹_x0004_䄀汲ෳ_x0000_獚杩慲⁹狁൤_x0000_獚杩慲⁩狁ཤ_x0000_摁⁹⹅瑵慣ㄠ㈶Ԯ_x0000_牁൴_x0000_潋敬歮⃳潢ၲĀPetőfi utca 120._x0006_䄀穳污ೳ_x0000_狁慶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e">
            <v>#N/A</v>
          </cell>
        </row>
        <row r="688">
          <cell r="BT688" t="e">
            <v>#N/A</v>
          </cell>
        </row>
        <row r="689">
          <cell r="BT689" t="e">
            <v>#N/A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e">
            <v>#N/A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e">
            <v>#N/A</v>
          </cell>
        </row>
        <row r="700">
          <cell r="BT700" t="e">
            <v>#N/A</v>
          </cell>
        </row>
        <row r="701">
          <cell r="BT701" t="e">
            <v>#N/A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e">
            <v>#N/A</v>
          </cell>
        </row>
        <row r="705">
          <cell r="BT705" t="e">
            <v>#N/A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Zsálek Ferenc Csaba</v>
          </cell>
        </row>
        <row r="711">
          <cell r="BT711" t="e">
            <v>#N/A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e">
            <v>#N/A</v>
          </cell>
        </row>
        <row r="721">
          <cell r="BT721" t="str">
            <v>Encs</v>
          </cell>
        </row>
        <row r="722">
          <cell r="BT722" t="e">
            <v>#N/A</v>
          </cell>
        </row>
        <row r="723">
          <cell r="BT723" t="str">
            <v>Lovászi, Kútfej u. 112.</v>
          </cell>
        </row>
        <row r="724">
          <cell r="BT724" t="e">
            <v>#N/A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e">
            <v>#N/A</v>
          </cell>
        </row>
        <row r="728">
          <cell r="BT728" t="e">
            <v>#N/A</v>
          </cell>
        </row>
        <row r="729">
          <cell r="BT729" t="str">
            <v>Eplény</v>
          </cell>
        </row>
        <row r="730">
          <cell r="BT730" t="e">
            <v>#N/A</v>
          </cell>
        </row>
        <row r="731">
          <cell r="BT731" t="e">
            <v>#N/A</v>
          </cell>
        </row>
        <row r="732">
          <cell r="BT732" t="e">
            <v>#N/A</v>
          </cell>
        </row>
        <row r="733">
          <cell r="BT733" t="e">
            <v>#N/A</v>
          </cell>
        </row>
        <row r="734">
          <cell r="BT734" t="e">
            <v>#N/A</v>
          </cell>
        </row>
        <row r="735">
          <cell r="BT735" t="e">
            <v>#N/A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e">
            <v>#N/A</v>
          </cell>
        </row>
        <row r="739">
          <cell r="BT739" t="str">
            <v>Erdősmecske</v>
          </cell>
        </row>
        <row r="740">
          <cell r="BT740" t="str">
            <v>Kiss u. 2.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Kanizsai u. 6.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Blatt Antal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e">
            <v>#N/A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e">
            <v>#N/A</v>
          </cell>
        </row>
        <row r="767">
          <cell r="BT767" t="e">
            <v>#N/A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e">
            <v>#N/A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e">
            <v>#N/A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e">
            <v>#N/A</v>
          </cell>
        </row>
        <row r="778">
          <cell r="BT778" t="str">
            <v>Felpéc</v>
          </cell>
        </row>
        <row r="779">
          <cell r="BT779" t="e">
            <v>#N/A</v>
          </cell>
        </row>
        <row r="780">
          <cell r="BT780" t="str">
            <v>Felsőcsatár</v>
          </cell>
        </row>
        <row r="781">
          <cell r="BT781" t="e">
            <v>#N/A</v>
          </cell>
        </row>
        <row r="782">
          <cell r="BT782" t="str">
            <v>Felsőegerszeg</v>
          </cell>
        </row>
        <row r="783">
          <cell r="BT783" t="e">
            <v>#N/A</v>
          </cell>
        </row>
        <row r="784">
          <cell r="BT784" t="str">
            <v>Felsőjánosfa</v>
          </cell>
        </row>
        <row r="785">
          <cell r="BT785" t="e">
            <v>#N/A</v>
          </cell>
        </row>
        <row r="786">
          <cell r="BT786" t="e">
            <v>#N/A</v>
          </cell>
        </row>
        <row r="787">
          <cell r="BT787" t="e">
            <v>#N/A</v>
          </cell>
        </row>
        <row r="788">
          <cell r="BT788" t="e">
            <v>#N/A</v>
          </cell>
        </row>
        <row r="789">
          <cell r="BT789" t="str">
            <v>Felsőnána</v>
          </cell>
        </row>
        <row r="790">
          <cell r="BT790" t="e">
            <v>#N/A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e">
            <v>#N/A</v>
          </cell>
        </row>
        <row r="795">
          <cell r="BT795" t="str">
            <v>Kossuth L. u. 112.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e">
            <v>#N/A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e">
            <v>#N/A</v>
          </cell>
        </row>
        <row r="806">
          <cell r="BT806" t="e">
            <v>#N/A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e">
            <v>#N/A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e">
            <v>#N/A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e">
            <v>#N/A</v>
          </cell>
        </row>
        <row r="818">
          <cell r="BT818" t="e">
            <v>#N/A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e">
            <v>#N/A</v>
          </cell>
        </row>
        <row r="823">
          <cell r="BT823" t="e">
            <v>#N/A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e">
            <v>#N/A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e">
            <v>#N/A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e">
            <v>#N/A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e">
            <v>#N/A</v>
          </cell>
        </row>
        <row r="869">
          <cell r="BT869" t="e">
            <v>#N/A</v>
          </cell>
        </row>
        <row r="870">
          <cell r="BT870" t="str">
            <v>Garabonc</v>
          </cell>
        </row>
        <row r="871">
          <cell r="BT871" t="e">
            <v>#N/A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e">
            <v>#N/A</v>
          </cell>
        </row>
        <row r="875">
          <cell r="BT875" t="str">
            <v>Gasztony</v>
          </cell>
        </row>
        <row r="876">
          <cell r="BT876" t="e">
            <v>#N/A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e">
            <v>#N/A</v>
          </cell>
        </row>
        <row r="881">
          <cell r="BT881" t="str">
            <v>Gégény</v>
          </cell>
        </row>
        <row r="882">
          <cell r="BT882" t="e">
            <v>#N/A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e">
            <v>#N/A</v>
          </cell>
        </row>
        <row r="891">
          <cell r="BT891" t="str">
            <v>Gerendás</v>
          </cell>
        </row>
        <row r="892">
          <cell r="BT892" t="e">
            <v>#N/A</v>
          </cell>
        </row>
        <row r="893">
          <cell r="BT893" t="e">
            <v>#N/A</v>
          </cell>
        </row>
        <row r="894">
          <cell r="BT894" t="e">
            <v>#N/A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e">
            <v>#N/A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e">
            <v>#N/A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e">
            <v>#N/A</v>
          </cell>
        </row>
        <row r="904">
          <cell r="BT904" t="e">
            <v>#N/A</v>
          </cell>
        </row>
        <row r="905">
          <cell r="BT905" t="str">
            <v>Gógánfa</v>
          </cell>
        </row>
        <row r="906">
          <cell r="BT906" t="e">
            <v>#N/A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e">
            <v>#N/A</v>
          </cell>
        </row>
        <row r="913">
          <cell r="BT913" t="e">
            <v>#N/A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e">
            <v>#N/A</v>
          </cell>
        </row>
        <row r="917">
          <cell r="BT917" t="e">
            <v>#N/A</v>
          </cell>
        </row>
        <row r="918">
          <cell r="BT918" t="e">
            <v>#N/A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e">
            <v>#N/A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e">
            <v>#N/A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e">
            <v>#N/A</v>
          </cell>
        </row>
        <row r="951">
          <cell r="BT951" t="e">
            <v>#N/A</v>
          </cell>
        </row>
        <row r="952">
          <cell r="BT952" t="str">
            <v>Győrasszonyfa</v>
          </cell>
        </row>
        <row r="953">
          <cell r="BT953" t="e">
            <v>#N/A</v>
          </cell>
        </row>
        <row r="954">
          <cell r="BT954" t="e">
            <v>#N/A</v>
          </cell>
        </row>
        <row r="955">
          <cell r="BT955" t="e">
            <v>#N/A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e">
            <v>#N/A</v>
          </cell>
        </row>
        <row r="969">
          <cell r="BT969" t="e">
            <v>#N/A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e">
            <v>#N/A</v>
          </cell>
        </row>
        <row r="973">
          <cell r="BT973" t="e">
            <v>#N/A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e">
            <v>#N/A</v>
          </cell>
        </row>
        <row r="980">
          <cell r="BT980" t="str">
            <v>Hajdúdorog</v>
          </cell>
        </row>
        <row r="981">
          <cell r="BT981" t="str">
            <v>Zalaszentmárton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e">
            <v>#N/A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e">
            <v>#N/A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e">
            <v>#N/A</v>
          </cell>
        </row>
        <row r="992">
          <cell r="BT992" t="e">
            <v>#N/A</v>
          </cell>
        </row>
        <row r="993">
          <cell r="BT993" t="e">
            <v>#N/A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e">
            <v>#N/A</v>
          </cell>
        </row>
        <row r="997">
          <cell r="BT997" t="e">
            <v>#N/A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e">
            <v>#N/A</v>
          </cell>
        </row>
        <row r="1001">
          <cell r="BT1001" t="str">
            <v>Harka</v>
          </cell>
        </row>
        <row r="1002">
          <cell r="BT1002" t="e">
            <v>#N/A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e">
            <v>#N/A</v>
          </cell>
        </row>
        <row r="1006">
          <cell r="BT1006" t="e">
            <v>#N/A</v>
          </cell>
        </row>
        <row r="1007">
          <cell r="BT1007" t="e">
            <v>#N/A</v>
          </cell>
        </row>
        <row r="1008">
          <cell r="BT1008" t="e">
            <v>#N/A</v>
          </cell>
        </row>
        <row r="1009">
          <cell r="BT1009" t="str">
            <v>Hásságy</v>
          </cell>
        </row>
        <row r="1010">
          <cell r="BT1010" t="e">
            <v>#N/A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e">
            <v>#N/A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e">
            <v>#N/A</v>
          </cell>
        </row>
        <row r="1021">
          <cell r="BT1021" t="e">
            <v>#N/A</v>
          </cell>
        </row>
        <row r="1022">
          <cell r="BT1022" t="str">
            <v>Hegykő</v>
          </cell>
        </row>
        <row r="1023">
          <cell r="BT1023" t="e">
            <v>#N/A</v>
          </cell>
        </row>
        <row r="1024">
          <cell r="BT1024" t="e">
            <v>#N/A</v>
          </cell>
        </row>
        <row r="1025">
          <cell r="BT1025" t="str">
            <v>Hegyszentmárton</v>
          </cell>
        </row>
        <row r="1026">
          <cell r="BT1026" t="e">
            <v>#N/A</v>
          </cell>
        </row>
        <row r="1027">
          <cell r="BT1027" t="e">
            <v>#N/A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Balmazújvárosi</v>
          </cell>
        </row>
        <row r="1034">
          <cell r="BT1034" t="e">
            <v>#N/A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e">
            <v>#N/A</v>
          </cell>
        </row>
        <row r="1038">
          <cell r="BT1038" t="e">
            <v>#N/A</v>
          </cell>
        </row>
        <row r="1039">
          <cell r="BT1039" t="e">
            <v>#N/A</v>
          </cell>
        </row>
        <row r="1040">
          <cell r="BT1040" t="e">
            <v>#N/A</v>
          </cell>
        </row>
        <row r="1041">
          <cell r="BT1041" t="e">
            <v>#N/A</v>
          </cell>
        </row>
        <row r="1042">
          <cell r="BT1042" t="e">
            <v>#N/A</v>
          </cell>
        </row>
        <row r="1043">
          <cell r="BT1043" t="e">
            <v>#N/A</v>
          </cell>
        </row>
        <row r="1044">
          <cell r="BT1044" t="e">
            <v>#N/A</v>
          </cell>
        </row>
        <row r="1045">
          <cell r="BT1045" t="e">
            <v>#N/A</v>
          </cell>
        </row>
        <row r="1046">
          <cell r="BT1046" t="str">
            <v>Hernád</v>
          </cell>
        </row>
        <row r="1047">
          <cell r="BT1047" t="e">
            <v>#N/A</v>
          </cell>
        </row>
        <row r="1048">
          <cell r="BT1048" t="e">
            <v>#N/A</v>
          </cell>
        </row>
        <row r="1049">
          <cell r="BT1049" t="e">
            <v>#N/A</v>
          </cell>
        </row>
        <row r="1050">
          <cell r="BT1050" t="e">
            <v>#N/A</v>
          </cell>
        </row>
        <row r="1051">
          <cell r="BT1051" t="e">
            <v>#N/A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e">
            <v>#N/A</v>
          </cell>
        </row>
        <row r="1060">
          <cell r="BT1060" t="str">
            <v>Hajdúhadházi Többcélú Kistérségi Társulás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e">
            <v>#N/A</v>
          </cell>
        </row>
        <row r="1073">
          <cell r="BT1073" t="str">
            <v>Himod</v>
          </cell>
        </row>
        <row r="1074">
          <cell r="BT1074" t="e">
            <v>#N/A</v>
          </cell>
        </row>
        <row r="1075">
          <cell r="BT1075" t="e">
            <v>#N/A</v>
          </cell>
        </row>
        <row r="1076">
          <cell r="BT1076" t="str">
            <v>Hodász</v>
          </cell>
        </row>
        <row r="1077">
          <cell r="BT1077" t="e">
            <v>#N/A</v>
          </cell>
        </row>
        <row r="1078">
          <cell r="BT1078" t="e">
            <v>#N/A</v>
          </cell>
        </row>
        <row r="1079">
          <cell r="BT1079" t="str">
            <v>Hollóháza</v>
          </cell>
        </row>
        <row r="1080">
          <cell r="BT1080" t="e">
            <v>#N/A</v>
          </cell>
        </row>
        <row r="1081">
          <cell r="BT1081" t="e">
            <v>#N/A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e">
            <v>#N/A</v>
          </cell>
        </row>
        <row r="1085">
          <cell r="BT1085" t="e">
            <v>#N/A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e">
            <v>#N/A</v>
          </cell>
        </row>
        <row r="1098">
          <cell r="BT1098" t="str">
            <v>Hosszúvölgy</v>
          </cell>
        </row>
        <row r="1099">
          <cell r="BT1099" t="e">
            <v>#N/A</v>
          </cell>
        </row>
        <row r="1100">
          <cell r="BT1100" t="str">
            <v>Hottó</v>
          </cell>
        </row>
        <row r="1101">
          <cell r="BT1101" t="e">
            <v>#N/A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e">
            <v>#N/A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e">
            <v>#N/A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e">
            <v>#N/A</v>
          </cell>
        </row>
        <row r="1133">
          <cell r="BT1133" t="str">
            <v>Ipolyvece</v>
          </cell>
        </row>
        <row r="1134">
          <cell r="BT1134" t="e">
            <v>#N/A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e">
            <v>#N/A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e">
            <v>#N/A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Baráth Béla</v>
          </cell>
        </row>
        <row r="1146">
          <cell r="BT1146" t="e">
            <v>#N/A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e">
            <v>#N/A</v>
          </cell>
        </row>
        <row r="1152">
          <cell r="BT1152" t="str">
            <v>Jágónak</v>
          </cell>
        </row>
        <row r="1153">
          <cell r="BT1153" t="e">
            <v>#N/A</v>
          </cell>
        </row>
        <row r="1154">
          <cell r="BT1154" t="str">
            <v>Jakabszállás</v>
          </cell>
        </row>
        <row r="1155">
          <cell r="BT1155" t="e">
            <v>#N/A</v>
          </cell>
        </row>
        <row r="1156">
          <cell r="BT1156" t="e">
            <v>#N/A</v>
          </cell>
        </row>
        <row r="1157">
          <cell r="BT1157" t="str">
            <v>Jákó</v>
          </cell>
        </row>
        <row r="1158">
          <cell r="BT1158" t="e">
            <v>#N/A</v>
          </cell>
        </row>
        <row r="1159">
          <cell r="BT1159" t="e">
            <v>#N/A</v>
          </cell>
        </row>
        <row r="1160">
          <cell r="BT1160" t="e">
            <v>#N/A</v>
          </cell>
        </row>
        <row r="1161">
          <cell r="BT1161" t="str">
            <v>Jánosháza</v>
          </cell>
        </row>
        <row r="1162">
          <cell r="BT1162" t="e">
            <v>#N/A</v>
          </cell>
        </row>
        <row r="1163">
          <cell r="BT1163" t="e">
            <v>#N/A</v>
          </cell>
        </row>
        <row r="1164">
          <cell r="BT1164" t="e">
            <v>#N/A</v>
          </cell>
        </row>
        <row r="1165">
          <cell r="BT1165" t="e">
            <v>#N/A</v>
          </cell>
        </row>
        <row r="1166">
          <cell r="BT1166" t="e">
            <v>#N/A</v>
          </cell>
        </row>
        <row r="1167">
          <cell r="BT1167" t="str">
            <v>Jászágó</v>
          </cell>
        </row>
        <row r="1168">
          <cell r="BT1168" t="e">
            <v>#N/A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k_x0000_a_x0000_r_x0000_a_x0000_j_x0000_e_x0000_n_x0000_Q_x0001__x0014__x0000__x0000_Dióskál, Béke tér 1._x0007__x0000__x0000_Egervár_x000C__x0000__x0001_G_x0000_y_x0000_Q_x0001_r_x0000_i_x0000_ _x0000_J_x0000_ó_x0000_z_x0000_s_x0000_e_x0000_f_x0000__x0008__x0000__x0000_Vár u. 2_x000E__x0000__x0000_Bátonyterenyei#_x0000__x0000_Pásztó Kistérség Többcélú Társulása_x0006__x0000__x0000_454052_x0011__x0000__x0000_Kölcsey F. u. 35._x0007__x0000__x0000_Pásztói_x0013__x0000__x0000_Szentgyörgyi József_x000D__x0000__x0000_Stoffán Antal
_x0000__x0000_Postaköz 1_x000B__x0000__x0000_Herceghalom	_x0000__x0001_F_x0000_Q_x0001_ _x0000_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e">
            <v>#N/A</v>
          </cell>
        </row>
        <row r="1185">
          <cell r="BT1185" t="str">
            <v>Jenő</v>
          </cell>
        </row>
        <row r="1186">
          <cell r="BT1186" t="e">
            <v>#N/A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e">
            <v>#N/A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Kadarkút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e">
            <v>#N/A</v>
          </cell>
        </row>
        <row r="1204">
          <cell r="BT1204" t="str">
            <v>Kálló</v>
          </cell>
        </row>
        <row r="1205">
          <cell r="BT1205" t="e">
            <v>#N/A</v>
          </cell>
        </row>
        <row r="1206">
          <cell r="BT1206" t="e">
            <v>#N/A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e">
            <v>#N/A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e">
            <v>#N/A</v>
          </cell>
        </row>
        <row r="1213">
          <cell r="BT1213" t="e">
            <v>#N/A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e">
            <v>#N/A</v>
          </cell>
        </row>
        <row r="1220">
          <cell r="BT1220" t="e">
            <v>#N/A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e">
            <v>#N/A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e">
            <v>#N/A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e">
            <v>#N/A</v>
          </cell>
        </row>
        <row r="1232">
          <cell r="BT1232" t="e">
            <v>#N/A</v>
          </cell>
        </row>
        <row r="1233">
          <cell r="BT1233" t="str">
            <v>Kaposvár</v>
          </cell>
        </row>
        <row r="1234">
          <cell r="BT1234" t="e">
            <v>#N/A</v>
          </cell>
        </row>
        <row r="1235">
          <cell r="BT1235" t="e">
            <v>#N/A</v>
          </cell>
        </row>
        <row r="1236">
          <cell r="BT1236" t="e">
            <v>#N/A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e">
            <v>#N/A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e">
            <v>#N/A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e">
            <v>#N/A</v>
          </cell>
        </row>
        <row r="1253">
          <cell r="BT1253" t="e">
            <v>#N/A</v>
          </cell>
        </row>
        <row r="1254">
          <cell r="BT1254" t="str">
            <v>Karos</v>
          </cell>
        </row>
        <row r="1255">
          <cell r="BT1255" t="str">
            <v>E_1.78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e">
            <v>#N/A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e">
            <v>#N/A</v>
          </cell>
        </row>
        <row r="1266">
          <cell r="BT1266" t="e">
            <v>#N/A</v>
          </cell>
        </row>
        <row r="1267">
          <cell r="BT1267" t="str">
            <v>Kazár</v>
          </cell>
        </row>
        <row r="1268">
          <cell r="BT1268" t="e">
            <v>#N/A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e">
            <v>#N/A</v>
          </cell>
        </row>
        <row r="1273">
          <cell r="BT1273" t="str">
            <v>Kecskemét</v>
          </cell>
        </row>
        <row r="1274">
          <cell r="BT1274" t="e">
            <v>#N/A</v>
          </cell>
        </row>
        <row r="1275">
          <cell r="BT1275" t="e">
            <v>#N/A</v>
          </cell>
        </row>
        <row r="1276">
          <cell r="BT1276" t="e">
            <v>#N/A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e">
            <v>#N/A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e">
            <v>#N/A</v>
          </cell>
        </row>
        <row r="1286">
          <cell r="BT1286" t="e">
            <v>#N/A</v>
          </cell>
        </row>
        <row r="1287">
          <cell r="BT1287" t="e">
            <v>#N/A</v>
          </cell>
        </row>
        <row r="1288">
          <cell r="BT1288" t="str">
            <v>Kemeneshőgyész</v>
          </cell>
        </row>
        <row r="1289">
          <cell r="BT1289" t="e">
            <v>#N/A</v>
          </cell>
        </row>
        <row r="1290">
          <cell r="BT1290" t="e">
            <v>#N/A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e">
            <v>#N/A</v>
          </cell>
        </row>
        <row r="1311">
          <cell r="BT1311" t="str">
            <v>Kereki</v>
          </cell>
        </row>
        <row r="1312">
          <cell r="BT1312" t="e">
            <v>#N/A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e">
            <v>#N/A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e">
            <v>#N/A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e">
            <v>#N/A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e">
            <v>#N/A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e">
            <v>#N/A</v>
          </cell>
        </row>
        <row r="1339">
          <cell r="BT1339" t="str">
            <v>Kilimán</v>
          </cell>
        </row>
        <row r="1340">
          <cell r="BT1340" t="e">
            <v>#N/A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e">
            <v>#N/A</v>
          </cell>
        </row>
        <row r="1344">
          <cell r="BT1344" t="e">
            <v>#N/A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e">
            <v>#N/A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e">
            <v>#N/A</v>
          </cell>
        </row>
        <row r="1352">
          <cell r="BT1352" t="str">
            <v>Kisbágyon</v>
          </cell>
        </row>
        <row r="1353">
          <cell r="BT1353" t="e">
            <v>#N/A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e">
            <v>#N/A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e">
            <v>#N/A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e">
            <v>#N/A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e">
            <v>#N/A</v>
          </cell>
        </row>
        <row r="1369">
          <cell r="BT1369" t="e">
            <v>#N/A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e">
            <v>#N/A</v>
          </cell>
        </row>
        <row r="1373">
          <cell r="BT1373" t="str">
            <v>Kisfüzes</v>
          </cell>
        </row>
        <row r="1374">
          <cell r="BT1374" t="e">
            <v>#N/A</v>
          </cell>
        </row>
        <row r="1375">
          <cell r="BT1375" t="str">
            <v>Kisgyalán</v>
          </cell>
        </row>
        <row r="1376">
          <cell r="BT1376" t="e">
            <v>#N/A</v>
          </cell>
        </row>
        <row r="1377">
          <cell r="BT1377" t="e">
            <v>#N/A</v>
          </cell>
        </row>
        <row r="1378">
          <cell r="BT1378" t="e">
            <v>#N/A</v>
          </cell>
        </row>
        <row r="1379">
          <cell r="BT1379" t="str">
            <v>zsgó_x0013__x0000__x0000_Ölbei Mihály Zoltán_x000C__x0000__x0000_Ölbei Mihály_x0010__x0000__x0000_Batthyány u. 15._x0005__x0000__x0000_T_8.1_x0005__x0000__x0000_K_8.1
_x0000__x0000_Nagybudmér_x000B__x0000__x0000_Tetz Ferenc_x000D__x0000__x0001_P_x0000_e_x0000_t_x0000_Q_x0001_f_x0000_i_x0000_ _x0000_ú_x0000_t_x0000_ _x0000_1_x0000_7_x0000_._x0000__x0005__x0000__x0000_T_8.2_x0005__x0000__x0000_K_8.2_x0010__x0000__x0000_Csizmadia Attila_x0004__x0000__x0000_Igal_x000E__x0000__x0000_Köteles László_x0010__x0000__x0000_Bajcsy-Zs. u. 6._x0005__x0000__x0000_Kondó_x000E__x0000__x0000_Lovas Bertalan_x0016__x0000__x0001_S_x0000_o_x0000_l_x0000_t_x0000_é_x0000_s_x0000_z_x0000_ _x0000_K</v>
          </cell>
        </row>
        <row r="1380">
          <cell r="BT1380" t="str">
            <v>Kisherend</v>
          </cell>
        </row>
        <row r="1381">
          <cell r="BT1381" t="e">
            <v>#N/A</v>
          </cell>
        </row>
        <row r="1382">
          <cell r="BT1382" t="e">
            <v>#N/A</v>
          </cell>
        </row>
        <row r="1383">
          <cell r="BT1383" t="e">
            <v>#N/A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e">
            <v>#N/A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e">
            <v>#N/A</v>
          </cell>
        </row>
        <row r="1390">
          <cell r="BT1390" t="e">
            <v>#N/A</v>
          </cell>
        </row>
        <row r="1391">
          <cell r="BT1391" t="e">
            <v>#N/A</v>
          </cell>
        </row>
        <row r="1392">
          <cell r="BT1392" t="str">
            <v>Kiskunlacháza</v>
          </cell>
        </row>
        <row r="1393">
          <cell r="BT1393" t="e">
            <v>#N/A</v>
          </cell>
        </row>
        <row r="1394">
          <cell r="BT1394" t="e">
            <v>#N/A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e">
            <v>#N/A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e">
            <v>#N/A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e">
            <v>#N/A</v>
          </cell>
        </row>
        <row r="1412">
          <cell r="BT1412" t="e">
            <v>#N/A</v>
          </cell>
        </row>
        <row r="1413">
          <cell r="BT1413" t="e">
            <v>#N/A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e">
            <v>#N/A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e">
            <v>#N/A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e">
            <v>#N/A</v>
          </cell>
        </row>
        <row r="1425">
          <cell r="BT1425" t="e">
            <v>#N/A</v>
          </cell>
        </row>
        <row r="1426">
          <cell r="BT1426" t="e">
            <v>#N/A</v>
          </cell>
        </row>
        <row r="1427">
          <cell r="BT1427" t="e">
            <v>#N/A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e">
            <v>#N/A</v>
          </cell>
        </row>
        <row r="1434">
          <cell r="BT1434" t="str">
            <v>Kisvaszar</v>
          </cell>
        </row>
        <row r="1435">
          <cell r="BT1435" t="e">
            <v>#N/A</v>
          </cell>
        </row>
        <row r="1436">
          <cell r="BT1436" t="e">
            <v>#N/A</v>
          </cell>
        </row>
        <row r="1437">
          <cell r="BT1437" t="str">
            <v>Kiszsidány</v>
          </cell>
        </row>
        <row r="1438">
          <cell r="BT1438" t="e">
            <v>#N/A</v>
          </cell>
        </row>
        <row r="1439">
          <cell r="BT1439" t="e">
            <v>#N/A</v>
          </cell>
        </row>
        <row r="1440">
          <cell r="BT1440" t="str">
            <v>Kocsér</v>
          </cell>
        </row>
        <row r="1441">
          <cell r="BT1441" t="e">
            <v>#N/A</v>
          </cell>
        </row>
        <row r="1442">
          <cell r="BT1442" t="e">
            <v>#N/A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e">
            <v>#N/A</v>
          </cell>
        </row>
        <row r="1449">
          <cell r="BT1449" t="e">
            <v>#N/A</v>
          </cell>
        </row>
        <row r="1450">
          <cell r="BT1450" t="e">
            <v>#N/A</v>
          </cell>
        </row>
        <row r="1451">
          <cell r="BT1451" t="str">
            <v>Komlósd</v>
          </cell>
        </row>
        <row r="1452">
          <cell r="BT1452" t="e">
            <v>#N/A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e">
            <v>#N/A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e">
            <v>#N/A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e">
            <v>#N/A</v>
          </cell>
        </row>
        <row r="1472">
          <cell r="BT1472" t="str">
            <v>Kozármisleny</v>
          </cell>
        </row>
        <row r="1473">
          <cell r="BT1473" t="e">
            <v>#N/A</v>
          </cell>
        </row>
        <row r="1474">
          <cell r="BT1474" t="e">
            <v>#N/A</v>
          </cell>
        </row>
        <row r="1475">
          <cell r="BT1475" t="str">
            <v>Köcsk</v>
          </cell>
        </row>
        <row r="1476">
          <cell r="BT1476" t="e">
            <v>#N/A</v>
          </cell>
        </row>
        <row r="1477">
          <cell r="BT1477" t="e">
            <v>#N/A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e">
            <v>#N/A</v>
          </cell>
        </row>
        <row r="1483">
          <cell r="BT1483" t="e">
            <v>#N/A</v>
          </cell>
        </row>
        <row r="1484">
          <cell r="BT1484" t="e">
            <v>#N/A</v>
          </cell>
        </row>
        <row r="1485">
          <cell r="BT1485" t="str">
            <v>Körmend</v>
          </cell>
        </row>
        <row r="1486">
          <cell r="BT1486" t="e">
            <v>#N/A</v>
          </cell>
        </row>
        <row r="1487">
          <cell r="BT1487" t="str">
            <v>Köröm</v>
          </cell>
        </row>
        <row r="1488">
          <cell r="BT1488" t="e">
            <v>#N/A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e">
            <v>#N/A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e">
            <v>#N/A</v>
          </cell>
        </row>
        <row r="1512">
          <cell r="BT1512" t="str">
            <v>Kunágota</v>
          </cell>
        </row>
        <row r="1513">
          <cell r="BT1513" t="e">
            <v>#N/A</v>
          </cell>
        </row>
        <row r="1514">
          <cell r="BT1514" t="e">
            <v>#N/A</v>
          </cell>
        </row>
        <row r="1515">
          <cell r="BT1515" t="str">
            <v>Kuncsorba</v>
          </cell>
        </row>
        <row r="1516">
          <cell r="BT1516" t="e">
            <v>#N/A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e">
            <v>#N/A</v>
          </cell>
        </row>
        <row r="1520">
          <cell r="BT1520" t="e">
            <v>#N/A</v>
          </cell>
        </row>
        <row r="1521">
          <cell r="BT1521" t="str">
            <v>Kunszentmárton</v>
          </cell>
        </row>
        <row r="1522">
          <cell r="BT1522" t="e">
            <v>#N/A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e">
            <v>#N/A</v>
          </cell>
        </row>
        <row r="1529">
          <cell r="BT1529" t="str">
            <v>Kutas</v>
          </cell>
        </row>
        <row r="1530">
          <cell r="BT1530" t="e">
            <v>#N/A</v>
          </cell>
        </row>
        <row r="1531">
          <cell r="BT1531" t="str">
            <v>Kübekháza</v>
          </cell>
        </row>
        <row r="1532">
          <cell r="BT1532" t="e">
            <v>#N/A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e">
            <v>#N/A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e">
            <v>#N/A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e">
            <v>#N/A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e">
            <v>#N/A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e">
            <v>#N/A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e">
            <v>#N/A</v>
          </cell>
        </row>
        <row r="1557">
          <cell r="BT1557" t="e">
            <v>#N/A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e">
            <v>#N/A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e">
            <v>#N/A</v>
          </cell>
        </row>
        <row r="1567">
          <cell r="BT1567" t="str">
            <v>Lesencefalu</v>
          </cell>
        </row>
        <row r="1568">
          <cell r="BT1568" t="e">
            <v>#N/A</v>
          </cell>
        </row>
        <row r="1569">
          <cell r="BT1569" t="e">
            <v>#N/A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e">
            <v>#N/A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e">
            <v>#N/A</v>
          </cell>
        </row>
        <row r="1577">
          <cell r="BT1577" t="e">
            <v>#N/A</v>
          </cell>
        </row>
        <row r="1578">
          <cell r="BT1578" t="str">
            <v>Ligetfalva</v>
          </cell>
        </row>
        <row r="1579">
          <cell r="BT1579" t="e">
            <v>#N/A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e">
            <v>#N/A</v>
          </cell>
        </row>
        <row r="1585">
          <cell r="BT1585" t="str">
            <v>Litka</v>
          </cell>
        </row>
        <row r="1586">
          <cell r="BT1586" t="e">
            <v>#N/A</v>
          </cell>
        </row>
        <row r="1587">
          <cell r="BT1587" t="str">
            <v>Lócs</v>
          </cell>
        </row>
        <row r="1588">
          <cell r="BT1588" t="e">
            <v>#N/A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e">
            <v>#N/A</v>
          </cell>
        </row>
        <row r="1593">
          <cell r="BT1593" t="e">
            <v>#N/A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e">
            <v>#N/A</v>
          </cell>
        </row>
        <row r="1597">
          <cell r="BT1597" t="str">
            <v>571553</v>
          </cell>
        </row>
        <row r="1598">
          <cell r="BT1598" t="e">
            <v>#N/A</v>
          </cell>
        </row>
        <row r="1599">
          <cell r="BT1599" t="e">
            <v>#N/A</v>
          </cell>
        </row>
        <row r="1600">
          <cell r="BT1600" t="str">
            <v>Lövőpetri</v>
          </cell>
        </row>
        <row r="1601">
          <cell r="BT1601" t="e">
            <v>#N/A</v>
          </cell>
        </row>
        <row r="1602">
          <cell r="BT1602" t="e">
            <v>#N/A</v>
          </cell>
        </row>
        <row r="1603">
          <cell r="BT1603" t="e">
            <v>#N/A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e">
            <v>#N/A</v>
          </cell>
        </row>
        <row r="1610">
          <cell r="BT1610" t="e">
            <v>#N/A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e">
            <v>#N/A</v>
          </cell>
        </row>
        <row r="1617">
          <cell r="BT1617" t="str">
            <v>Krachun Szilárd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e">
            <v>#N/A</v>
          </cell>
        </row>
        <row r="1623">
          <cell r="BT1623" t="str">
            <v>Magyarföld</v>
          </cell>
        </row>
        <row r="1624">
          <cell r="BT1624" t="e">
            <v>#N/A</v>
          </cell>
        </row>
        <row r="1625">
          <cell r="BT1625" t="e">
            <v>#N/A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e">
            <v>#N/A</v>
          </cell>
        </row>
        <row r="1629">
          <cell r="BT1629" t="e">
            <v>#N/A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e">
            <v>#N/A</v>
          </cell>
        </row>
        <row r="1635">
          <cell r="BT1635" t="e">
            <v>#N/A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e">
            <v>#N/A</v>
          </cell>
        </row>
        <row r="1641">
          <cell r="BT1641" t="e">
            <v>#N/A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e">
            <v>#N/A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e">
            <v>#N/A</v>
          </cell>
        </row>
        <row r="1654">
          <cell r="BT1654" t="str">
            <v>Mánfa</v>
          </cell>
        </row>
        <row r="1655">
          <cell r="BT1655" t="e">
            <v>#N/A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Salamon Gyula</v>
          </cell>
        </row>
        <row r="1661">
          <cell r="BT1661" t="str">
            <v>Máriahalom</v>
          </cell>
        </row>
        <row r="1662">
          <cell r="BT1662" t="e">
            <v>#N/A</v>
          </cell>
        </row>
        <row r="1663">
          <cell r="BT1663" t="e">
            <v>#N/A</v>
          </cell>
        </row>
        <row r="1664">
          <cell r="BT1664" t="str">
            <v>Márianosztra</v>
          </cell>
        </row>
        <row r="1665">
          <cell r="BT1665" t="e">
            <v>#N/A</v>
          </cell>
        </row>
        <row r="1666">
          <cell r="BT1666" t="str">
            <v>Markaz</v>
          </cell>
        </row>
        <row r="1667">
          <cell r="BT1667" t="e">
            <v>#N/A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e">
            <v>#N/A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汩慬_x000E_䬀獯畳桴甠‮㠵ਮ_x0000_穓浡獯穳来_x0011_伀⁨潮⁳楍汫珳
伀⁨潮๳_x0000_敂捲祮⁩⹵⸶_x0010_匀慺潭瑳瑡狡慦癬ཡ_x0000_潐歲汯拡䐠满敩ཬ_x0000_⁮牋獩瑺ᕮ_x0000_敦ⱪ删毡揳楺甠‮㠴മ_x0000_慂慬潴杮ᅫ_x0000_楋獳䰠珡決⃳楔潢ᅲ_x0000_潋獳瑵⁨⹌甠‮㤲༮_x0000_慂慬潴浮条慹੤_x0000_潲灳瑡歡_x000B_匀牡獯慰慴楫_x0006_䤀ㅟ㌮ص_x0000_彔⸱㔳_x0006_䬀ㅟ㌮ص_x0000_彅⸱㔳_x0005_䤀㍟㔮_x0006_䈀扡牡ౣ_x0000_獣⁩摮牯_x000B_䈀毩⁥⹵㐠⸱_x000F_匀瓡牯污慪櫺敨祬_x0010_匀瑡牯污慪橵敨祬٩_x0000_彉⸱㘳_x0006_吀ㅟ㌮ض_x0000_彋⸱㘳_x0006_䔀ㅟ㌮Զ_x0000_彉⸳ض_x0000_彉⸲㘱_x000C_䈁愀戀愀爀挀猀稀儀氁儀猁ഀ_x0000_畒灰牥⁴湁慴੬_x0000_浬满慺_x0016_一擡獡祳䄠摮⁳</v>
          </cell>
        </row>
        <row r="1674">
          <cell r="BT1674" t="str">
            <v>Márokföld</v>
          </cell>
        </row>
        <row r="1675">
          <cell r="BT1675" t="e">
            <v>#N/A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e">
            <v>#N/A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e">
            <v>#N/A</v>
          </cell>
        </row>
        <row r="1687">
          <cell r="BT1687" t="e">
            <v>#N/A</v>
          </cell>
        </row>
        <row r="1688">
          <cell r="BT1688" t="e">
            <v>#N/A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e">
            <v>#N/A</v>
          </cell>
        </row>
        <row r="1694">
          <cell r="BT1694" t="str">
            <v>Matty</v>
          </cell>
        </row>
        <row r="1695">
          <cell r="BT1695" t="e">
            <v>#N/A</v>
          </cell>
        </row>
        <row r="1696">
          <cell r="BT1696" t="str">
            <v>Máza</v>
          </cell>
        </row>
        <row r="1697">
          <cell r="BT1697" t="e">
            <v>#N/A</v>
          </cell>
        </row>
        <row r="1698">
          <cell r="BT1698" t="e">
            <v>#N/A</v>
          </cell>
        </row>
        <row r="1699">
          <cell r="BT1699" t="e">
            <v>#N/A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e">
            <v>#N/A</v>
          </cell>
        </row>
        <row r="1703">
          <cell r="BT1703" t="e">
            <v>#N/A</v>
          </cell>
        </row>
        <row r="1704">
          <cell r="BT1704" t="e">
            <v>#N/A</v>
          </cell>
        </row>
        <row r="1705">
          <cell r="BT1705" t="e">
            <v>#N/A</v>
          </cell>
        </row>
        <row r="1706">
          <cell r="BT1706" t="str">
            <v>Megyer</v>
          </cell>
        </row>
        <row r="1707">
          <cell r="BT1707" t="e">
            <v>#N/A</v>
          </cell>
        </row>
        <row r="1708">
          <cell r="BT1708" t="str">
            <v>Méhtelek</v>
          </cell>
        </row>
        <row r="1709">
          <cell r="BT1709" t="e">
            <v>#N/A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e">
            <v>#N/A</v>
          </cell>
        </row>
        <row r="1715">
          <cell r="BT1715" t="e">
            <v>#N/A</v>
          </cell>
        </row>
        <row r="1716">
          <cell r="BT1716" t="str">
            <v>Mérk</v>
          </cell>
        </row>
        <row r="1717">
          <cell r="BT1717" t="e">
            <v>#N/A</v>
          </cell>
        </row>
        <row r="1718">
          <cell r="BT1718" t="e">
            <v>#N/A</v>
          </cell>
        </row>
        <row r="1719">
          <cell r="BT1719" t="e">
            <v>#N/A</v>
          </cell>
        </row>
        <row r="1720">
          <cell r="BT1720" t="e">
            <v>#N/A</v>
          </cell>
        </row>
        <row r="1721">
          <cell r="BT1721" t="str">
            <v>Mesterszállás</v>
          </cell>
        </row>
        <row r="1722">
          <cell r="BT1722" t="e">
            <v>#N/A</v>
          </cell>
        </row>
        <row r="1723">
          <cell r="BT1723" t="e">
            <v>#N/A</v>
          </cell>
        </row>
        <row r="1724">
          <cell r="BT1724" t="e">
            <v>#N/A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e">
            <v>#N/A</v>
          </cell>
        </row>
        <row r="1728">
          <cell r="BT1728" t="e">
            <v>#N/A</v>
          </cell>
        </row>
        <row r="1729">
          <cell r="BT1729" t="e">
            <v>#N/A</v>
          </cell>
        </row>
        <row r="1730">
          <cell r="BT1730" t="str">
            <v>Mezőgyán</v>
          </cell>
        </row>
        <row r="1731">
          <cell r="BT1731" t="e">
            <v>#N/A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e">
            <v>#N/A</v>
          </cell>
        </row>
        <row r="1735">
          <cell r="BT1735" t="str">
            <v>Mezőkovácsháza</v>
          </cell>
        </row>
        <row r="1736">
          <cell r="BT1736" t="e">
            <v>#N/A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e">
            <v>#N/A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e">
            <v>#N/A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e">
            <v>#N/A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e">
            <v>#N/A</v>
          </cell>
        </row>
        <row r="1760">
          <cell r="BT1760" t="e">
            <v>#N/A</v>
          </cell>
        </row>
        <row r="1761">
          <cell r="BT1761" t="str">
            <v>Mikóháza</v>
          </cell>
        </row>
        <row r="1762">
          <cell r="BT1762" t="e">
            <v>#N/A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e">
            <v>#N/A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e">
            <v>#N/A</v>
          </cell>
        </row>
        <row r="1770">
          <cell r="BT1770" t="e">
            <v>#N/A</v>
          </cell>
        </row>
        <row r="1771">
          <cell r="BT1771" t="e">
            <v>#N/A</v>
          </cell>
        </row>
        <row r="1772">
          <cell r="BT1772" t="e">
            <v>#N/A</v>
          </cell>
        </row>
        <row r="1773">
          <cell r="BT1773" t="str">
            <v>Mogyoród</v>
          </cell>
        </row>
        <row r="1774">
          <cell r="BT1774" t="e">
            <v>#N/A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e">
            <v>#N/A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e">
            <v>#N/A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e">
            <v>#N/A</v>
          </cell>
        </row>
        <row r="1795">
          <cell r="BT1795" t="e">
            <v>#N/A</v>
          </cell>
        </row>
        <row r="1796">
          <cell r="BT1796" t="e">
            <v>#N/A</v>
          </cell>
        </row>
        <row r="1797">
          <cell r="BT1797" t="e">
            <v>#N/A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e">
            <v>#N/A</v>
          </cell>
        </row>
        <row r="1811">
          <cell r="BT1811" t="e">
            <v>#N/A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e">
            <v>#N/A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e">
            <v>#N/A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e">
            <v>#N/A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e">
            <v>#N/A</v>
          </cell>
        </row>
        <row r="1844">
          <cell r="BT1844" t="e">
            <v>#N/A</v>
          </cell>
        </row>
        <row r="1845">
          <cell r="BT1845" t="e">
            <v>#N/A</v>
          </cell>
        </row>
        <row r="1846">
          <cell r="BT1846" t="str">
            <v>Nagygörbő</v>
          </cell>
        </row>
        <row r="1847">
          <cell r="BT1847" t="e">
            <v>#N/A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e">
            <v>#N/A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e">
            <v>#N/A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e">
            <v>#N/A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e">
            <v>#N/A</v>
          </cell>
        </row>
        <row r="1869">
          <cell r="BT1869" t="str">
            <v>Nagykökényes</v>
          </cell>
        </row>
        <row r="1870">
          <cell r="BT1870" t="e">
            <v>#N/A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e">
            <v>#N/A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e">
            <v>#N/A</v>
          </cell>
        </row>
        <row r="1888">
          <cell r="BT1888" t="e">
            <v>#N/A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e">
            <v>#N/A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e">
            <v>#N/A</v>
          </cell>
        </row>
        <row r="1897">
          <cell r="BT1897" t="e">
            <v>#N/A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e">
            <v>#N/A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e">
            <v>#N/A</v>
          </cell>
        </row>
        <row r="1907">
          <cell r="BT1907" t="e">
            <v>#N/A</v>
          </cell>
        </row>
        <row r="1908">
          <cell r="BT1908" t="str">
            <v>Nagytótfalu</v>
          </cell>
        </row>
        <row r="1909">
          <cell r="BT1909" t="e">
            <v>#N/A</v>
          </cell>
        </row>
        <row r="1910">
          <cell r="BT1910" t="str">
            <v>Nagyút</v>
          </cell>
        </row>
        <row r="1911">
          <cell r="BT1911" t="e">
            <v>#N/A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e">
            <v>#N/A</v>
          </cell>
        </row>
        <row r="1920">
          <cell r="BT1920" t="str">
            <v>Nárai</v>
          </cell>
        </row>
        <row r="1921">
          <cell r="BT1921" t="e">
            <v>#N/A</v>
          </cell>
        </row>
        <row r="1922">
          <cell r="BT1922" t="e">
            <v>#N/A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e">
            <v>#N/A</v>
          </cell>
        </row>
        <row r="1928">
          <cell r="BT1928" t="str">
            <v>Nemesbőd</v>
          </cell>
        </row>
        <row r="1929">
          <cell r="BT1929" t="e">
            <v>#N/A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e">
            <v>#N/A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e">
            <v>#N/A</v>
          </cell>
        </row>
        <row r="1946">
          <cell r="BT1946" t="e">
            <v>#N/A</v>
          </cell>
        </row>
        <row r="1947">
          <cell r="BT1947" t="e">
            <v>#N/A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e">
            <v>#N/A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e">
            <v>#N/A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e">
            <v>#N/A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e">
            <v>#N/A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e">
            <v>#N/A</v>
          </cell>
        </row>
        <row r="1984">
          <cell r="BT1984" t="str">
            <v>Zvekán László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e">
            <v>#N/A</v>
          </cell>
        </row>
        <row r="1999">
          <cell r="BT1999" t="e">
            <v>#N/A</v>
          </cell>
        </row>
        <row r="2000">
          <cell r="BT2000" t="str">
            <v>Fiad</v>
          </cell>
        </row>
        <row r="2001">
          <cell r="BT2001" t="e">
            <v>#N/A</v>
          </cell>
        </row>
        <row r="2002">
          <cell r="BT2002" t="e">
            <v>#N/A</v>
          </cell>
        </row>
        <row r="2003">
          <cell r="BT2003" t="e">
            <v>#N/A</v>
          </cell>
        </row>
        <row r="2004">
          <cell r="BT2004" t="e">
            <v>#N/A</v>
          </cell>
        </row>
        <row r="2005">
          <cell r="BT2005" t="e">
            <v>#N/A</v>
          </cell>
        </row>
        <row r="2006">
          <cell r="BT2006" t="e">
            <v>#N/A</v>
          </cell>
        </row>
        <row r="2007">
          <cell r="BT2007" t="e">
            <v>#N/A</v>
          </cell>
        </row>
        <row r="2008">
          <cell r="BT2008" t="e">
            <v>#N/A</v>
          </cell>
        </row>
        <row r="2009">
          <cell r="BT2009" t="str">
            <v>Nyírmártonfalva</v>
          </cell>
        </row>
        <row r="2010">
          <cell r="BT2010" t="e">
            <v>#N/A</v>
          </cell>
        </row>
        <row r="2011">
          <cell r="BT2011" t="e">
            <v>#N/A</v>
          </cell>
        </row>
        <row r="2012">
          <cell r="BT2012" t="e">
            <v>#N/A</v>
          </cell>
        </row>
        <row r="2013">
          <cell r="BT2013" t="e">
            <v>#N/A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e">
            <v>#N/A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e">
            <v>#N/A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e">
            <v>#N/A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e">
            <v>#N/A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e">
            <v>#N/A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e">
            <v>#N/A</v>
          </cell>
        </row>
        <row r="2046">
          <cell r="BT2046" t="e">
            <v>#N/A</v>
          </cell>
        </row>
        <row r="2047">
          <cell r="BT2047" t="str">
            <v>Ópályi</v>
          </cell>
        </row>
        <row r="2048">
          <cell r="BT2048" t="e">
            <v>#N/A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e">
            <v>#N/A</v>
          </cell>
        </row>
        <row r="2055">
          <cell r="BT2055" t="e">
            <v>#N/A</v>
          </cell>
        </row>
        <row r="2056">
          <cell r="BT2056" t="str">
            <v>Ormándlak</v>
          </cell>
        </row>
        <row r="2057">
          <cell r="BT2057" t="e">
            <v>#N/A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e">
            <v>#N/A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e">
            <v>#N/A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e">
            <v>#N/A</v>
          </cell>
        </row>
        <row r="2068">
          <cell r="BT2068" t="e">
            <v>#N/A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e">
            <v>#N/A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e">
            <v>#N/A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e">
            <v>#N/A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e">
            <v>#N/A</v>
          </cell>
        </row>
        <row r="2097">
          <cell r="BT2097" t="str">
            <v>Ötvöskónyi</v>
          </cell>
        </row>
        <row r="2098">
          <cell r="BT2098" t="e">
            <v>#N/A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e">
            <v>#N/A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e">
            <v>#N/A</v>
          </cell>
        </row>
        <row r="2108">
          <cell r="BT2108" t="str">
            <v>Pálfa</v>
          </cell>
        </row>
        <row r="2109">
          <cell r="BT2109" t="e">
            <v>#N/A</v>
          </cell>
        </row>
        <row r="2110">
          <cell r="BT2110" t="e">
            <v>#N/A</v>
          </cell>
        </row>
        <row r="2111">
          <cell r="BT2111" t="e">
            <v>#N/A</v>
          </cell>
        </row>
        <row r="2112">
          <cell r="BT2112" t="e">
            <v>#N/A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e">
            <v>#N/A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e">
            <v>#N/A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e">
            <v>#N/A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e">
            <v>#N/A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e">
            <v>#N/A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e">
            <v>#N/A</v>
          </cell>
        </row>
        <row r="2160">
          <cell r="BT2160" t="e">
            <v>#N/A</v>
          </cell>
        </row>
        <row r="2161">
          <cell r="BT2161" t="str">
            <v>Pécsely</v>
          </cell>
        </row>
        <row r="2162">
          <cell r="BT2162" t="e">
            <v>#N/A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e">
            <v>#N/A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e">
            <v>#N/A</v>
          </cell>
        </row>
        <row r="2177">
          <cell r="BT2177" t="e">
            <v>#N/A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e">
            <v>#N/A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e">
            <v>#N/A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e">
            <v>#N/A</v>
          </cell>
        </row>
        <row r="2191">
          <cell r="BT2191" t="e">
            <v>#N/A</v>
          </cell>
        </row>
        <row r="2192">
          <cell r="BT2192" t="e">
            <v>#N/A</v>
          </cell>
        </row>
        <row r="2193">
          <cell r="BT2193" t="str">
            <v>Petrivente</v>
          </cell>
        </row>
        <row r="2194">
          <cell r="BT2194" t="e">
            <v>#N/A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e">
            <v>#N/A</v>
          </cell>
        </row>
        <row r="2200">
          <cell r="BT2200" t="str">
            <v>Pilisjászfalu</v>
          </cell>
        </row>
        <row r="2201">
          <cell r="BT2201" t="e">
            <v>#N/A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e">
            <v>#N/A</v>
          </cell>
        </row>
        <row r="2209">
          <cell r="BT2209" t="e">
            <v>#N/A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e">
            <v>#N/A</v>
          </cell>
        </row>
        <row r="2213">
          <cell r="BT2213" t="e">
            <v>#N/A</v>
          </cell>
        </row>
        <row r="2214">
          <cell r="BT2214" t="e">
            <v>#N/A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e">
            <v>#N/A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e">
            <v>#N/A</v>
          </cell>
        </row>
        <row r="2227">
          <cell r="BT2227" t="str">
            <v>Poroszló</v>
          </cell>
        </row>
        <row r="2228">
          <cell r="BT2228" t="e">
            <v>#N/A</v>
          </cell>
        </row>
        <row r="2229">
          <cell r="BT2229" t="e">
            <v>#N/A</v>
          </cell>
        </row>
        <row r="2230">
          <cell r="BT2230" t="e">
            <v>#N/A</v>
          </cell>
        </row>
        <row r="2231">
          <cell r="BT2231" t="e">
            <v>#N/A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e">
            <v>#N/A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e">
            <v>#N/A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_x0000_Rákóczibánya_x000C__x0000__x0001_B_x0000_e_x0000_n_x0000_c_x0000_s_x0000_i_x0000_k_x0000_ _x0000_E_x0000_r_x0000_n_x0000_Q_x0001__x0005__x0000__x0000_Abony_x001A__x0000__x0000_Romhányiné Dr. Balogh Edit_x0011__x0000__x0000_Dr. Gajdos István_x0004__x0000__x0000_Pest_x0004__x0000__x0000_Acsa_x000E__x0000__x0001_S_x0000_z_x0000_e_x0000_k_x0000_e_x0000_r_x0000_e_x0000_s_x0000_ _x0000_R_x0000_e_x0000_z_x0000_s_x0000_Q_x0001__x0006__x0000__x0000_Gerjen_x0006__x0000__x0000_Grábóc_x0013__x0000__x0000_Tüske László Károly_x000E__x0000__x0000_Rákóczi u. 84._x0005__x0000__x0000_Gyönk
_x0000__x0000_Katz Gyula_x0012__x0000__x0000_Ady E. u. 561-562._x0005__x0000__x0000_Györe_x000C__x0000__x0000_Cso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e">
            <v>#N/A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e">
            <v>#N/A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e">
            <v>#N/A</v>
          </cell>
        </row>
        <row r="2274">
          <cell r="BT2274" t="e">
            <v>#N/A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e">
            <v>#N/A</v>
          </cell>
        </row>
        <row r="2278">
          <cell r="BT2278" t="e">
            <v>#N/A</v>
          </cell>
        </row>
        <row r="2279">
          <cell r="BT2279" t="str">
            <v>Rábapaty</v>
          </cell>
        </row>
        <row r="2280">
          <cell r="BT2280" t="e">
            <v>#N/A</v>
          </cell>
        </row>
        <row r="2281">
          <cell r="BT2281" t="e">
            <v>#N/A</v>
          </cell>
        </row>
        <row r="2282">
          <cell r="BT2282" t="e">
            <v>#N/A</v>
          </cell>
        </row>
        <row r="2283">
          <cell r="BT2283" t="e">
            <v>#N/A</v>
          </cell>
        </row>
        <row r="2284">
          <cell r="BT2284" t="e">
            <v>#N/A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e">
            <v>#N/A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e">
            <v>#N/A</v>
          </cell>
        </row>
        <row r="2295">
          <cell r="BT2295" t="e">
            <v>#N/A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e">
            <v>#N/A</v>
          </cell>
        </row>
        <row r="2300">
          <cell r="BT2300" t="e">
            <v>#N/A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e">
            <v>#N/A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e">
            <v>#N/A</v>
          </cell>
        </row>
        <row r="2312">
          <cell r="BT2312" t="str">
            <v>Recsk</v>
          </cell>
        </row>
        <row r="2313">
          <cell r="BT2313" t="e">
            <v>#N/A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e">
            <v>#N/A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e">
            <v>#N/A</v>
          </cell>
        </row>
        <row r="2327">
          <cell r="BT2327" t="e">
            <v>#N/A</v>
          </cell>
        </row>
        <row r="2328">
          <cell r="BT2328" t="e">
            <v>#N/A</v>
          </cell>
        </row>
        <row r="2329">
          <cell r="BT2329" t="e">
            <v>#N/A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e">
            <v>#N/A</v>
          </cell>
        </row>
        <row r="2334">
          <cell r="BT2334" t="str">
            <v>I_1.23</v>
          </cell>
        </row>
        <row r="2335">
          <cell r="BT2335" t="str">
            <v>Rimóc</v>
          </cell>
        </row>
        <row r="2336">
          <cell r="BT2336" t="e">
            <v>#N/A</v>
          </cell>
        </row>
        <row r="2337">
          <cell r="BT2337" t="e">
            <v>#N/A</v>
          </cell>
        </row>
        <row r="2338">
          <cell r="BT2338" t="e">
            <v>#N/A</v>
          </cell>
        </row>
        <row r="2339">
          <cell r="BT2339" t="e">
            <v>#N/A</v>
          </cell>
        </row>
        <row r="2340">
          <cell r="BT2340" t="e">
            <v>#N/A</v>
          </cell>
        </row>
        <row r="2341">
          <cell r="BT2341" t="e">
            <v>#N/A</v>
          </cell>
        </row>
        <row r="2342">
          <cell r="BT2342" t="e">
            <v>#N/A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e">
            <v>#N/A</v>
          </cell>
        </row>
        <row r="2349">
          <cell r="BT2349" t="e">
            <v>#N/A</v>
          </cell>
        </row>
        <row r="2350">
          <cell r="BT2350" t="e">
            <v>#N/A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e">
            <v>#N/A</v>
          </cell>
        </row>
        <row r="2354">
          <cell r="BT2354" t="e">
            <v>#N/A</v>
          </cell>
        </row>
        <row r="2355">
          <cell r="BT2355" t="str">
            <v>Ságújfalu</v>
          </cell>
        </row>
        <row r="2356">
          <cell r="BT2356" t="e">
            <v>#N/A</v>
          </cell>
        </row>
        <row r="2357">
          <cell r="BT2357" t="e">
            <v>#N/A</v>
          </cell>
        </row>
        <row r="2358">
          <cell r="BT2358" t="e">
            <v>#N/A</v>
          </cell>
        </row>
        <row r="2359">
          <cell r="BT2359" t="e">
            <v>#N/A</v>
          </cell>
        </row>
        <row r="2360">
          <cell r="BT2360" t="e">
            <v>#N/A</v>
          </cell>
        </row>
        <row r="2361">
          <cell r="BT2361" t="e">
            <v>#N/A</v>
          </cell>
        </row>
        <row r="2362">
          <cell r="BT2362" t="e">
            <v>#N/A</v>
          </cell>
        </row>
        <row r="2363">
          <cell r="BT2363" t="e">
            <v>#N/A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e">
            <v>#N/A</v>
          </cell>
        </row>
        <row r="2369">
          <cell r="BT2369" t="e">
            <v>#N/A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e">
            <v>#N/A</v>
          </cell>
        </row>
        <row r="2376">
          <cell r="BT2376" t="e">
            <v>#N/A</v>
          </cell>
        </row>
        <row r="2377">
          <cell r="BT2377" t="e">
            <v>#N/A</v>
          </cell>
        </row>
        <row r="2378">
          <cell r="BT2378" t="e">
            <v>#N/A</v>
          </cell>
        </row>
        <row r="2379">
          <cell r="BT2379" t="str">
            <v>Salföld</v>
          </cell>
        </row>
        <row r="2380">
          <cell r="BT2380" t="e">
            <v>#N/A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e">
            <v>#N/A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e">
            <v>#N/A</v>
          </cell>
        </row>
        <row r="2388">
          <cell r="BT2388" t="e">
            <v>#N/A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e">
            <v>#N/A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e">
            <v>#N/A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e">
            <v>#N/A</v>
          </cell>
        </row>
        <row r="2412">
          <cell r="BT2412" t="str">
            <v>Sarud</v>
          </cell>
        </row>
        <row r="2413">
          <cell r="BT2413" t="e">
            <v>#N/A</v>
          </cell>
        </row>
        <row r="2414">
          <cell r="BT2414" t="e">
            <v>#N/A</v>
          </cell>
        </row>
        <row r="2415">
          <cell r="BT2415" t="str">
            <v>Sáska</v>
          </cell>
        </row>
        <row r="2416">
          <cell r="BT2416" t="e">
            <v>#N/A</v>
          </cell>
        </row>
        <row r="2417">
          <cell r="BT2417" t="str">
            <v>Sátoraljaújhely</v>
          </cell>
        </row>
        <row r="2418">
          <cell r="BT2418" t="str">
            <v>Gyömöre</v>
          </cell>
        </row>
        <row r="2419">
          <cell r="BT2419" t="str">
            <v>Sávoly</v>
          </cell>
        </row>
        <row r="2420">
          <cell r="BT2420" t="e">
            <v>#N/A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e">
            <v>#N/A</v>
          </cell>
        </row>
        <row r="2424">
          <cell r="BT2424" t="e">
            <v>#N/A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e">
            <v>#N/A</v>
          </cell>
        </row>
        <row r="2429">
          <cell r="BT2429" t="e">
            <v>#N/A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e">
            <v>#N/A</v>
          </cell>
        </row>
        <row r="2436">
          <cell r="BT2436" t="e">
            <v>#N/A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Dózsa Gy. u. 17-19.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e">
            <v>#N/A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祬_x000C_䨀桵珡⁺楔潢ི_x0000_楔楬杮牥䘠牥湥ལ_x0000_牄‮敤⁩獚汯൴_x0000_潴楳䘠牥湥ୣ_x0000_敫琠狩㜠ਮ_x0000_ﱓ敭灧慧_x000C_䠀橵敢⁲潮ٳ_x0000_穓烡狡_x000D_䈀泡湩⁴摮牯_x000C_䘀拡歩䘠牥湥ᙣ_x0000_穣⁩敆敲据甠‮⼱⹁_x000C_匀敺瑮湡慴晬ൡ_x0000_穓湥扴毩汬๡_x0000_癲狡⁩瑁楴慬_x000C_䌀潳扭⃳慌潪ࡳ_x0000_穓湥杴泡_x000D_嘀捥敳⁹敆敲据_x000E_䈀桩牡敫敲穳整๳_x0000_慂慲⁳敆敲据_x0013_䘀泼烶䴠桩泡⁹獉癴满_x0010_匀档湥楹甠‮㜵ฮ_x0000_楂慨湲条批橡浯_x000C_匀楺匠满潤ੲ_x0000_楂慨瑲牯慤_x0010_䐀⹲匠慺䨠竳敳๦_x0000_潋獳瑵⁨⹵㐠⸳_x000B_䈀捯歳楡敫瑲_x000E_匁稀儀氁氀儀猁 匀渀搀漀爀ༀ_x0000_汁潫浴满⁹瓺㠠ମĀFelsőregmec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e">
            <v>#N/A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e">
            <v>#N/A</v>
          </cell>
        </row>
        <row r="2463">
          <cell r="BT2463" t="e">
            <v>#N/A</v>
          </cell>
        </row>
        <row r="2464">
          <cell r="BT2464" t="e">
            <v>#N/A</v>
          </cell>
        </row>
        <row r="2465">
          <cell r="BT2465" t="e">
            <v>#N/A</v>
          </cell>
        </row>
        <row r="2466">
          <cell r="BT2466" t="e">
            <v>#N/A</v>
          </cell>
        </row>
        <row r="2467">
          <cell r="BT2467" t="e">
            <v>#N/A</v>
          </cell>
        </row>
        <row r="2468">
          <cell r="BT2468" t="e">
            <v>#N/A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e">
            <v>#N/A</v>
          </cell>
        </row>
        <row r="2472">
          <cell r="BT2472" t="e">
            <v>#N/A</v>
          </cell>
        </row>
        <row r="2473">
          <cell r="BT2473" t="e">
            <v>#N/A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e">
            <v>#N/A</v>
          </cell>
        </row>
        <row r="2480">
          <cell r="BT2480" t="e">
            <v>#N/A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e">
            <v>#N/A</v>
          </cell>
        </row>
        <row r="2493">
          <cell r="BT2493" t="e">
            <v>#N/A</v>
          </cell>
        </row>
        <row r="2494">
          <cell r="BT2494" t="str">
            <v>Sormás</v>
          </cell>
        </row>
        <row r="2495">
          <cell r="BT2495" t="e">
            <v>#N/A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Fonó</v>
          </cell>
        </row>
        <row r="2502">
          <cell r="BT2502" t="str">
            <v>Söpte</v>
          </cell>
        </row>
        <row r="2503">
          <cell r="BT2503" t="e">
            <v>#N/A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Nagykátai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Veresegyházi</v>
          </cell>
        </row>
        <row r="2512">
          <cell r="BT2512" t="e">
            <v>#N/A</v>
          </cell>
        </row>
        <row r="2513">
          <cell r="BT2513" t="str">
            <v>Süttő</v>
          </cell>
        </row>
        <row r="2514">
          <cell r="BT2514" t="e">
            <v>#N/A</v>
          </cell>
        </row>
        <row r="2515">
          <cell r="BT2515" t="e">
            <v>#N/A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e">
            <v>#N/A</v>
          </cell>
        </row>
        <row r="2523">
          <cell r="BT2523" t="e">
            <v>#N/A</v>
          </cell>
        </row>
        <row r="2524">
          <cell r="BT2524" t="e">
            <v>#N/A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e">
            <v>#N/A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e">
            <v>#N/A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e">
            <v>#N/A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e">
            <v>#N/A</v>
          </cell>
        </row>
        <row r="2551">
          <cell r="BT2551" t="e">
            <v>#N/A</v>
          </cell>
        </row>
        <row r="2552">
          <cell r="BT2552" t="e">
            <v>#N/A</v>
          </cell>
        </row>
        <row r="2553">
          <cell r="BT2553" t="e">
            <v>#N/A</v>
          </cell>
        </row>
        <row r="2554">
          <cell r="BT2554" t="e">
            <v>#N/A</v>
          </cell>
        </row>
        <row r="2555">
          <cell r="BT2555" t="e">
            <v>#N/A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e">
            <v>#N/A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e">
            <v>#N/A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6.12_x0006__x0000__x0000_E_6.12_x0005__x0000__x0000_Mánfa_x000E__x0000__x0000_Hohn Krisztina_x000E__x0000__x0000_Schmidt Zoltán_x000F__x0000__x0000_Fábián B. u. 58_x0006__x0000__x0000_T_6.13_x0006__x0000__x0000_K_6.13_x0006__x0000__x0000_E_6.13_x000B__x0000__x0000_Tisztaberek
_x0000__x0000_Kónya Géza_x0015__x0000__x0001_T_x0000_i_x0000_s_x0000_z_x0000_t_x0000_a_x0000_b_x0000_e_x0000_r_x0000_e_x0000_k_x0000_,_x0000_ _x0000_F_x0000_Q_x0001_ _x0000_u_x0000_._x0000_ _x0000_6_x0000_._x0000__x0007__x0000__x0000_Tivadar_x000F__x0000__x0000_ifj Danó Sándor_x0010__x0000__x0000_Ifj. Danó Sándor_x0016__x0000__x0001_T_x0000_i_x0000_v_x0000_a_x0000_d_x0000_a_x0000_r_x0000_,_x0000_ _x0000_P_x0000_e_x0000_t_x0000_Q_x0001_f_x0000_i_x0000_ _x0000_u</v>
          </cell>
        </row>
        <row r="2573">
          <cell r="BT2573" t="e">
            <v>#N/A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e">
            <v>#N/A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e">
            <v>#N/A</v>
          </cell>
        </row>
        <row r="2584">
          <cell r="BT2584" t="str">
            <v>Szécsényfelfalu</v>
          </cell>
        </row>
        <row r="2585">
          <cell r="BT2585" t="e">
            <v>#N/A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e">
            <v>#N/A</v>
          </cell>
        </row>
        <row r="2592">
          <cell r="BT2592" t="e">
            <v>#N/A</v>
          </cell>
        </row>
        <row r="2593">
          <cell r="BT2593" t="e">
            <v>#N/A</v>
          </cell>
        </row>
        <row r="2594">
          <cell r="BT2594" t="str">
            <v>Székely</v>
          </cell>
        </row>
        <row r="2595">
          <cell r="BT2595" t="e">
            <v>#N/A</v>
          </cell>
        </row>
        <row r="2596">
          <cell r="BT2596" t="e">
            <v>#N/A</v>
          </cell>
        </row>
        <row r="2597">
          <cell r="BT2597" t="e">
            <v>#N/A</v>
          </cell>
        </row>
        <row r="2598">
          <cell r="BT2598" t="str">
            <v>Szekszárd</v>
          </cell>
        </row>
        <row r="2599">
          <cell r="BT2599" t="e">
            <v>#N/A</v>
          </cell>
        </row>
        <row r="2600">
          <cell r="BT2600" t="e">
            <v>#N/A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e">
            <v>#N/A</v>
          </cell>
        </row>
        <row r="2604">
          <cell r="BT2604" t="e">
            <v>#N/A</v>
          </cell>
        </row>
        <row r="2605">
          <cell r="BT2605" t="str">
            <v>Szendehely</v>
          </cell>
        </row>
        <row r="2606">
          <cell r="BT2606" t="e">
            <v>#N/A</v>
          </cell>
        </row>
        <row r="2607">
          <cell r="BT2607" t="e">
            <v>#N/A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e">
            <v>#N/A</v>
          </cell>
        </row>
        <row r="2611">
          <cell r="BT2611" t="e">
            <v>#N/A</v>
          </cell>
        </row>
        <row r="2612">
          <cell r="BT2612" t="e">
            <v>#N/A</v>
          </cell>
        </row>
        <row r="2613">
          <cell r="BT2613" t="e">
            <v>#N/A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e">
            <v>#N/A</v>
          </cell>
        </row>
        <row r="2623">
          <cell r="BT2623" t="e">
            <v>#N/A</v>
          </cell>
        </row>
        <row r="2624">
          <cell r="BT2624" t="e">
            <v>#N/A</v>
          </cell>
        </row>
        <row r="2625">
          <cell r="BT2625" t="str">
            <v>Szentimrefalva</v>
          </cell>
        </row>
        <row r="2626">
          <cell r="BT2626" t="e">
            <v>#N/A</v>
          </cell>
        </row>
        <row r="2627">
          <cell r="BT2627" t="e">
            <v>#N/A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e">
            <v>#N/A</v>
          </cell>
        </row>
        <row r="2633">
          <cell r="BT2633" t="str">
            <v>Szentlászló</v>
          </cell>
        </row>
        <row r="2634">
          <cell r="BT2634" t="e">
            <v>#N/A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e">
            <v>#N/A</v>
          </cell>
        </row>
        <row r="2638">
          <cell r="BT2638" t="str">
            <v>Szentmártonkáta</v>
          </cell>
        </row>
        <row r="2639">
          <cell r="BT2639" t="e">
            <v>#N/A</v>
          </cell>
        </row>
        <row r="2640">
          <cell r="BT2640" t="e">
            <v>#N/A</v>
          </cell>
        </row>
        <row r="2641">
          <cell r="BT2641" t="str">
            <v>Szentpéterszeg</v>
          </cell>
        </row>
        <row r="2642">
          <cell r="BT2642" t="e">
            <v>#N/A</v>
          </cell>
        </row>
        <row r="2643">
          <cell r="BT2643" t="str">
            <v>Szenyér</v>
          </cell>
        </row>
        <row r="2644">
          <cell r="BT2644" t="e">
            <v>#N/A</v>
          </cell>
        </row>
        <row r="2645">
          <cell r="BT2645" t="e">
            <v>#N/A</v>
          </cell>
        </row>
        <row r="2646">
          <cell r="BT2646" t="e">
            <v>#N/A</v>
          </cell>
        </row>
        <row r="2647">
          <cell r="BT2647" t="e">
            <v>#N/A</v>
          </cell>
        </row>
        <row r="2648">
          <cell r="BT2648" t="str">
            <v>Szerep</v>
          </cell>
        </row>
        <row r="2649">
          <cell r="BT2649" t="e">
            <v>#N/A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e">
            <v>#N/A</v>
          </cell>
        </row>
        <row r="2661">
          <cell r="BT2661" t="str">
            <v>Szikszó</v>
          </cell>
        </row>
        <row r="2662">
          <cell r="BT2662" t="e">
            <v>#N/A</v>
          </cell>
        </row>
        <row r="2663">
          <cell r="BT2663" t="e">
            <v>#N/A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e">
            <v>#N/A</v>
          </cell>
        </row>
        <row r="2667">
          <cell r="BT2667" t="e">
            <v>#N/A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e">
            <v>#N/A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e">
            <v>#N/A</v>
          </cell>
        </row>
        <row r="2680">
          <cell r="BT2680" t="str">
            <v>Szomolya</v>
          </cell>
        </row>
        <row r="2681">
          <cell r="BT2681" t="e">
            <v>#N/A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e">
            <v>#N/A</v>
          </cell>
        </row>
        <row r="2688">
          <cell r="BT2688" t="str">
            <v>Szögliget</v>
          </cell>
        </row>
        <row r="2689">
          <cell r="BT2689" t="e">
            <v>#N/A</v>
          </cell>
        </row>
        <row r="2690">
          <cell r="BT2690" t="e">
            <v>#N/A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e">
            <v>#N/A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e">
            <v>#N/A</v>
          </cell>
        </row>
        <row r="2699">
          <cell r="BT2699" t="e">
            <v>#N/A</v>
          </cell>
        </row>
        <row r="2700">
          <cell r="BT2700" t="e">
            <v>#N/A</v>
          </cell>
        </row>
        <row r="2701">
          <cell r="BT2701" t="str">
            <v>Szulok</v>
          </cell>
        </row>
        <row r="2702">
          <cell r="BT2702" t="e">
            <v>#N/A</v>
          </cell>
        </row>
        <row r="2703">
          <cell r="BT2703" t="str">
            <v>Szűcsi</v>
          </cell>
        </row>
        <row r="2704">
          <cell r="BT2704" t="e">
            <v>#N/A</v>
          </cell>
        </row>
        <row r="2705">
          <cell r="BT2705" t="e">
            <v>#N/A</v>
          </cell>
        </row>
        <row r="2706">
          <cell r="BT2706" t="str">
            <v>Tab</v>
          </cell>
        </row>
        <row r="2707">
          <cell r="BT2707" t="e">
            <v>#N/A</v>
          </cell>
        </row>
        <row r="2708">
          <cell r="BT2708" t="e">
            <v>#N/A</v>
          </cell>
        </row>
        <row r="2709">
          <cell r="BT2709" t="str">
            <v>Táborfalva</v>
          </cell>
        </row>
        <row r="2710">
          <cell r="BT2710" t="e">
            <v>#N/A</v>
          </cell>
        </row>
        <row r="2711">
          <cell r="BT2711" t="str">
            <v>Tagyon</v>
          </cell>
        </row>
        <row r="2712">
          <cell r="BT2712" t="e">
            <v>#N/A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e">
            <v>#N/A</v>
          </cell>
        </row>
        <row r="2716">
          <cell r="BT2716" t="e">
            <v>#N/A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e">
            <v>#N/A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e">
            <v>#N/A</v>
          </cell>
        </row>
        <row r="2725">
          <cell r="BT2725" t="e">
            <v>#N/A</v>
          </cell>
        </row>
        <row r="2726">
          <cell r="BT2726" t="e">
            <v>#N/A</v>
          </cell>
        </row>
        <row r="2727">
          <cell r="BT2727" t="e">
            <v>#N/A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e">
            <v>#N/A</v>
          </cell>
        </row>
        <row r="2736">
          <cell r="BT2736" t="e">
            <v>#N/A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e">
            <v>#N/A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e">
            <v>#N/A</v>
          </cell>
        </row>
        <row r="2754">
          <cell r="BT2754" t="e">
            <v>#N/A</v>
          </cell>
        </row>
        <row r="2755">
          <cell r="BT2755" t="str">
            <v>Tarpa</v>
          </cell>
        </row>
        <row r="2756">
          <cell r="BT2756" t="e">
            <v>#N/A</v>
          </cell>
        </row>
        <row r="2757">
          <cell r="BT2757" t="str">
            <v>Táska</v>
          </cell>
        </row>
        <row r="2758">
          <cell r="BT2758" t="e">
            <v>#N/A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e">
            <v>#N/A</v>
          </cell>
        </row>
        <row r="2762">
          <cell r="BT2762" t="str">
            <v>Tatabánya</v>
          </cell>
        </row>
        <row r="2763">
          <cell r="BT2763" t="e">
            <v>#N/A</v>
          </cell>
        </row>
        <row r="2764">
          <cell r="BT2764" t="str">
            <v>Tatárszentgyörgy</v>
          </cell>
        </row>
        <row r="2765">
          <cell r="BT2765" t="e">
            <v>#N/A</v>
          </cell>
        </row>
        <row r="2766">
          <cell r="BT2766" t="str">
            <v>Téglás</v>
          </cell>
        </row>
        <row r="2767">
          <cell r="BT2767" t="e">
            <v>#N/A</v>
          </cell>
        </row>
        <row r="2768">
          <cell r="BT2768" t="e">
            <v>#N/A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e">
            <v>#N/A</v>
          </cell>
        </row>
        <row r="2776">
          <cell r="BT2776" t="e">
            <v>#N/A</v>
          </cell>
        </row>
        <row r="2777">
          <cell r="BT2777" t="str">
            <v>Tenk</v>
          </cell>
        </row>
        <row r="2778">
          <cell r="BT2778" t="e">
            <v>#N/A</v>
          </cell>
        </row>
        <row r="2779">
          <cell r="BT2779" t="e">
            <v>#N/A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e">
            <v>#N/A</v>
          </cell>
        </row>
        <row r="2786">
          <cell r="BT2786" t="str">
            <v>Tésa</v>
          </cell>
        </row>
        <row r="2787">
          <cell r="BT2787" t="e">
            <v>#N/A</v>
          </cell>
        </row>
        <row r="2788">
          <cell r="BT2788" t="e">
            <v>#N/A</v>
          </cell>
        </row>
        <row r="2789">
          <cell r="BT2789" t="e">
            <v>#N/A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e">
            <v>#N/A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e">
            <v>#N/A</v>
          </cell>
        </row>
        <row r="2807">
          <cell r="BT2807" t="e">
            <v>#N/A</v>
          </cell>
        </row>
        <row r="2808">
          <cell r="BT2808" t="e">
            <v>#N/A</v>
          </cell>
        </row>
        <row r="2809">
          <cell r="BT2809" t="e">
            <v>#N/A</v>
          </cell>
        </row>
        <row r="2810">
          <cell r="BT2810" t="str">
            <v>Tiszacsermely</v>
          </cell>
        </row>
        <row r="2811">
          <cell r="BT2811" t="e">
            <v>#N/A</v>
          </cell>
        </row>
        <row r="2812">
          <cell r="BT2812" t="e">
            <v>#N/A</v>
          </cell>
        </row>
        <row r="2813">
          <cell r="BT2813" t="e">
            <v>#N/A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e">
            <v>#N/A</v>
          </cell>
        </row>
        <row r="2817">
          <cell r="BT2817" t="str">
            <v>Tiszafüred</v>
          </cell>
        </row>
        <row r="2818">
          <cell r="BT2818" t="e">
            <v>#N/A</v>
          </cell>
        </row>
        <row r="2819">
          <cell r="BT2819" t="str">
            <v>Tiszagyulaháza</v>
          </cell>
        </row>
        <row r="2820">
          <cell r="BT2820" t="e">
            <v>#N/A</v>
          </cell>
        </row>
        <row r="2821">
          <cell r="BT2821" t="e">
            <v>#N/A</v>
          </cell>
        </row>
        <row r="2822">
          <cell r="BT2822" t="e">
            <v>#N/A</v>
          </cell>
        </row>
        <row r="2823">
          <cell r="BT2823" t="str">
            <v>Tiszakanyár</v>
          </cell>
        </row>
        <row r="2824">
          <cell r="BT2824" t="e">
            <v>#N/A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e">
            <v>#N/A</v>
          </cell>
        </row>
        <row r="2828">
          <cell r="BT2828" t="str">
            <v>Tiszakóród</v>
          </cell>
        </row>
        <row r="2829">
          <cell r="BT2829" t="e">
            <v>#N/A</v>
          </cell>
        </row>
        <row r="2830">
          <cell r="BT2830" t="e">
            <v>#N/A</v>
          </cell>
        </row>
        <row r="2831">
          <cell r="BT2831" t="str">
            <v>Tiszalök</v>
          </cell>
        </row>
        <row r="2832">
          <cell r="BT2832" t="e">
            <v>#N/A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e">
            <v>#N/A</v>
          </cell>
        </row>
        <row r="2837">
          <cell r="BT2837" t="e">
            <v>#N/A</v>
          </cell>
        </row>
        <row r="2838">
          <cell r="BT2838" t="e">
            <v>#N/A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e">
            <v>#N/A</v>
          </cell>
        </row>
        <row r="2848">
          <cell r="BT2848" t="e">
            <v>#N/A</v>
          </cell>
        </row>
        <row r="2849">
          <cell r="BT2849" t="e">
            <v>#N/A</v>
          </cell>
        </row>
        <row r="2850">
          <cell r="BT2850" t="str">
            <v>Tiszatelek</v>
          </cell>
        </row>
        <row r="2851">
          <cell r="BT2851" t="e">
            <v>#N/A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e">
            <v>#N/A</v>
          </cell>
        </row>
        <row r="2855">
          <cell r="BT2855" t="e">
            <v>#N/A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e">
            <v>#N/A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e">
            <v>#N/A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e">
            <v>#N/A</v>
          </cell>
        </row>
        <row r="2874">
          <cell r="BT2874" t="e">
            <v>#N/A</v>
          </cell>
        </row>
        <row r="2875">
          <cell r="BT2875" t="e">
            <v>#N/A</v>
          </cell>
        </row>
        <row r="2876">
          <cell r="BT2876" t="e">
            <v>#N/A</v>
          </cell>
        </row>
        <row r="2877">
          <cell r="BT2877" t="e">
            <v>#N/A</v>
          </cell>
        </row>
        <row r="2878">
          <cell r="BT2878" t="str">
            <v>Tormafölde</v>
          </cell>
        </row>
        <row r="2879">
          <cell r="BT2879" t="e">
            <v>#N/A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e">
            <v>#N/A</v>
          </cell>
        </row>
        <row r="2884">
          <cell r="BT2884" t="e">
            <v>#N/A</v>
          </cell>
        </row>
        <row r="2885">
          <cell r="BT2885" t="e">
            <v>#N/A</v>
          </cell>
        </row>
        <row r="2886">
          <cell r="BT2886" t="str">
            <v>Tornyiszentmiklós</v>
          </cell>
        </row>
        <row r="2887">
          <cell r="BT2887" t="e">
            <v>#N/A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e">
            <v>#N/A</v>
          </cell>
        </row>
        <row r="2892">
          <cell r="BT2892" t="str">
            <v>Tótkomlós</v>
          </cell>
        </row>
        <row r="2893">
          <cell r="BT2893" t="e">
            <v>#N/A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e">
            <v>#N/A</v>
          </cell>
        </row>
        <row r="2907">
          <cell r="BT2907" t="e">
            <v>#N/A</v>
          </cell>
        </row>
        <row r="2908">
          <cell r="BT2908" t="e">
            <v>#N/A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e">
            <v>#N/A</v>
          </cell>
        </row>
        <row r="2913">
          <cell r="BT2913" t="e">
            <v>#N/A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e">
            <v>#N/A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e">
            <v>#N/A</v>
          </cell>
        </row>
        <row r="2923">
          <cell r="BT2923" t="e">
            <v>#N/A</v>
          </cell>
        </row>
        <row r="2924">
          <cell r="BT2924" t="e">
            <v>#N/A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e">
            <v>#N/A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e">
            <v>#N/A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e">
            <v>#N/A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e">
            <v>#N/A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e">
            <v>#N/A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e">
            <v>#N/A</v>
          </cell>
        </row>
        <row r="2957">
          <cell r="BT2957" t="e">
            <v>#N/A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e">
            <v>#N/A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e">
            <v>#N/A</v>
          </cell>
        </row>
        <row r="2968">
          <cell r="BT2968" t="str">
            <v>Vácszentlászló</v>
          </cell>
        </row>
        <row r="2969">
          <cell r="BT2969" t="e">
            <v>#N/A</v>
          </cell>
        </row>
        <row r="2970">
          <cell r="BT2970" t="str">
            <v>Vadosfa</v>
          </cell>
        </row>
        <row r="2971">
          <cell r="BT2971" t="e">
            <v>#N/A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e">
            <v>#N/A</v>
          </cell>
        </row>
        <row r="2975">
          <cell r="BT2975" t="e">
            <v>#N/A</v>
          </cell>
        </row>
        <row r="2976">
          <cell r="BT2976" t="e">
            <v>#N/A</v>
          </cell>
        </row>
        <row r="2977">
          <cell r="BT2977" t="e">
            <v>#N/A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e">
            <v>#N/A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e">
            <v>#N/A</v>
          </cell>
        </row>
        <row r="2994">
          <cell r="BT2994" t="str">
            <v>Váralja</v>
          </cell>
        </row>
        <row r="2995">
          <cell r="BT2995" t="e">
            <v>#N/A</v>
          </cell>
        </row>
        <row r="2996">
          <cell r="BT2996" t="str">
            <v>Váraszó</v>
          </cell>
        </row>
        <row r="2997">
          <cell r="BT2997" t="e">
            <v>#N/A</v>
          </cell>
        </row>
        <row r="2998">
          <cell r="BT2998" t="e">
            <v>#N/A</v>
          </cell>
        </row>
        <row r="2999">
          <cell r="BT2999" t="e">
            <v>#N/A</v>
          </cell>
        </row>
        <row r="3000">
          <cell r="BT3000" t="e">
            <v>#N/A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e">
            <v>#N/A</v>
          </cell>
        </row>
        <row r="3004">
          <cell r="BT3004" t="str">
            <v>Várgesztes</v>
          </cell>
        </row>
        <row r="3005">
          <cell r="BT3005" t="e">
            <v>#N/A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e">
            <v>#N/A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e">
            <v>#N/A</v>
          </cell>
        </row>
        <row r="3016">
          <cell r="BT3016" t="e">
            <v>#N/A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e">
            <v>#N/A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e">
            <v>#N/A</v>
          </cell>
        </row>
        <row r="3029">
          <cell r="BT3029" t="e">
            <v>#N/A</v>
          </cell>
        </row>
        <row r="3030">
          <cell r="BT3030" t="e">
            <v>#N/A</v>
          </cell>
        </row>
        <row r="3031">
          <cell r="BT3031" t="e">
            <v>#N/A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e">
            <v>#N/A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e">
            <v>#N/A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e">
            <v>#N/A</v>
          </cell>
        </row>
        <row r="3041">
          <cell r="BT3041" t="e">
            <v>#N/A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e">
            <v>#N/A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e">
            <v>#N/A</v>
          </cell>
        </row>
        <row r="3054">
          <cell r="BT3054" t="str">
            <v>Verpelét</v>
          </cell>
        </row>
        <row r="3055">
          <cell r="BT3055" t="str">
            <v>穳揩敳祮_x000E_娀潳湬楡娠汯୮_x0000_慖獳楺癬柡๹_x0000_穣⁩⹵㈠⸵_x0008_䘁儀 甀⸀ ㌀㈀ఀĀFelsőberecki_x000D_䘀橥敪⁬獉癴满_x0011_䬀獯畳桴䰠‮⹵㔠⸹_x000B_䘁攀氀猀儀搁漀戀猀稀愀ᤀ_x0000_ﱆ⁰潚瑬满䈠湥⁥汋狡੡_x0000_楓⁫浉敲_x000F_䬀獯畳桴甠捴⁡⸶	䘁攀氀猀儀朁愀最礀ఀ_x0000_潂潧祬䨠满獯_x000E_刀毡揳楺蘒⁴㠷ฮĀFelsőkelecsény_x000B_䄀摮⃳_x0010_匀慺慢獤柡甠‮〲ମĀFelsőnyárád_x000D_䬀物汩⁡敆敲据_x0006_㌀㘷㤷സ_x0000_ﱐ灳毶慬祮⩩_x0000_慬晴污慶⁩楋瑳狩⁧扢𤋮吠狡畳慳_x0006_㌀㈸㐸ื_x0000_噉‮慬蘒⁴⸱_x000D_䈀泩灡瓡慦癬楡!䔀牧⁩楋瑳狩⁧</v>
          </cell>
        </row>
        <row r="3056">
          <cell r="BT3056" t="e">
            <v>#N/A</v>
          </cell>
        </row>
        <row r="3057">
          <cell r="BT3057" t="str">
            <v>Vértesacsa</v>
          </cell>
        </row>
        <row r="3058">
          <cell r="BT3058" t="e">
            <v>#N/A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e">
            <v>#N/A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e">
            <v>#N/A</v>
          </cell>
        </row>
        <row r="3067">
          <cell r="BT3067" t="e">
            <v>#N/A</v>
          </cell>
        </row>
        <row r="3068">
          <cell r="BT3068" t="str">
            <v>Veszprémvarsány</v>
          </cell>
        </row>
        <row r="3069">
          <cell r="BT3069" t="e">
            <v>#N/A</v>
          </cell>
        </row>
        <row r="3070">
          <cell r="BT3070" t="e">
            <v>#N/A</v>
          </cell>
        </row>
        <row r="3071">
          <cell r="BT3071" t="e">
            <v>#N/A</v>
          </cell>
        </row>
        <row r="3072">
          <cell r="BT3072" t="e">
            <v>#N/A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e">
            <v>#N/A</v>
          </cell>
        </row>
        <row r="3077">
          <cell r="BT3077" t="str">
            <v>Vilyvitány</v>
          </cell>
        </row>
        <row r="3078">
          <cell r="BT3078" t="e">
            <v>#N/A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e">
            <v>#N/A</v>
          </cell>
        </row>
        <row r="3083">
          <cell r="BT3083" t="e">
            <v>#N/A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e">
            <v>#N/A</v>
          </cell>
        </row>
        <row r="3087">
          <cell r="BT3087" t="str">
            <v>Viszák</v>
          </cell>
        </row>
        <row r="3088">
          <cell r="BT3088" t="e">
            <v>#N/A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e">
            <v>#N/A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e">
            <v>#N/A</v>
          </cell>
        </row>
        <row r="3097">
          <cell r="BT3097" t="str">
            <v>t Zsolt
_x0000__x0000_Gáva János_x000E__x0000__x0000_Kossuth u. 23._x0006__x0000__x0000_Nábrád_x000C__x0000__x0000_Varga Attila_x000C__x0000__x0000_Varga Károly_x000C__x0000__x0000_Árpád u. 40._x000C__x0000__x0000_Nemesborzova_x0013__x0000__x0000_Nagy Gábor Zsigmond_x000D__x0000__x0000_Balla Jánosné_x0010__x0000__x0000_Szabadság tér 7.-_x0000__x0000_Keszthely-Hévízi Kistérségi Többcélú Társulás_x0006__x0000__x0000_558808_x0010__x0000__x0001_K_x0000_e_x0000_s_x0000_z_x0000_t_x0000_h_x0000_e_x0000_l_x0000_y_x0000__x0013_ H_x0000_é_x0000_v_x0000_í_x0000_z_x0000_i_x0000_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e">
            <v>#N/A</v>
          </cell>
        </row>
        <row r="3101">
          <cell r="BT3101" t="e">
            <v>#N/A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e">
            <v>#N/A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e">
            <v>#N/A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e">
            <v>#N/A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e">
            <v>#N/A</v>
          </cell>
        </row>
        <row r="3143">
          <cell r="BT3143" t="e">
            <v>#N/A</v>
          </cell>
        </row>
        <row r="3144">
          <cell r="BT3144" t="e">
            <v>#N/A</v>
          </cell>
        </row>
        <row r="3145">
          <cell r="BT3145" t="e">
            <v>#N/A</v>
          </cell>
        </row>
        <row r="3146">
          <cell r="BT3146" t="str">
            <v>Zaláta</v>
          </cell>
        </row>
        <row r="3147">
          <cell r="BT3147" t="e">
            <v>#N/A</v>
          </cell>
        </row>
        <row r="3148">
          <cell r="BT3148" t="e">
            <v>#N/A</v>
          </cell>
        </row>
        <row r="3149">
          <cell r="BT3149" t="e">
            <v>#N/A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e">
            <v>#N/A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e">
            <v>#N/A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e">
            <v>#N/A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e">
            <v>#N/A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e">
            <v>#N/A</v>
          </cell>
        </row>
        <row r="3171">
          <cell r="BT3171" t="e">
            <v>#N/A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e">
            <v>#N/A</v>
          </cell>
        </row>
        <row r="3175">
          <cell r="BT3175" t="e">
            <v>#N/A</v>
          </cell>
        </row>
        <row r="3176">
          <cell r="BT3176" t="str">
            <v>Zselickisfalud</v>
          </cell>
        </row>
        <row r="3177">
          <cell r="BT3177" t="e">
            <v>#N/A</v>
          </cell>
        </row>
        <row r="3178">
          <cell r="BT3178" t="e">
            <v>#N/A</v>
          </cell>
        </row>
        <row r="3179">
          <cell r="BT3179" t="e">
            <v>#N/A</v>
          </cell>
        </row>
        <row r="3180">
          <cell r="BT3180" t="e">
            <v>#N/A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workbookViewId="0">
      <selection activeCell="D17" sqref="D17"/>
    </sheetView>
  </sheetViews>
  <sheetFormatPr defaultRowHeight="15" x14ac:dyDescent="0.25"/>
  <cols>
    <col min="1" max="1" width="14.5703125" customWidth="1"/>
    <col min="2" max="2" width="82" customWidth="1"/>
    <col min="3" max="3" width="47.7109375" customWidth="1"/>
  </cols>
  <sheetData>
    <row r="1" spans="1:2" ht="51" customHeight="1" x14ac:dyDescent="0.25">
      <c r="A1" s="1061" t="s">
        <v>859</v>
      </c>
      <c r="B1" s="1061"/>
    </row>
    <row r="2" spans="1:2" ht="15.75" x14ac:dyDescent="0.25">
      <c r="A2" s="1062" t="s">
        <v>784</v>
      </c>
      <c r="B2" s="1062"/>
    </row>
    <row r="3" spans="1:2" x14ac:dyDescent="0.25">
      <c r="A3" s="349"/>
      <c r="B3" s="515"/>
    </row>
    <row r="4" spans="1:2" x14ac:dyDescent="0.25">
      <c r="A4" s="516" t="s">
        <v>588</v>
      </c>
      <c r="B4" s="517" t="s">
        <v>701</v>
      </c>
    </row>
    <row r="5" spans="1:2" x14ac:dyDescent="0.25">
      <c r="A5" s="516" t="s">
        <v>589</v>
      </c>
      <c r="B5" s="517" t="s">
        <v>702</v>
      </c>
    </row>
    <row r="6" spans="1:2" x14ac:dyDescent="0.25">
      <c r="A6" s="516" t="s">
        <v>590</v>
      </c>
      <c r="B6" s="517" t="s">
        <v>703</v>
      </c>
    </row>
    <row r="7" spans="1:2" x14ac:dyDescent="0.25">
      <c r="A7" s="516" t="s">
        <v>600</v>
      </c>
      <c r="B7" s="517" t="s">
        <v>704</v>
      </c>
    </row>
    <row r="8" spans="1:2" x14ac:dyDescent="0.25">
      <c r="A8" s="516" t="s">
        <v>601</v>
      </c>
      <c r="B8" s="517" t="s">
        <v>705</v>
      </c>
    </row>
    <row r="9" spans="1:2" x14ac:dyDescent="0.25">
      <c r="A9" s="516" t="s">
        <v>602</v>
      </c>
      <c r="B9" s="517" t="s">
        <v>706</v>
      </c>
    </row>
    <row r="10" spans="1:2" x14ac:dyDescent="0.25">
      <c r="A10" s="516" t="s">
        <v>591</v>
      </c>
      <c r="B10" s="517" t="s">
        <v>707</v>
      </c>
    </row>
    <row r="11" spans="1:2" x14ac:dyDescent="0.25">
      <c r="A11" s="516" t="s">
        <v>592</v>
      </c>
      <c r="B11" s="517" t="s">
        <v>708</v>
      </c>
    </row>
    <row r="12" spans="1:2" ht="25.5" x14ac:dyDescent="0.25">
      <c r="A12" s="516" t="s">
        <v>647</v>
      </c>
      <c r="B12" s="517" t="s">
        <v>709</v>
      </c>
    </row>
    <row r="13" spans="1:2" ht="25.5" x14ac:dyDescent="0.25">
      <c r="A13" s="516" t="s">
        <v>648</v>
      </c>
      <c r="B13" s="517" t="s">
        <v>710</v>
      </c>
    </row>
    <row r="14" spans="1:2" ht="25.5" x14ac:dyDescent="0.25">
      <c r="A14" s="516" t="s">
        <v>649</v>
      </c>
      <c r="B14" s="517" t="s">
        <v>711</v>
      </c>
    </row>
    <row r="15" spans="1:2" x14ac:dyDescent="0.25">
      <c r="A15" s="516" t="s">
        <v>650</v>
      </c>
      <c r="B15" s="517" t="s">
        <v>712</v>
      </c>
    </row>
    <row r="16" spans="1:2" x14ac:dyDescent="0.25">
      <c r="A16" s="516" t="s">
        <v>651</v>
      </c>
      <c r="B16" s="517" t="s">
        <v>713</v>
      </c>
    </row>
    <row r="17" spans="1:5" x14ac:dyDescent="0.25">
      <c r="A17" s="516" t="s">
        <v>652</v>
      </c>
      <c r="B17" s="517" t="s">
        <v>714</v>
      </c>
    </row>
    <row r="18" spans="1:5" x14ac:dyDescent="0.25">
      <c r="A18" s="516" t="s">
        <v>653</v>
      </c>
      <c r="B18" s="517" t="s">
        <v>715</v>
      </c>
    </row>
    <row r="19" spans="1:5" x14ac:dyDescent="0.25">
      <c r="A19" s="516" t="s">
        <v>593</v>
      </c>
      <c r="B19" s="517" t="s">
        <v>594</v>
      </c>
    </row>
    <row r="20" spans="1:5" x14ac:dyDescent="0.25">
      <c r="A20" s="516" t="s">
        <v>654</v>
      </c>
      <c r="B20" s="517" t="s">
        <v>716</v>
      </c>
    </row>
    <row r="21" spans="1:5" x14ac:dyDescent="0.25">
      <c r="A21" s="516" t="s">
        <v>655</v>
      </c>
      <c r="B21" s="517" t="s">
        <v>717</v>
      </c>
    </row>
    <row r="22" spans="1:5" x14ac:dyDescent="0.25">
      <c r="A22" s="516" t="s">
        <v>695</v>
      </c>
      <c r="B22" s="517" t="s">
        <v>718</v>
      </c>
    </row>
    <row r="23" spans="1:5" ht="17.25" customHeight="1" x14ac:dyDescent="0.25">
      <c r="A23" s="516" t="s">
        <v>595</v>
      </c>
      <c r="B23" s="517" t="s">
        <v>596</v>
      </c>
    </row>
    <row r="24" spans="1:5" x14ac:dyDescent="0.25">
      <c r="A24" s="516" t="s">
        <v>597</v>
      </c>
      <c r="B24" s="517" t="s">
        <v>598</v>
      </c>
    </row>
    <row r="25" spans="1:5" x14ac:dyDescent="0.25">
      <c r="A25" s="516" t="s">
        <v>599</v>
      </c>
      <c r="B25" s="517" t="s">
        <v>719</v>
      </c>
    </row>
    <row r="26" spans="1:5" x14ac:dyDescent="0.25">
      <c r="A26" s="516" t="s">
        <v>697</v>
      </c>
      <c r="B26" s="517" t="s">
        <v>469</v>
      </c>
      <c r="C26" s="517"/>
      <c r="D26" s="517"/>
      <c r="E26" s="517"/>
    </row>
    <row r="27" spans="1:5" x14ac:dyDescent="0.25">
      <c r="A27" s="516" t="s">
        <v>698</v>
      </c>
      <c r="B27" s="517" t="s">
        <v>603</v>
      </c>
    </row>
    <row r="28" spans="1:5" x14ac:dyDescent="0.25">
      <c r="A28" s="65" t="s">
        <v>860</v>
      </c>
      <c r="B28" s="65" t="s">
        <v>861</v>
      </c>
    </row>
    <row r="29" spans="1:5" x14ac:dyDescent="0.25">
      <c r="A29" s="65" t="s">
        <v>862</v>
      </c>
      <c r="B29" s="65" t="s">
        <v>863</v>
      </c>
    </row>
    <row r="30" spans="1:5" x14ac:dyDescent="0.25">
      <c r="A30" s="65" t="s">
        <v>864</v>
      </c>
      <c r="B30" s="65" t="s">
        <v>865</v>
      </c>
    </row>
    <row r="31" spans="1:5" x14ac:dyDescent="0.25">
      <c r="A31" s="65" t="s">
        <v>866</v>
      </c>
      <c r="B31" s="65" t="s">
        <v>867</v>
      </c>
    </row>
    <row r="32" spans="1:5" x14ac:dyDescent="0.25">
      <c r="A32" s="65" t="s">
        <v>868</v>
      </c>
      <c r="B32" s="65" t="s">
        <v>869</v>
      </c>
    </row>
  </sheetData>
  <mergeCells count="2"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zoomScaleNormal="100" workbookViewId="0">
      <selection activeCell="E8" sqref="E8"/>
    </sheetView>
  </sheetViews>
  <sheetFormatPr defaultColWidth="9.140625" defaultRowHeight="15" x14ac:dyDescent="0.25"/>
  <cols>
    <col min="1" max="1" width="6.140625" style="26" customWidth="1"/>
    <col min="2" max="3" width="13" style="27" customWidth="1"/>
    <col min="4" max="4" width="14" style="1020" customWidth="1"/>
    <col min="5" max="5" width="11" style="1020" customWidth="1"/>
    <col min="6" max="6" width="15" style="1020" customWidth="1"/>
    <col min="7" max="16384" width="9.140625" style="1"/>
  </cols>
  <sheetData>
    <row r="1" spans="1:6" ht="15.75" customHeight="1" x14ac:dyDescent="0.25">
      <c r="D1" s="1116" t="s">
        <v>390</v>
      </c>
      <c r="E1" s="1116"/>
      <c r="F1" s="1116"/>
    </row>
    <row r="2" spans="1:6" ht="24.75" customHeight="1" x14ac:dyDescent="0.25">
      <c r="A2" s="1125" t="s">
        <v>0</v>
      </c>
      <c r="B2" s="1125" t="s">
        <v>182</v>
      </c>
      <c r="C2" s="1125"/>
      <c r="D2" s="1120" t="s">
        <v>176</v>
      </c>
      <c r="E2" s="1121"/>
      <c r="F2" s="1122"/>
    </row>
    <row r="3" spans="1:6" s="2" customFormat="1" x14ac:dyDescent="0.25">
      <c r="A3" s="1125"/>
      <c r="B3" s="1125"/>
      <c r="C3" s="1125"/>
      <c r="D3" s="1050" t="s">
        <v>943</v>
      </c>
      <c r="E3" s="1050" t="s">
        <v>786</v>
      </c>
      <c r="F3" s="1050" t="s">
        <v>942</v>
      </c>
    </row>
    <row r="4" spans="1:6" s="2" customFormat="1" x14ac:dyDescent="0.25">
      <c r="A4" s="1125"/>
      <c r="B4" s="1125"/>
      <c r="C4" s="1125"/>
      <c r="D4" s="1123" t="s">
        <v>189</v>
      </c>
      <c r="E4" s="1123"/>
      <c r="F4" s="1123"/>
    </row>
    <row r="5" spans="1:6" ht="12" customHeight="1" x14ac:dyDescent="0.25">
      <c r="A5" s="6" t="s">
        <v>27</v>
      </c>
      <c r="B5" s="1119" t="s">
        <v>174</v>
      </c>
      <c r="C5" s="1119"/>
      <c r="D5" s="1009"/>
      <c r="E5" s="1014"/>
      <c r="F5" s="1014">
        <f>+E5+D5</f>
        <v>0</v>
      </c>
    </row>
    <row r="6" spans="1:6" ht="12" customHeight="1" x14ac:dyDescent="0.25">
      <c r="A6" s="6" t="s">
        <v>33</v>
      </c>
      <c r="B6" s="1119" t="s">
        <v>173</v>
      </c>
      <c r="C6" s="1119"/>
      <c r="D6" s="1011">
        <v>17899</v>
      </c>
      <c r="E6" s="1009">
        <v>245</v>
      </c>
      <c r="F6" s="1009">
        <f t="shared" ref="F6:F7" si="0">+E6+D6</f>
        <v>18144</v>
      </c>
    </row>
    <row r="7" spans="1:6" ht="12" customHeight="1" x14ac:dyDescent="0.25">
      <c r="A7" s="7" t="s">
        <v>34</v>
      </c>
      <c r="B7" s="1118" t="s">
        <v>172</v>
      </c>
      <c r="C7" s="1118"/>
      <c r="D7" s="1008">
        <f>SUM(D5:D6)</f>
        <v>17899</v>
      </c>
      <c r="E7" s="1008">
        <f>SUM(E5:E6)</f>
        <v>245</v>
      </c>
      <c r="F7" s="1009">
        <f t="shared" si="0"/>
        <v>18144</v>
      </c>
    </row>
    <row r="8" spans="1:6" ht="12" customHeight="1" x14ac:dyDescent="0.25">
      <c r="A8" s="8"/>
      <c r="B8" s="9"/>
      <c r="C8" s="9"/>
      <c r="D8" s="1015"/>
      <c r="E8" s="1015"/>
      <c r="F8" s="1017"/>
    </row>
    <row r="9" spans="1:6" ht="12" customHeight="1" x14ac:dyDescent="0.25">
      <c r="A9" s="6" t="s">
        <v>35</v>
      </c>
      <c r="B9" s="1119" t="s">
        <v>171</v>
      </c>
      <c r="C9" s="1119"/>
      <c r="D9" s="1009">
        <v>3702</v>
      </c>
      <c r="E9" s="1009">
        <v>19</v>
      </c>
      <c r="F9" s="1009">
        <f>+E9+D9</f>
        <v>3721</v>
      </c>
    </row>
    <row r="10" spans="1:6" ht="12" customHeight="1" x14ac:dyDescent="0.25">
      <c r="A10" s="105"/>
      <c r="B10" s="25"/>
      <c r="C10" s="12"/>
      <c r="D10" s="1012"/>
      <c r="E10" s="1012"/>
      <c r="F10" s="1018"/>
    </row>
    <row r="11" spans="1:6" ht="12" customHeight="1" x14ac:dyDescent="0.25">
      <c r="A11" s="13" t="s">
        <v>42</v>
      </c>
      <c r="B11" s="1117" t="s">
        <v>41</v>
      </c>
      <c r="C11" s="1117"/>
      <c r="D11" s="1013">
        <v>80</v>
      </c>
      <c r="E11" s="1013"/>
      <c r="F11" s="1013">
        <f>+E11+D11</f>
        <v>80</v>
      </c>
    </row>
    <row r="12" spans="1:6" ht="12" customHeight="1" x14ac:dyDescent="0.25">
      <c r="A12" s="4" t="s">
        <v>44</v>
      </c>
      <c r="B12" s="1115" t="s">
        <v>43</v>
      </c>
      <c r="C12" s="1115"/>
      <c r="D12" s="1014">
        <f>500+600</f>
        <v>1100</v>
      </c>
      <c r="E12" s="1014">
        <v>-244</v>
      </c>
      <c r="F12" s="1013">
        <f t="shared" ref="F12:F34" si="1">+E12+D12</f>
        <v>856</v>
      </c>
    </row>
    <row r="13" spans="1:6" ht="12" customHeight="1" x14ac:dyDescent="0.25">
      <c r="A13" s="4" t="s">
        <v>46</v>
      </c>
      <c r="B13" s="1115" t="s">
        <v>45</v>
      </c>
      <c r="C13" s="1115"/>
      <c r="D13" s="1014"/>
      <c r="E13" s="1014"/>
      <c r="F13" s="1013">
        <f t="shared" si="1"/>
        <v>0</v>
      </c>
    </row>
    <row r="14" spans="1:6" s="47" customFormat="1" ht="12" customHeight="1" x14ac:dyDescent="0.25">
      <c r="A14" s="6" t="s">
        <v>47</v>
      </c>
      <c r="B14" s="1119" t="s">
        <v>170</v>
      </c>
      <c r="C14" s="1119"/>
      <c r="D14" s="1009">
        <f>SUM(D11:D13)</f>
        <v>1180</v>
      </c>
      <c r="E14" s="1009">
        <f>SUM(E11:E13)</f>
        <v>-244</v>
      </c>
      <c r="F14" s="1013">
        <f t="shared" si="1"/>
        <v>936</v>
      </c>
    </row>
    <row r="15" spans="1:6" ht="12" customHeight="1" x14ac:dyDescent="0.25">
      <c r="A15" s="4" t="s">
        <v>49</v>
      </c>
      <c r="B15" s="1115" t="s">
        <v>48</v>
      </c>
      <c r="C15" s="1115"/>
      <c r="D15" s="1014">
        <v>120</v>
      </c>
      <c r="E15" s="1014"/>
      <c r="F15" s="1013">
        <f t="shared" si="1"/>
        <v>120</v>
      </c>
    </row>
    <row r="16" spans="1:6" ht="12" customHeight="1" x14ac:dyDescent="0.25">
      <c r="A16" s="4" t="s">
        <v>51</v>
      </c>
      <c r="B16" s="1115" t="s">
        <v>50</v>
      </c>
      <c r="C16" s="1115"/>
      <c r="D16" s="1014">
        <v>300</v>
      </c>
      <c r="E16" s="1014">
        <v>-18</v>
      </c>
      <c r="F16" s="1013">
        <f t="shared" si="1"/>
        <v>282</v>
      </c>
    </row>
    <row r="17" spans="1:6" s="47" customFormat="1" ht="12" customHeight="1" x14ac:dyDescent="0.25">
      <c r="A17" s="6" t="s">
        <v>52</v>
      </c>
      <c r="B17" s="1119" t="s">
        <v>169</v>
      </c>
      <c r="C17" s="1119"/>
      <c r="D17" s="1009">
        <f>SUM(D15:D16)</f>
        <v>420</v>
      </c>
      <c r="E17" s="1009">
        <f>SUM(E15:E16)</f>
        <v>-18</v>
      </c>
      <c r="F17" s="1013">
        <f t="shared" si="1"/>
        <v>402</v>
      </c>
    </row>
    <row r="18" spans="1:6" ht="12" customHeight="1" x14ac:dyDescent="0.25">
      <c r="A18" s="4" t="s">
        <v>54</v>
      </c>
      <c r="B18" s="1115" t="s">
        <v>53</v>
      </c>
      <c r="C18" s="1115"/>
      <c r="D18" s="1014"/>
      <c r="E18" s="1014"/>
      <c r="F18" s="1013">
        <f t="shared" si="1"/>
        <v>0</v>
      </c>
    </row>
    <row r="19" spans="1:6" ht="12" customHeight="1" x14ac:dyDescent="0.25">
      <c r="A19" s="4" t="s">
        <v>56</v>
      </c>
      <c r="B19" s="1115" t="s">
        <v>55</v>
      </c>
      <c r="C19" s="1115"/>
      <c r="D19" s="1014"/>
      <c r="E19" s="1014"/>
      <c r="F19" s="1013">
        <f t="shared" si="1"/>
        <v>0</v>
      </c>
    </row>
    <row r="20" spans="1:6" ht="12" customHeight="1" x14ac:dyDescent="0.25">
      <c r="A20" s="4" t="s">
        <v>57</v>
      </c>
      <c r="B20" s="1115" t="s">
        <v>167</v>
      </c>
      <c r="C20" s="1115"/>
      <c r="D20" s="1014"/>
      <c r="E20" s="1014"/>
      <c r="F20" s="1013">
        <f t="shared" si="1"/>
        <v>0</v>
      </c>
    </row>
    <row r="21" spans="1:6" ht="12" customHeight="1" x14ac:dyDescent="0.25">
      <c r="A21" s="4"/>
      <c r="B21" s="1115" t="s">
        <v>58</v>
      </c>
      <c r="C21" s="1115"/>
      <c r="D21" s="1014"/>
      <c r="E21" s="1014"/>
      <c r="F21" s="1013">
        <f t="shared" si="1"/>
        <v>0</v>
      </c>
    </row>
    <row r="22" spans="1:6" ht="12" customHeight="1" x14ac:dyDescent="0.25">
      <c r="A22" s="4" t="s">
        <v>60</v>
      </c>
      <c r="B22" s="1115" t="s">
        <v>166</v>
      </c>
      <c r="C22" s="1115"/>
      <c r="D22" s="1014"/>
      <c r="E22" s="1014"/>
      <c r="F22" s="1013">
        <f t="shared" si="1"/>
        <v>0</v>
      </c>
    </row>
    <row r="23" spans="1:6" ht="12" customHeight="1" x14ac:dyDescent="0.25">
      <c r="A23" s="4" t="s">
        <v>63</v>
      </c>
      <c r="B23" s="1115" t="s">
        <v>62</v>
      </c>
      <c r="C23" s="1115"/>
      <c r="D23" s="1013">
        <v>1000</v>
      </c>
      <c r="E23" s="1014"/>
      <c r="F23" s="1013">
        <f t="shared" si="1"/>
        <v>1000</v>
      </c>
    </row>
    <row r="24" spans="1:6" ht="12" customHeight="1" x14ac:dyDescent="0.25">
      <c r="A24" s="4" t="s">
        <v>65</v>
      </c>
      <c r="B24" s="1115" t="s">
        <v>64</v>
      </c>
      <c r="C24" s="1115"/>
      <c r="D24" s="1014">
        <f>540+120+570+100+200+360+200+3000</f>
        <v>5090</v>
      </c>
      <c r="E24" s="1014"/>
      <c r="F24" s="1013">
        <f t="shared" si="1"/>
        <v>5090</v>
      </c>
    </row>
    <row r="25" spans="1:6" s="47" customFormat="1" ht="12" customHeight="1" x14ac:dyDescent="0.25">
      <c r="A25" s="6" t="s">
        <v>66</v>
      </c>
      <c r="B25" s="1119" t="s">
        <v>156</v>
      </c>
      <c r="C25" s="1119"/>
      <c r="D25" s="1009">
        <f>+D24+D23+D22+D21+D20+D19+D18</f>
        <v>6090</v>
      </c>
      <c r="E25" s="1009">
        <f>+E24+E23+E22+E21+E20+E19+E18</f>
        <v>0</v>
      </c>
      <c r="F25" s="1013">
        <f t="shared" si="1"/>
        <v>6090</v>
      </c>
    </row>
    <row r="26" spans="1:6" ht="12" customHeight="1" x14ac:dyDescent="0.25">
      <c r="A26" s="4" t="s">
        <v>68</v>
      </c>
      <c r="B26" s="1115" t="s">
        <v>67</v>
      </c>
      <c r="C26" s="1115"/>
      <c r="D26" s="1014"/>
      <c r="E26" s="1014"/>
      <c r="F26" s="1013">
        <f t="shared" si="1"/>
        <v>0</v>
      </c>
    </row>
    <row r="27" spans="1:6" ht="12" customHeight="1" x14ac:dyDescent="0.25">
      <c r="A27" s="4" t="s">
        <v>70</v>
      </c>
      <c r="B27" s="1115" t="s">
        <v>69</v>
      </c>
      <c r="C27" s="1115"/>
      <c r="D27" s="1014"/>
      <c r="E27" s="1014"/>
      <c r="F27" s="1013">
        <f t="shared" si="1"/>
        <v>0</v>
      </c>
    </row>
    <row r="28" spans="1:6" ht="12" customHeight="1" x14ac:dyDescent="0.25">
      <c r="A28" s="6" t="s">
        <v>71</v>
      </c>
      <c r="B28" s="1119" t="s">
        <v>155</v>
      </c>
      <c r="C28" s="1119"/>
      <c r="D28" s="1009">
        <f>SUM(D26:D27)</f>
        <v>0</v>
      </c>
      <c r="E28" s="1009"/>
      <c r="F28" s="1013">
        <f t="shared" si="1"/>
        <v>0</v>
      </c>
    </row>
    <row r="29" spans="1:6" ht="12" customHeight="1" x14ac:dyDescent="0.25">
      <c r="A29" s="4" t="s">
        <v>73</v>
      </c>
      <c r="B29" s="1115" t="s">
        <v>72</v>
      </c>
      <c r="C29" s="1115"/>
      <c r="D29" s="1014">
        <f>263+97</f>
        <v>360</v>
      </c>
      <c r="E29" s="1014"/>
      <c r="F29" s="1013">
        <f t="shared" si="1"/>
        <v>360</v>
      </c>
    </row>
    <row r="30" spans="1:6" ht="12" customHeight="1" x14ac:dyDescent="0.25">
      <c r="A30" s="4" t="s">
        <v>75</v>
      </c>
      <c r="B30" s="1115" t="s">
        <v>74</v>
      </c>
      <c r="C30" s="1115"/>
      <c r="D30" s="1014"/>
      <c r="E30" s="1014"/>
      <c r="F30" s="1013">
        <f t="shared" si="1"/>
        <v>0</v>
      </c>
    </row>
    <row r="31" spans="1:6" ht="12" customHeight="1" x14ac:dyDescent="0.25">
      <c r="A31" s="4" t="s">
        <v>76</v>
      </c>
      <c r="B31" s="1115" t="s">
        <v>154</v>
      </c>
      <c r="C31" s="1115"/>
      <c r="D31" s="1014"/>
      <c r="E31" s="1014"/>
      <c r="F31" s="1013">
        <f t="shared" si="1"/>
        <v>0</v>
      </c>
    </row>
    <row r="32" spans="1:6" ht="12" customHeight="1" x14ac:dyDescent="0.25">
      <c r="A32" s="4" t="s">
        <v>77</v>
      </c>
      <c r="B32" s="1115" t="s">
        <v>153</v>
      </c>
      <c r="C32" s="1115"/>
      <c r="D32" s="1014"/>
      <c r="E32" s="1014"/>
      <c r="F32" s="1013">
        <f t="shared" si="1"/>
        <v>0</v>
      </c>
    </row>
    <row r="33" spans="1:6" ht="12" customHeight="1" x14ac:dyDescent="0.25">
      <c r="A33" s="4" t="s">
        <v>79</v>
      </c>
      <c r="B33" s="1115" t="s">
        <v>78</v>
      </c>
      <c r="C33" s="1115"/>
      <c r="D33" s="1014">
        <v>210</v>
      </c>
      <c r="E33" s="1014">
        <f>244+1208+18</f>
        <v>1470</v>
      </c>
      <c r="F33" s="1013">
        <f t="shared" si="1"/>
        <v>1680</v>
      </c>
    </row>
    <row r="34" spans="1:6" ht="12" customHeight="1" x14ac:dyDescent="0.25">
      <c r="A34" s="6" t="s">
        <v>80</v>
      </c>
      <c r="B34" s="1119" t="s">
        <v>152</v>
      </c>
      <c r="C34" s="1119"/>
      <c r="D34" s="1009">
        <f>SUM(D29:D33)</f>
        <v>570</v>
      </c>
      <c r="E34" s="1009">
        <f>SUM(E29:E33)</f>
        <v>1470</v>
      </c>
      <c r="F34" s="1013">
        <f t="shared" si="1"/>
        <v>2040</v>
      </c>
    </row>
    <row r="35" spans="1:6" ht="12" customHeight="1" x14ac:dyDescent="0.25">
      <c r="A35" s="7" t="s">
        <v>81</v>
      </c>
      <c r="B35" s="1118" t="s">
        <v>151</v>
      </c>
      <c r="C35" s="1118"/>
      <c r="D35" s="1008">
        <f>+D34+D28+D25+D17+D14</f>
        <v>8260</v>
      </c>
      <c r="E35" s="1008">
        <f t="shared" ref="E35:F35" si="2">+E34+E28+E25+E17+E14</f>
        <v>1208</v>
      </c>
      <c r="F35" s="1008">
        <f t="shared" si="2"/>
        <v>9468</v>
      </c>
    </row>
    <row r="36" spans="1:6" ht="12" customHeight="1" x14ac:dyDescent="0.25">
      <c r="A36" s="8"/>
      <c r="B36" s="9"/>
      <c r="C36" s="9"/>
      <c r="D36" s="1015"/>
      <c r="E36" s="1015"/>
      <c r="F36" s="1017"/>
    </row>
    <row r="37" spans="1:6" ht="12" hidden="1" customHeight="1" x14ac:dyDescent="0.25">
      <c r="A37" s="4" t="s">
        <v>96</v>
      </c>
      <c r="B37" s="1124" t="s">
        <v>95</v>
      </c>
      <c r="C37" s="1124"/>
      <c r="D37" s="1014"/>
      <c r="E37" s="1014"/>
      <c r="F37" s="1014"/>
    </row>
    <row r="38" spans="1:6" ht="12" hidden="1" customHeight="1" x14ac:dyDescent="0.25">
      <c r="A38" s="4" t="s">
        <v>98</v>
      </c>
      <c r="B38" s="1124" t="s">
        <v>184</v>
      </c>
      <c r="C38" s="1124"/>
      <c r="D38" s="1014"/>
      <c r="E38" s="1014"/>
      <c r="F38" s="1014"/>
    </row>
    <row r="39" spans="1:6" ht="12" hidden="1" customHeight="1" x14ac:dyDescent="0.25">
      <c r="A39" s="4" t="s">
        <v>101</v>
      </c>
      <c r="B39" s="1124" t="s">
        <v>165</v>
      </c>
      <c r="C39" s="1124"/>
      <c r="D39" s="1014"/>
      <c r="E39" s="1014"/>
      <c r="F39" s="1014"/>
    </row>
    <row r="40" spans="1:6" ht="12" hidden="1" customHeight="1" x14ac:dyDescent="0.25">
      <c r="A40" s="4" t="s">
        <v>103</v>
      </c>
      <c r="B40" s="1124" t="s">
        <v>183</v>
      </c>
      <c r="C40" s="1124"/>
      <c r="D40" s="1014"/>
      <c r="E40" s="1014"/>
      <c r="F40" s="1014"/>
    </row>
    <row r="41" spans="1:6" ht="12" hidden="1" customHeight="1" x14ac:dyDescent="0.25">
      <c r="A41" s="4" t="s">
        <v>107</v>
      </c>
      <c r="B41" s="1124" t="s">
        <v>164</v>
      </c>
      <c r="C41" s="1124"/>
      <c r="D41" s="1014"/>
      <c r="E41" s="1014"/>
      <c r="F41" s="1014"/>
    </row>
    <row r="42" spans="1:6" ht="12" hidden="1" customHeight="1" x14ac:dyDescent="0.25">
      <c r="A42" s="4" t="s">
        <v>629</v>
      </c>
      <c r="B42" s="1115" t="s">
        <v>106</v>
      </c>
      <c r="C42" s="1115"/>
      <c r="D42" s="1014"/>
      <c r="E42" s="1014"/>
      <c r="F42" s="1014"/>
    </row>
    <row r="43" spans="1:6" ht="12" customHeight="1" x14ac:dyDescent="0.25">
      <c r="A43" s="7" t="s">
        <v>108</v>
      </c>
      <c r="B43" s="1118" t="s">
        <v>163</v>
      </c>
      <c r="C43" s="1118"/>
      <c r="D43" s="1008">
        <f>+D42+D41+D40+D39+D38+D37</f>
        <v>0</v>
      </c>
      <c r="E43" s="1008"/>
      <c r="F43" s="1008"/>
    </row>
    <row r="44" spans="1:6" ht="12" customHeight="1" x14ac:dyDescent="0.25">
      <c r="A44" s="8"/>
      <c r="B44" s="9"/>
      <c r="C44" s="9"/>
      <c r="D44" s="1015"/>
      <c r="E44" s="1015"/>
      <c r="F44" s="1017"/>
    </row>
    <row r="45" spans="1:6" ht="12" hidden="1" customHeight="1" x14ac:dyDescent="0.25">
      <c r="A45" s="13" t="s">
        <v>110</v>
      </c>
      <c r="B45" s="1117" t="s">
        <v>109</v>
      </c>
      <c r="C45" s="1117"/>
      <c r="D45" s="1013"/>
      <c r="E45" s="1013"/>
      <c r="F45" s="1013"/>
    </row>
    <row r="46" spans="1:6" ht="12" hidden="1" customHeight="1" x14ac:dyDescent="0.25">
      <c r="A46" s="4" t="s">
        <v>111</v>
      </c>
      <c r="B46" s="1115" t="s">
        <v>162</v>
      </c>
      <c r="C46" s="1115"/>
      <c r="D46" s="1014"/>
      <c r="E46" s="1014"/>
      <c r="F46" s="1014"/>
    </row>
    <row r="47" spans="1:6" ht="12" hidden="1" customHeight="1" x14ac:dyDescent="0.25">
      <c r="A47" s="4" t="s">
        <v>114</v>
      </c>
      <c r="B47" s="1115" t="s">
        <v>113</v>
      </c>
      <c r="C47" s="1115"/>
      <c r="D47" s="1014"/>
      <c r="E47" s="1014"/>
      <c r="F47" s="1014"/>
    </row>
    <row r="48" spans="1:6" ht="12" hidden="1" customHeight="1" x14ac:dyDescent="0.25">
      <c r="A48" s="4" t="s">
        <v>116</v>
      </c>
      <c r="B48" s="1115" t="s">
        <v>115</v>
      </c>
      <c r="C48" s="1115"/>
      <c r="D48" s="1014"/>
      <c r="E48" s="1014"/>
      <c r="F48" s="1014"/>
    </row>
    <row r="49" spans="1:6" ht="12" hidden="1" customHeight="1" x14ac:dyDescent="0.25">
      <c r="A49" s="4" t="s">
        <v>118</v>
      </c>
      <c r="B49" s="1115" t="s">
        <v>117</v>
      </c>
      <c r="C49" s="1115"/>
      <c r="D49" s="1014"/>
      <c r="E49" s="1014"/>
      <c r="F49" s="1014"/>
    </row>
    <row r="50" spans="1:6" ht="12" hidden="1" customHeight="1" x14ac:dyDescent="0.25">
      <c r="A50" s="4" t="s">
        <v>120</v>
      </c>
      <c r="B50" s="1115" t="s">
        <v>119</v>
      </c>
      <c r="C50" s="1115"/>
      <c r="D50" s="1014"/>
      <c r="E50" s="1014"/>
      <c r="F50" s="1014"/>
    </row>
    <row r="51" spans="1:6" ht="12" hidden="1" customHeight="1" x14ac:dyDescent="0.25">
      <c r="A51" s="4" t="s">
        <v>122</v>
      </c>
      <c r="B51" s="1115" t="s">
        <v>121</v>
      </c>
      <c r="C51" s="1115"/>
      <c r="D51" s="1014"/>
      <c r="E51" s="1014"/>
      <c r="F51" s="1014"/>
    </row>
    <row r="52" spans="1:6" ht="12" customHeight="1" x14ac:dyDescent="0.25">
      <c r="A52" s="7" t="s">
        <v>123</v>
      </c>
      <c r="B52" s="1118" t="s">
        <v>161</v>
      </c>
      <c r="C52" s="1118"/>
      <c r="D52" s="1008">
        <f>+D51+D50+D49+D48+D47+D46+D45</f>
        <v>0</v>
      </c>
      <c r="E52" s="1008">
        <f>+E51+E50+E49+E48+E47+E46+E45</f>
        <v>0</v>
      </c>
      <c r="F52" s="1008">
        <f>+F51+F50+F49+F48+F47+F46+F45</f>
        <v>0</v>
      </c>
    </row>
    <row r="53" spans="1:6" ht="12" customHeight="1" x14ac:dyDescent="0.25">
      <c r="A53" s="8"/>
      <c r="B53" s="9"/>
      <c r="C53" s="9"/>
      <c r="D53" s="1015"/>
      <c r="E53" s="1015"/>
      <c r="F53" s="1017"/>
    </row>
    <row r="54" spans="1:6" ht="12" hidden="1" customHeight="1" x14ac:dyDescent="0.25">
      <c r="A54" s="13" t="s">
        <v>125</v>
      </c>
      <c r="B54" s="1117" t="s">
        <v>124</v>
      </c>
      <c r="C54" s="1117"/>
      <c r="D54" s="1013"/>
      <c r="E54" s="1013"/>
      <c r="F54" s="1013"/>
    </row>
    <row r="55" spans="1:6" ht="12" hidden="1" customHeight="1" x14ac:dyDescent="0.25">
      <c r="A55" s="4" t="s">
        <v>127</v>
      </c>
      <c r="B55" s="1115" t="s">
        <v>126</v>
      </c>
      <c r="C55" s="1115"/>
      <c r="D55" s="1014"/>
      <c r="E55" s="1014"/>
      <c r="F55" s="1014"/>
    </row>
    <row r="56" spans="1:6" ht="12" hidden="1" customHeight="1" x14ac:dyDescent="0.25">
      <c r="A56" s="4" t="s">
        <v>129</v>
      </c>
      <c r="B56" s="1115" t="s">
        <v>128</v>
      </c>
      <c r="C56" s="1115"/>
      <c r="D56" s="1014"/>
      <c r="E56" s="1014"/>
      <c r="F56" s="1014"/>
    </row>
    <row r="57" spans="1:6" ht="12" hidden="1" customHeight="1" x14ac:dyDescent="0.25">
      <c r="A57" s="4" t="s">
        <v>131</v>
      </c>
      <c r="B57" s="1115" t="s">
        <v>130</v>
      </c>
      <c r="C57" s="1115"/>
      <c r="D57" s="1014"/>
      <c r="E57" s="1014"/>
      <c r="F57" s="1014"/>
    </row>
    <row r="58" spans="1:6" ht="12" customHeight="1" x14ac:dyDescent="0.25">
      <c r="A58" s="6" t="s">
        <v>132</v>
      </c>
      <c r="B58" s="1119" t="s">
        <v>160</v>
      </c>
      <c r="C58" s="1119"/>
      <c r="D58" s="1014"/>
      <c r="E58" s="1014"/>
      <c r="F58" s="1014"/>
    </row>
    <row r="59" spans="1:6" ht="12" customHeight="1" x14ac:dyDescent="0.25">
      <c r="A59" s="8"/>
      <c r="B59" s="16"/>
      <c r="C59" s="16"/>
      <c r="D59" s="1015"/>
      <c r="E59" s="1015"/>
      <c r="F59" s="1017"/>
    </row>
    <row r="60" spans="1:6" ht="12" hidden="1" customHeight="1" x14ac:dyDescent="0.25">
      <c r="A60" s="105" t="s">
        <v>378</v>
      </c>
      <c r="B60" s="1117" t="s">
        <v>379</v>
      </c>
      <c r="C60" s="1117"/>
      <c r="D60" s="1014"/>
      <c r="E60" s="1014"/>
      <c r="F60" s="1014"/>
    </row>
    <row r="61" spans="1:6" ht="12" hidden="1" customHeight="1" x14ac:dyDescent="0.25">
      <c r="A61" s="105" t="s">
        <v>391</v>
      </c>
      <c r="B61" s="1128" t="s">
        <v>392</v>
      </c>
      <c r="C61" s="1129"/>
      <c r="D61" s="1013"/>
      <c r="E61" s="1013"/>
      <c r="F61" s="1013"/>
    </row>
    <row r="62" spans="1:6" ht="12" hidden="1" customHeight="1" x14ac:dyDescent="0.25">
      <c r="A62" s="13" t="s">
        <v>630</v>
      </c>
      <c r="B62" s="1117" t="s">
        <v>159</v>
      </c>
      <c r="C62" s="1117"/>
      <c r="D62" s="1013"/>
      <c r="E62" s="1013"/>
      <c r="F62" s="1013"/>
    </row>
    <row r="63" spans="1:6" ht="12" customHeight="1" x14ac:dyDescent="0.25">
      <c r="A63" s="15" t="s">
        <v>134</v>
      </c>
      <c r="B63" s="1126" t="s">
        <v>158</v>
      </c>
      <c r="C63" s="1126"/>
      <c r="D63" s="1009">
        <f>+D62+D60</f>
        <v>0</v>
      </c>
      <c r="E63" s="1009"/>
      <c r="F63" s="1009"/>
    </row>
    <row r="64" spans="1:6" ht="12" customHeight="1" thickBot="1" x14ac:dyDescent="0.3">
      <c r="A64" s="48"/>
      <c r="B64" s="49"/>
      <c r="C64" s="49"/>
      <c r="D64" s="1016"/>
      <c r="E64" s="1016"/>
      <c r="F64" s="1019"/>
    </row>
    <row r="65" spans="1:6" ht="12" customHeight="1" thickBot="1" x14ac:dyDescent="0.3">
      <c r="A65" s="51" t="s">
        <v>135</v>
      </c>
      <c r="B65" s="1127" t="s">
        <v>157</v>
      </c>
      <c r="C65" s="1127"/>
      <c r="D65" s="1010">
        <f>+D63+D58+D52+D43+D35+D9+D7</f>
        <v>29861</v>
      </c>
      <c r="E65" s="1010">
        <f t="shared" ref="E65:F65" si="3">+E63+E58+E52+E43+E35+E9+E7</f>
        <v>1472</v>
      </c>
      <c r="F65" s="1010">
        <f t="shared" si="3"/>
        <v>31333</v>
      </c>
    </row>
  </sheetData>
  <mergeCells count="59">
    <mergeCell ref="B38:C38"/>
    <mergeCell ref="B43:C43"/>
    <mergeCell ref="B45:C45"/>
    <mergeCell ref="B2:C4"/>
    <mergeCell ref="B34:C34"/>
    <mergeCell ref="B29:C29"/>
    <mergeCell ref="B30:C30"/>
    <mergeCell ref="B27:C27"/>
    <mergeCell ref="B28:C28"/>
    <mergeCell ref="B37:C37"/>
    <mergeCell ref="B40:C40"/>
    <mergeCell ref="B52:C52"/>
    <mergeCell ref="B41:C41"/>
    <mergeCell ref="B6:C6"/>
    <mergeCell ref="B35:C35"/>
    <mergeCell ref="B33:C33"/>
    <mergeCell ref="B31:C31"/>
    <mergeCell ref="B32:C32"/>
    <mergeCell ref="B25:C25"/>
    <mergeCell ref="B26:C26"/>
    <mergeCell ref="B21:C21"/>
    <mergeCell ref="B22:C22"/>
    <mergeCell ref="B17:C17"/>
    <mergeCell ref="B18:C18"/>
    <mergeCell ref="B19:C19"/>
    <mergeCell ref="B42:C42"/>
    <mergeCell ref="B46:C46"/>
    <mergeCell ref="A2:A4"/>
    <mergeCell ref="B63:C63"/>
    <mergeCell ref="B65:C65"/>
    <mergeCell ref="B62:C62"/>
    <mergeCell ref="B56:C56"/>
    <mergeCell ref="B57:C57"/>
    <mergeCell ref="B58:C58"/>
    <mergeCell ref="B60:C60"/>
    <mergeCell ref="B61:C61"/>
    <mergeCell ref="B54:C54"/>
    <mergeCell ref="B55:C55"/>
    <mergeCell ref="B49:C49"/>
    <mergeCell ref="B50:C50"/>
    <mergeCell ref="B47:C47"/>
    <mergeCell ref="B23:C23"/>
    <mergeCell ref="B51:C51"/>
    <mergeCell ref="B48:C48"/>
    <mergeCell ref="D1:F1"/>
    <mergeCell ref="B15:C15"/>
    <mergeCell ref="B16:C16"/>
    <mergeCell ref="B11:C11"/>
    <mergeCell ref="B12:C12"/>
    <mergeCell ref="B7:C7"/>
    <mergeCell ref="B9:C9"/>
    <mergeCell ref="B14:C14"/>
    <mergeCell ref="B13:C13"/>
    <mergeCell ref="B5:C5"/>
    <mergeCell ref="D2:F2"/>
    <mergeCell ref="D4:F4"/>
    <mergeCell ref="B20:C20"/>
    <mergeCell ref="B24:C24"/>
    <mergeCell ref="B39:C3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cellComments="asDisplayed" r:id="rId1"/>
  <headerFooter>
    <oddHeader>&amp;C&amp;"Times New Roman,Félkövér"&amp;12Martonvásár Város Önkormányzatának kiadásai 2017.
Önkormányzati jogalkotás kormányzati funkció&amp;R&amp;"Times New Roman,Félkövér"&amp;12 5/a.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68"/>
  <sheetViews>
    <sheetView zoomScaleNormal="100" workbookViewId="0">
      <selection activeCell="A2" sqref="A2:X68"/>
    </sheetView>
  </sheetViews>
  <sheetFormatPr defaultColWidth="9.140625" defaultRowHeight="12.75" x14ac:dyDescent="0.2"/>
  <cols>
    <col min="1" max="1" width="8.140625" style="837" customWidth="1"/>
    <col min="2" max="2" width="7.140625" style="27" customWidth="1"/>
    <col min="3" max="3" width="31" style="27" customWidth="1"/>
    <col min="4" max="4" width="8.140625" style="44" customWidth="1"/>
    <col min="5" max="5" width="8.42578125" style="44" customWidth="1"/>
    <col min="6" max="6" width="8.140625" style="44" customWidth="1"/>
    <col min="7" max="7" width="7.5703125" style="18" customWidth="1"/>
    <col min="8" max="8" width="7.140625" style="18" customWidth="1"/>
    <col min="9" max="9" width="8.140625" style="18" customWidth="1"/>
    <col min="10" max="10" width="7.85546875" style="18" customWidth="1"/>
    <col min="11" max="11" width="7.7109375" style="18" customWidth="1"/>
    <col min="12" max="12" width="7.85546875" style="18" customWidth="1"/>
    <col min="13" max="13" width="7.140625" style="18" customWidth="1"/>
    <col min="14" max="14" width="8" style="18" customWidth="1"/>
    <col min="15" max="15" width="7.5703125" style="18" customWidth="1"/>
    <col min="16" max="16" width="8" style="18" customWidth="1"/>
    <col min="17" max="17" width="7.85546875" style="18" customWidth="1"/>
    <col min="18" max="21" width="7.28515625" style="18" customWidth="1"/>
    <col min="22" max="22" width="8" style="18" customWidth="1"/>
    <col min="23" max="23" width="7.85546875" style="18" customWidth="1"/>
    <col min="24" max="24" width="7.28515625" style="18" customWidth="1"/>
    <col min="25" max="16384" width="9.140625" style="18"/>
  </cols>
  <sheetData>
    <row r="1" spans="1:24" s="1" customFormat="1" ht="17.25" customHeight="1" thickBot="1" x14ac:dyDescent="0.3">
      <c r="A1" s="837"/>
      <c r="B1" s="27"/>
      <c r="C1" s="27"/>
      <c r="D1" s="47"/>
      <c r="E1" s="47"/>
      <c r="F1" s="47"/>
      <c r="P1" s="65"/>
      <c r="Q1" s="65"/>
      <c r="R1" s="65"/>
      <c r="S1" s="65"/>
      <c r="T1" s="65"/>
      <c r="U1" s="65"/>
      <c r="V1" s="65" t="s">
        <v>390</v>
      </c>
      <c r="W1" s="65"/>
      <c r="X1" s="65"/>
    </row>
    <row r="2" spans="1:24" s="33" customFormat="1" ht="35.25" customHeight="1" x14ac:dyDescent="0.25">
      <c r="A2" s="1138" t="s">
        <v>0</v>
      </c>
      <c r="B2" s="1140" t="s">
        <v>182</v>
      </c>
      <c r="C2" s="1141"/>
      <c r="D2" s="1143" t="s">
        <v>180</v>
      </c>
      <c r="E2" s="1144"/>
      <c r="F2" s="1145"/>
      <c r="G2" s="1146" t="s">
        <v>570</v>
      </c>
      <c r="H2" s="1134"/>
      <c r="I2" s="1134"/>
      <c r="J2" s="1134" t="s">
        <v>663</v>
      </c>
      <c r="K2" s="1134"/>
      <c r="L2" s="1134"/>
      <c r="M2" s="1134" t="s">
        <v>570</v>
      </c>
      <c r="N2" s="1134"/>
      <c r="O2" s="1134"/>
      <c r="P2" s="1134" t="s">
        <v>664</v>
      </c>
      <c r="Q2" s="1134"/>
      <c r="R2" s="1134"/>
      <c r="S2" s="1134" t="s">
        <v>851</v>
      </c>
      <c r="T2" s="1134"/>
      <c r="U2" s="1134"/>
      <c r="V2" s="1134" t="s">
        <v>672</v>
      </c>
      <c r="W2" s="1134"/>
      <c r="X2" s="1135"/>
    </row>
    <row r="3" spans="1:24" s="33" customFormat="1" ht="12.75" customHeight="1" x14ac:dyDescent="0.25">
      <c r="A3" s="1139"/>
      <c r="B3" s="1125"/>
      <c r="C3" s="1142"/>
      <c r="D3" s="1147"/>
      <c r="E3" s="1148"/>
      <c r="F3" s="1149"/>
      <c r="G3" s="1150" t="s">
        <v>189</v>
      </c>
      <c r="H3" s="1136"/>
      <c r="I3" s="1136"/>
      <c r="J3" s="1136" t="s">
        <v>189</v>
      </c>
      <c r="K3" s="1136"/>
      <c r="L3" s="1136"/>
      <c r="M3" s="1136" t="s">
        <v>189</v>
      </c>
      <c r="N3" s="1136"/>
      <c r="O3" s="1136"/>
      <c r="P3" s="1136" t="s">
        <v>189</v>
      </c>
      <c r="Q3" s="1136"/>
      <c r="R3" s="1136"/>
      <c r="S3" s="1136" t="s">
        <v>189</v>
      </c>
      <c r="T3" s="1136"/>
      <c r="U3" s="1136"/>
      <c r="V3" s="1136" t="s">
        <v>189</v>
      </c>
      <c r="W3" s="1136"/>
      <c r="X3" s="1137"/>
    </row>
    <row r="4" spans="1:24" s="17" customFormat="1" ht="25.5" x14ac:dyDescent="0.25">
      <c r="A4" s="1139"/>
      <c r="B4" s="1125"/>
      <c r="C4" s="1142"/>
      <c r="D4" s="853" t="s">
        <v>954</v>
      </c>
      <c r="E4" s="974" t="s">
        <v>786</v>
      </c>
      <c r="F4" s="844" t="s">
        <v>955</v>
      </c>
      <c r="G4" s="851" t="s">
        <v>954</v>
      </c>
      <c r="H4" s="974" t="s">
        <v>786</v>
      </c>
      <c r="I4" s="974" t="s">
        <v>955</v>
      </c>
      <c r="J4" s="974" t="s">
        <v>954</v>
      </c>
      <c r="K4" s="974" t="s">
        <v>786</v>
      </c>
      <c r="L4" s="974" t="s">
        <v>955</v>
      </c>
      <c r="M4" s="974" t="s">
        <v>954</v>
      </c>
      <c r="N4" s="974" t="s">
        <v>786</v>
      </c>
      <c r="O4" s="974" t="s">
        <v>955</v>
      </c>
      <c r="P4" s="974" t="s">
        <v>954</v>
      </c>
      <c r="Q4" s="974" t="s">
        <v>786</v>
      </c>
      <c r="R4" s="974" t="s">
        <v>955</v>
      </c>
      <c r="S4" s="974" t="s">
        <v>954</v>
      </c>
      <c r="T4" s="974" t="s">
        <v>786</v>
      </c>
      <c r="U4" s="974" t="s">
        <v>955</v>
      </c>
      <c r="V4" s="974" t="s">
        <v>954</v>
      </c>
      <c r="W4" s="974" t="s">
        <v>786</v>
      </c>
      <c r="X4" s="844" t="s">
        <v>955</v>
      </c>
    </row>
    <row r="5" spans="1:24" s="44" customFormat="1" ht="12.75" customHeight="1" x14ac:dyDescent="0.2">
      <c r="A5" s="560" t="s">
        <v>27</v>
      </c>
      <c r="B5" s="1119" t="s">
        <v>174</v>
      </c>
      <c r="C5" s="1132"/>
      <c r="D5" s="635">
        <f>+G5+J5+M5+P5+V5+S5</f>
        <v>0</v>
      </c>
      <c r="E5" s="89">
        <f t="shared" ref="E5:F5" si="0">+H5+K5+N5+Q5+W5+T5</f>
        <v>0</v>
      </c>
      <c r="F5" s="637">
        <f t="shared" si="0"/>
        <v>0</v>
      </c>
      <c r="G5" s="634">
        <v>0</v>
      </c>
      <c r="H5" s="57"/>
      <c r="I5" s="57">
        <f>+H5+G5</f>
        <v>0</v>
      </c>
      <c r="J5" s="57">
        <v>0</v>
      </c>
      <c r="K5" s="57"/>
      <c r="L5" s="57">
        <f>+K5+J5</f>
        <v>0</v>
      </c>
      <c r="M5" s="57"/>
      <c r="N5" s="57"/>
      <c r="O5" s="57">
        <f>+N5+M5</f>
        <v>0</v>
      </c>
      <c r="P5" s="57">
        <v>0</v>
      </c>
      <c r="Q5" s="57"/>
      <c r="R5" s="57">
        <f>+Q5+P5</f>
        <v>0</v>
      </c>
      <c r="S5" s="57">
        <v>0</v>
      </c>
      <c r="T5" s="57"/>
      <c r="U5" s="57">
        <f>+T5+S5</f>
        <v>0</v>
      </c>
      <c r="V5" s="57"/>
      <c r="W5" s="57"/>
      <c r="X5" s="561">
        <f>+V5+W5</f>
        <v>0</v>
      </c>
    </row>
    <row r="6" spans="1:24" s="44" customFormat="1" ht="12.75" customHeight="1" x14ac:dyDescent="0.2">
      <c r="A6" s="560" t="s">
        <v>33</v>
      </c>
      <c r="B6" s="1119" t="s">
        <v>173</v>
      </c>
      <c r="C6" s="1132"/>
      <c r="D6" s="635">
        <f t="shared" ref="D6:D68" si="1">+G6+J6+M6+P6+V6+S6</f>
        <v>322</v>
      </c>
      <c r="E6" s="89">
        <f t="shared" ref="E6:E68" si="2">+H6+K6+N6+Q6+W6+T6</f>
        <v>482</v>
      </c>
      <c r="F6" s="637">
        <f t="shared" ref="F6:F68" si="3">+I6+L6+O6+R6+X6+U6</f>
        <v>804</v>
      </c>
      <c r="G6" s="634">
        <v>0</v>
      </c>
      <c r="H6" s="57"/>
      <c r="I6" s="57">
        <f t="shared" ref="I6:I68" si="4">+H6+G6</f>
        <v>0</v>
      </c>
      <c r="J6" s="57">
        <v>0</v>
      </c>
      <c r="K6" s="57"/>
      <c r="L6" s="57">
        <f t="shared" ref="L6:L68" si="5">+K6+J6</f>
        <v>0</v>
      </c>
      <c r="M6" s="57"/>
      <c r="N6" s="57"/>
      <c r="O6" s="57">
        <f t="shared" ref="O6:O66" si="6">+N6+M6</f>
        <v>0</v>
      </c>
      <c r="P6" s="843">
        <v>322</v>
      </c>
      <c r="Q6" s="57">
        <v>482</v>
      </c>
      <c r="R6" s="57">
        <f t="shared" ref="R6:R68" si="7">+Q6+P6</f>
        <v>804</v>
      </c>
      <c r="S6" s="57">
        <v>0</v>
      </c>
      <c r="T6" s="57"/>
      <c r="U6" s="57">
        <f t="shared" ref="U6:U68" si="8">+T6+S6</f>
        <v>0</v>
      </c>
      <c r="V6" s="57"/>
      <c r="W6" s="57"/>
      <c r="X6" s="561">
        <f t="shared" ref="X6:X68" si="9">+V6+W6</f>
        <v>0</v>
      </c>
    </row>
    <row r="7" spans="1:24" s="44" customFormat="1" ht="12.75" customHeight="1" x14ac:dyDescent="0.2">
      <c r="A7" s="560" t="s">
        <v>34</v>
      </c>
      <c r="B7" s="1119" t="s">
        <v>172</v>
      </c>
      <c r="C7" s="1132"/>
      <c r="D7" s="635">
        <f t="shared" si="1"/>
        <v>322</v>
      </c>
      <c r="E7" s="89">
        <f t="shared" si="2"/>
        <v>482</v>
      </c>
      <c r="F7" s="637">
        <f t="shared" si="3"/>
        <v>804</v>
      </c>
      <c r="G7" s="634">
        <v>0</v>
      </c>
      <c r="H7" s="57">
        <f t="shared" ref="H7:Q7" si="10">SUM(H5:H6)</f>
        <v>0</v>
      </c>
      <c r="I7" s="57">
        <f t="shared" si="4"/>
        <v>0</v>
      </c>
      <c r="J7" s="57">
        <v>0</v>
      </c>
      <c r="K7" s="57">
        <f t="shared" si="10"/>
        <v>0</v>
      </c>
      <c r="L7" s="57">
        <f t="shared" si="5"/>
        <v>0</v>
      </c>
      <c r="M7" s="57">
        <f t="shared" si="10"/>
        <v>0</v>
      </c>
      <c r="N7" s="57">
        <f t="shared" si="10"/>
        <v>0</v>
      </c>
      <c r="O7" s="57">
        <f t="shared" si="6"/>
        <v>0</v>
      </c>
      <c r="P7" s="843">
        <v>322</v>
      </c>
      <c r="Q7" s="57">
        <f t="shared" si="10"/>
        <v>482</v>
      </c>
      <c r="R7" s="57">
        <f t="shared" si="7"/>
        <v>804</v>
      </c>
      <c r="S7" s="57">
        <v>0</v>
      </c>
      <c r="T7" s="57">
        <f t="shared" ref="T7:U7" si="11">SUM(T5:T6)</f>
        <v>0</v>
      </c>
      <c r="U7" s="57">
        <f t="shared" si="11"/>
        <v>0</v>
      </c>
      <c r="V7" s="57">
        <f t="shared" ref="V7:W7" si="12">SUM(V5:V6)</f>
        <v>0</v>
      </c>
      <c r="W7" s="57">
        <f t="shared" si="12"/>
        <v>0</v>
      </c>
      <c r="X7" s="561">
        <f t="shared" si="9"/>
        <v>0</v>
      </c>
    </row>
    <row r="8" spans="1:24" ht="12" customHeight="1" x14ac:dyDescent="0.2">
      <c r="A8" s="562"/>
      <c r="B8" s="1044"/>
      <c r="C8" s="1044"/>
      <c r="D8" s="854"/>
      <c r="E8" s="839"/>
      <c r="F8" s="855"/>
      <c r="G8" s="60"/>
      <c r="H8" s="60"/>
      <c r="I8" s="244"/>
      <c r="J8" s="60"/>
      <c r="K8" s="60"/>
      <c r="L8" s="244"/>
      <c r="M8" s="60"/>
      <c r="N8" s="60"/>
      <c r="O8" s="244"/>
      <c r="P8" s="697"/>
      <c r="Q8" s="60"/>
      <c r="R8" s="244"/>
      <c r="S8" s="60"/>
      <c r="T8" s="60"/>
      <c r="U8" s="244"/>
      <c r="V8" s="60"/>
      <c r="W8" s="60"/>
      <c r="X8" s="636"/>
    </row>
    <row r="9" spans="1:24" s="44" customFormat="1" ht="12.75" customHeight="1" x14ac:dyDescent="0.2">
      <c r="A9" s="560" t="s">
        <v>35</v>
      </c>
      <c r="B9" s="1119" t="s">
        <v>171</v>
      </c>
      <c r="C9" s="1132"/>
      <c r="D9" s="635">
        <f t="shared" si="1"/>
        <v>271</v>
      </c>
      <c r="E9" s="89">
        <f t="shared" si="2"/>
        <v>-14</v>
      </c>
      <c r="F9" s="637">
        <f t="shared" si="3"/>
        <v>257</v>
      </c>
      <c r="G9" s="634">
        <v>0</v>
      </c>
      <c r="H9" s="57"/>
      <c r="I9" s="57">
        <f t="shared" si="4"/>
        <v>0</v>
      </c>
      <c r="J9" s="57">
        <v>0</v>
      </c>
      <c r="K9" s="57"/>
      <c r="L9" s="57">
        <f t="shared" si="5"/>
        <v>0</v>
      </c>
      <c r="M9" s="57"/>
      <c r="N9" s="57"/>
      <c r="O9" s="57">
        <f t="shared" si="6"/>
        <v>0</v>
      </c>
      <c r="P9" s="843">
        <v>271</v>
      </c>
      <c r="Q9" s="57">
        <v>-14</v>
      </c>
      <c r="R9" s="57">
        <f t="shared" si="7"/>
        <v>257</v>
      </c>
      <c r="S9" s="57">
        <v>0</v>
      </c>
      <c r="T9" s="57"/>
      <c r="U9" s="57">
        <f t="shared" si="8"/>
        <v>0</v>
      </c>
      <c r="V9" s="57"/>
      <c r="W9" s="57"/>
      <c r="X9" s="561">
        <f t="shared" si="9"/>
        <v>0</v>
      </c>
    </row>
    <row r="10" spans="1:24" ht="11.25" customHeight="1" x14ac:dyDescent="0.2">
      <c r="A10" s="102"/>
      <c r="C10" s="1051"/>
      <c r="D10" s="854"/>
      <c r="E10" s="839"/>
      <c r="F10" s="855"/>
      <c r="G10" s="60"/>
      <c r="H10" s="60"/>
      <c r="I10" s="244"/>
      <c r="J10" s="60"/>
      <c r="K10" s="60"/>
      <c r="L10" s="244"/>
      <c r="M10" s="60"/>
      <c r="N10" s="60"/>
      <c r="O10" s="244"/>
      <c r="P10" s="697"/>
      <c r="Q10" s="60"/>
      <c r="R10" s="244"/>
      <c r="S10" s="60"/>
      <c r="T10" s="60"/>
      <c r="U10" s="244"/>
      <c r="V10" s="60"/>
      <c r="W10" s="60"/>
      <c r="X10" s="636"/>
    </row>
    <row r="11" spans="1:24" ht="12.75" hidden="1" customHeight="1" x14ac:dyDescent="0.2">
      <c r="A11" s="102" t="s">
        <v>42</v>
      </c>
      <c r="B11" s="1133" t="s">
        <v>41</v>
      </c>
      <c r="C11" s="1133"/>
      <c r="D11" s="854">
        <f t="shared" si="1"/>
        <v>0</v>
      </c>
      <c r="E11" s="839">
        <f t="shared" si="2"/>
        <v>0</v>
      </c>
      <c r="F11" s="855">
        <f t="shared" si="3"/>
        <v>0</v>
      </c>
      <c r="G11" s="60">
        <v>0</v>
      </c>
      <c r="H11" s="60"/>
      <c r="I11" s="244">
        <f t="shared" si="4"/>
        <v>0</v>
      </c>
      <c r="J11" s="60">
        <v>0</v>
      </c>
      <c r="K11" s="60"/>
      <c r="L11" s="244">
        <f t="shared" si="5"/>
        <v>0</v>
      </c>
      <c r="M11" s="60"/>
      <c r="N11" s="60"/>
      <c r="O11" s="244">
        <f t="shared" si="6"/>
        <v>0</v>
      </c>
      <c r="P11" s="60">
        <v>0</v>
      </c>
      <c r="Q11" s="60"/>
      <c r="R11" s="244">
        <f t="shared" si="7"/>
        <v>0</v>
      </c>
      <c r="S11" s="60">
        <v>0</v>
      </c>
      <c r="T11" s="60"/>
      <c r="U11" s="244">
        <f t="shared" si="8"/>
        <v>0</v>
      </c>
      <c r="V11" s="60"/>
      <c r="W11" s="60"/>
      <c r="X11" s="636">
        <f t="shared" si="9"/>
        <v>0</v>
      </c>
    </row>
    <row r="12" spans="1:24" ht="12.75" hidden="1" customHeight="1" x14ac:dyDescent="0.2">
      <c r="A12" s="102" t="s">
        <v>44</v>
      </c>
      <c r="B12" s="1133" t="s">
        <v>43</v>
      </c>
      <c r="C12" s="1133"/>
      <c r="D12" s="854">
        <f t="shared" si="1"/>
        <v>0</v>
      </c>
      <c r="E12" s="839">
        <f t="shared" si="2"/>
        <v>0</v>
      </c>
      <c r="F12" s="855">
        <f t="shared" si="3"/>
        <v>0</v>
      </c>
      <c r="G12" s="60">
        <v>0</v>
      </c>
      <c r="H12" s="60"/>
      <c r="I12" s="244">
        <f t="shared" si="4"/>
        <v>0</v>
      </c>
      <c r="J12" s="60">
        <v>0</v>
      </c>
      <c r="K12" s="60"/>
      <c r="L12" s="244">
        <f t="shared" si="5"/>
        <v>0</v>
      </c>
      <c r="M12" s="60"/>
      <c r="N12" s="60"/>
      <c r="O12" s="244">
        <f t="shared" si="6"/>
        <v>0</v>
      </c>
      <c r="P12" s="60">
        <v>0</v>
      </c>
      <c r="Q12" s="60"/>
      <c r="R12" s="244">
        <f t="shared" si="7"/>
        <v>0</v>
      </c>
      <c r="S12" s="60">
        <v>0</v>
      </c>
      <c r="T12" s="60"/>
      <c r="U12" s="244">
        <f t="shared" si="8"/>
        <v>0</v>
      </c>
      <c r="V12" s="60"/>
      <c r="W12" s="60"/>
      <c r="X12" s="636">
        <f t="shared" si="9"/>
        <v>0</v>
      </c>
    </row>
    <row r="13" spans="1:24" ht="12.75" hidden="1" customHeight="1" x14ac:dyDescent="0.2">
      <c r="A13" s="102" t="s">
        <v>46</v>
      </c>
      <c r="B13" s="1133" t="s">
        <v>45</v>
      </c>
      <c r="C13" s="1133"/>
      <c r="D13" s="854">
        <f t="shared" si="1"/>
        <v>0</v>
      </c>
      <c r="E13" s="839">
        <f t="shared" si="2"/>
        <v>0</v>
      </c>
      <c r="F13" s="855">
        <f t="shared" si="3"/>
        <v>0</v>
      </c>
      <c r="G13" s="60">
        <v>0</v>
      </c>
      <c r="H13" s="60"/>
      <c r="I13" s="244">
        <f t="shared" si="4"/>
        <v>0</v>
      </c>
      <c r="J13" s="60">
        <v>0</v>
      </c>
      <c r="K13" s="60"/>
      <c r="L13" s="244">
        <f t="shared" si="5"/>
        <v>0</v>
      </c>
      <c r="M13" s="60"/>
      <c r="N13" s="60"/>
      <c r="O13" s="244">
        <f t="shared" si="6"/>
        <v>0</v>
      </c>
      <c r="P13" s="60">
        <v>0</v>
      </c>
      <c r="Q13" s="60"/>
      <c r="R13" s="244">
        <f t="shared" si="7"/>
        <v>0</v>
      </c>
      <c r="S13" s="60">
        <v>0</v>
      </c>
      <c r="T13" s="60"/>
      <c r="U13" s="244">
        <f t="shared" si="8"/>
        <v>0</v>
      </c>
      <c r="V13" s="60"/>
      <c r="W13" s="60"/>
      <c r="X13" s="636">
        <f t="shared" si="9"/>
        <v>0</v>
      </c>
    </row>
    <row r="14" spans="1:24" s="44" customFormat="1" ht="12.75" customHeight="1" x14ac:dyDescent="0.2">
      <c r="A14" s="560" t="s">
        <v>47</v>
      </c>
      <c r="B14" s="1119" t="s">
        <v>170</v>
      </c>
      <c r="C14" s="1132"/>
      <c r="D14" s="635">
        <f t="shared" si="1"/>
        <v>0</v>
      </c>
      <c r="E14" s="89">
        <f t="shared" si="2"/>
        <v>0</v>
      </c>
      <c r="F14" s="637">
        <f t="shared" si="3"/>
        <v>0</v>
      </c>
      <c r="G14" s="634">
        <v>0</v>
      </c>
      <c r="H14" s="57">
        <f t="shared" ref="H14:N14" si="13">SUM(H11:H13)</f>
        <v>0</v>
      </c>
      <c r="I14" s="57">
        <f t="shared" si="4"/>
        <v>0</v>
      </c>
      <c r="J14" s="57">
        <v>0</v>
      </c>
      <c r="K14" s="57">
        <f t="shared" si="13"/>
        <v>0</v>
      </c>
      <c r="L14" s="57">
        <f t="shared" si="5"/>
        <v>0</v>
      </c>
      <c r="M14" s="57">
        <f t="shared" si="13"/>
        <v>0</v>
      </c>
      <c r="N14" s="57">
        <f t="shared" si="13"/>
        <v>0</v>
      </c>
      <c r="O14" s="57">
        <f t="shared" si="6"/>
        <v>0</v>
      </c>
      <c r="P14" s="57">
        <v>0</v>
      </c>
      <c r="Q14" s="57">
        <f t="shared" ref="Q14:W14" si="14">SUM(Q11:Q13)</f>
        <v>0</v>
      </c>
      <c r="R14" s="57">
        <f t="shared" si="7"/>
        <v>0</v>
      </c>
      <c r="S14" s="57">
        <v>0</v>
      </c>
      <c r="T14" s="57">
        <f t="shared" ref="T14:U14" si="15">SUM(T11:T13)</f>
        <v>0</v>
      </c>
      <c r="U14" s="57">
        <f t="shared" si="15"/>
        <v>0</v>
      </c>
      <c r="V14" s="57">
        <f t="shared" si="14"/>
        <v>0</v>
      </c>
      <c r="W14" s="57">
        <f t="shared" si="14"/>
        <v>0</v>
      </c>
      <c r="X14" s="561">
        <f t="shared" si="9"/>
        <v>0</v>
      </c>
    </row>
    <row r="15" spans="1:24" ht="12.75" hidden="1" customHeight="1" x14ac:dyDescent="0.2">
      <c r="A15" s="563" t="s">
        <v>49</v>
      </c>
      <c r="B15" s="1115" t="s">
        <v>48</v>
      </c>
      <c r="C15" s="1128"/>
      <c r="D15" s="635">
        <f t="shared" si="1"/>
        <v>0</v>
      </c>
      <c r="E15" s="89">
        <f t="shared" si="2"/>
        <v>0</v>
      </c>
      <c r="F15" s="637">
        <f t="shared" si="3"/>
        <v>0</v>
      </c>
      <c r="G15" s="31">
        <v>0</v>
      </c>
      <c r="H15" s="29"/>
      <c r="I15" s="57">
        <f t="shared" si="4"/>
        <v>0</v>
      </c>
      <c r="J15" s="29">
        <v>0</v>
      </c>
      <c r="K15" s="29"/>
      <c r="L15" s="57">
        <f t="shared" si="5"/>
        <v>0</v>
      </c>
      <c r="M15" s="29"/>
      <c r="N15" s="29"/>
      <c r="O15" s="57">
        <f t="shared" si="6"/>
        <v>0</v>
      </c>
      <c r="P15" s="29">
        <v>0</v>
      </c>
      <c r="Q15" s="29"/>
      <c r="R15" s="57">
        <f t="shared" si="7"/>
        <v>0</v>
      </c>
      <c r="S15" s="29"/>
      <c r="T15" s="29"/>
      <c r="U15" s="29"/>
      <c r="V15" s="29"/>
      <c r="W15" s="29"/>
      <c r="X15" s="561">
        <f t="shared" si="9"/>
        <v>0</v>
      </c>
    </row>
    <row r="16" spans="1:24" ht="12.75" hidden="1" customHeight="1" x14ac:dyDescent="0.2">
      <c r="A16" s="563" t="s">
        <v>51</v>
      </c>
      <c r="B16" s="1115" t="s">
        <v>50</v>
      </c>
      <c r="C16" s="1128"/>
      <c r="D16" s="635">
        <f t="shared" si="1"/>
        <v>0</v>
      </c>
      <c r="E16" s="89">
        <f t="shared" si="2"/>
        <v>0</v>
      </c>
      <c r="F16" s="637">
        <f t="shared" si="3"/>
        <v>0</v>
      </c>
      <c r="G16" s="31">
        <v>0</v>
      </c>
      <c r="H16" s="29"/>
      <c r="I16" s="57">
        <f t="shared" si="4"/>
        <v>0</v>
      </c>
      <c r="J16" s="29">
        <v>0</v>
      </c>
      <c r="K16" s="29"/>
      <c r="L16" s="57">
        <f t="shared" si="5"/>
        <v>0</v>
      </c>
      <c r="M16" s="29"/>
      <c r="N16" s="29"/>
      <c r="O16" s="57">
        <f t="shared" si="6"/>
        <v>0</v>
      </c>
      <c r="P16" s="29">
        <v>0</v>
      </c>
      <c r="Q16" s="29"/>
      <c r="R16" s="57">
        <f t="shared" si="7"/>
        <v>0</v>
      </c>
      <c r="S16" s="29"/>
      <c r="T16" s="29"/>
      <c r="U16" s="29"/>
      <c r="V16" s="29"/>
      <c r="W16" s="29"/>
      <c r="X16" s="561">
        <f t="shared" si="9"/>
        <v>0</v>
      </c>
    </row>
    <row r="17" spans="1:24" s="44" customFormat="1" ht="12.75" customHeight="1" x14ac:dyDescent="0.2">
      <c r="A17" s="560" t="s">
        <v>52</v>
      </c>
      <c r="B17" s="1119" t="s">
        <v>169</v>
      </c>
      <c r="C17" s="1132"/>
      <c r="D17" s="635">
        <f t="shared" si="1"/>
        <v>0</v>
      </c>
      <c r="E17" s="89">
        <f t="shared" si="2"/>
        <v>0</v>
      </c>
      <c r="F17" s="637">
        <f t="shared" si="3"/>
        <v>0</v>
      </c>
      <c r="G17" s="634">
        <v>0</v>
      </c>
      <c r="H17" s="57">
        <f t="shared" ref="H17:N17" si="16">+H15+H16</f>
        <v>0</v>
      </c>
      <c r="I17" s="57">
        <f t="shared" si="4"/>
        <v>0</v>
      </c>
      <c r="J17" s="57">
        <v>0</v>
      </c>
      <c r="K17" s="57">
        <f t="shared" si="16"/>
        <v>0</v>
      </c>
      <c r="L17" s="57">
        <f t="shared" si="5"/>
        <v>0</v>
      </c>
      <c r="M17" s="57">
        <f t="shared" si="16"/>
        <v>0</v>
      </c>
      <c r="N17" s="57">
        <f t="shared" si="16"/>
        <v>0</v>
      </c>
      <c r="O17" s="57">
        <f t="shared" si="6"/>
        <v>0</v>
      </c>
      <c r="P17" s="57">
        <v>0</v>
      </c>
      <c r="Q17" s="57">
        <f t="shared" ref="Q17:W17" si="17">+Q15+Q16</f>
        <v>0</v>
      </c>
      <c r="R17" s="57">
        <f t="shared" si="7"/>
        <v>0</v>
      </c>
      <c r="S17" s="57">
        <v>0</v>
      </c>
      <c r="T17" s="57">
        <f t="shared" ref="T17:U17" si="18">+T15+T16</f>
        <v>0</v>
      </c>
      <c r="U17" s="57">
        <f t="shared" si="18"/>
        <v>0</v>
      </c>
      <c r="V17" s="57">
        <f t="shared" si="17"/>
        <v>0</v>
      </c>
      <c r="W17" s="57">
        <f t="shared" si="17"/>
        <v>0</v>
      </c>
      <c r="X17" s="561">
        <f t="shared" si="9"/>
        <v>0</v>
      </c>
    </row>
    <row r="18" spans="1:24" ht="12.75" customHeight="1" x14ac:dyDescent="0.2">
      <c r="A18" s="563" t="s">
        <v>54</v>
      </c>
      <c r="B18" s="1115" t="s">
        <v>53</v>
      </c>
      <c r="C18" s="1128"/>
      <c r="D18" s="635">
        <f t="shared" si="1"/>
        <v>0</v>
      </c>
      <c r="E18" s="89">
        <f t="shared" si="2"/>
        <v>0</v>
      </c>
      <c r="F18" s="637">
        <f t="shared" si="3"/>
        <v>0</v>
      </c>
      <c r="G18" s="31">
        <v>0</v>
      </c>
      <c r="H18" s="29"/>
      <c r="I18" s="57">
        <f t="shared" si="4"/>
        <v>0</v>
      </c>
      <c r="J18" s="29">
        <v>0</v>
      </c>
      <c r="K18" s="29"/>
      <c r="L18" s="57">
        <f t="shared" si="5"/>
        <v>0</v>
      </c>
      <c r="M18" s="29"/>
      <c r="N18" s="29"/>
      <c r="O18" s="57">
        <f t="shared" si="6"/>
        <v>0</v>
      </c>
      <c r="P18" s="29">
        <v>0</v>
      </c>
      <c r="Q18" s="29"/>
      <c r="R18" s="57">
        <f t="shared" si="7"/>
        <v>0</v>
      </c>
      <c r="S18" s="29">
        <v>0</v>
      </c>
      <c r="T18" s="29"/>
      <c r="U18" s="57">
        <f t="shared" si="8"/>
        <v>0</v>
      </c>
      <c r="V18" s="29"/>
      <c r="W18" s="29"/>
      <c r="X18" s="561">
        <f t="shared" si="9"/>
        <v>0</v>
      </c>
    </row>
    <row r="19" spans="1:24" ht="12.75" customHeight="1" x14ac:dyDescent="0.2">
      <c r="A19" s="563" t="s">
        <v>56</v>
      </c>
      <c r="B19" s="1115" t="s">
        <v>55</v>
      </c>
      <c r="C19" s="1128"/>
      <c r="D19" s="635">
        <f t="shared" si="1"/>
        <v>0</v>
      </c>
      <c r="E19" s="89">
        <f t="shared" si="2"/>
        <v>0</v>
      </c>
      <c r="F19" s="637">
        <f t="shared" si="3"/>
        <v>0</v>
      </c>
      <c r="G19" s="31">
        <v>0</v>
      </c>
      <c r="H19" s="29"/>
      <c r="I19" s="57">
        <f t="shared" si="4"/>
        <v>0</v>
      </c>
      <c r="J19" s="29">
        <v>0</v>
      </c>
      <c r="K19" s="29"/>
      <c r="L19" s="57">
        <f t="shared" si="5"/>
        <v>0</v>
      </c>
      <c r="M19" s="29"/>
      <c r="N19" s="29"/>
      <c r="O19" s="57">
        <f t="shared" si="6"/>
        <v>0</v>
      </c>
      <c r="P19" s="29">
        <v>0</v>
      </c>
      <c r="Q19" s="29"/>
      <c r="R19" s="57">
        <f t="shared" si="7"/>
        <v>0</v>
      </c>
      <c r="S19" s="29">
        <v>0</v>
      </c>
      <c r="T19" s="29"/>
      <c r="U19" s="57">
        <f t="shared" si="8"/>
        <v>0</v>
      </c>
      <c r="V19" s="29"/>
      <c r="W19" s="29"/>
      <c r="X19" s="561">
        <f t="shared" si="9"/>
        <v>0</v>
      </c>
    </row>
    <row r="20" spans="1:24" ht="12.75" customHeight="1" x14ac:dyDescent="0.2">
      <c r="A20" s="563" t="s">
        <v>57</v>
      </c>
      <c r="B20" s="1115" t="s">
        <v>167</v>
      </c>
      <c r="C20" s="1128"/>
      <c r="D20" s="635">
        <f t="shared" si="1"/>
        <v>0</v>
      </c>
      <c r="E20" s="89">
        <f t="shared" si="2"/>
        <v>0</v>
      </c>
      <c r="F20" s="637">
        <f t="shared" si="3"/>
        <v>0</v>
      </c>
      <c r="G20" s="31">
        <v>0</v>
      </c>
      <c r="H20" s="29"/>
      <c r="I20" s="57">
        <f t="shared" si="4"/>
        <v>0</v>
      </c>
      <c r="J20" s="29">
        <v>0</v>
      </c>
      <c r="K20" s="29"/>
      <c r="L20" s="57">
        <f t="shared" si="5"/>
        <v>0</v>
      </c>
      <c r="M20" s="29"/>
      <c r="N20" s="29"/>
      <c r="O20" s="57">
        <f t="shared" si="6"/>
        <v>0</v>
      </c>
      <c r="P20" s="29">
        <v>0</v>
      </c>
      <c r="Q20" s="29"/>
      <c r="R20" s="57">
        <f t="shared" si="7"/>
        <v>0</v>
      </c>
      <c r="S20" s="29">
        <v>0</v>
      </c>
      <c r="T20" s="29"/>
      <c r="U20" s="57">
        <f t="shared" si="8"/>
        <v>0</v>
      </c>
      <c r="V20" s="29"/>
      <c r="W20" s="29"/>
      <c r="X20" s="561">
        <f t="shared" si="9"/>
        <v>0</v>
      </c>
    </row>
    <row r="21" spans="1:24" ht="12.75" customHeight="1" x14ac:dyDescent="0.2">
      <c r="A21" s="563" t="s">
        <v>59</v>
      </c>
      <c r="B21" s="1115" t="s">
        <v>58</v>
      </c>
      <c r="C21" s="1128"/>
      <c r="D21" s="635">
        <f t="shared" si="1"/>
        <v>1734</v>
      </c>
      <c r="E21" s="89">
        <f t="shared" si="2"/>
        <v>0</v>
      </c>
      <c r="F21" s="637">
        <f t="shared" si="3"/>
        <v>1734</v>
      </c>
      <c r="G21" s="31">
        <v>500</v>
      </c>
      <c r="H21" s="29"/>
      <c r="I21" s="57">
        <f t="shared" si="4"/>
        <v>500</v>
      </c>
      <c r="J21" s="29">
        <v>1000</v>
      </c>
      <c r="K21" s="29"/>
      <c r="L21" s="57">
        <f t="shared" si="5"/>
        <v>1000</v>
      </c>
      <c r="M21" s="29"/>
      <c r="N21" s="29"/>
      <c r="O21" s="57">
        <f t="shared" si="6"/>
        <v>0</v>
      </c>
      <c r="P21" s="29">
        <v>0</v>
      </c>
      <c r="Q21" s="29"/>
      <c r="R21" s="57">
        <f t="shared" si="7"/>
        <v>0</v>
      </c>
      <c r="S21" s="29">
        <v>234</v>
      </c>
      <c r="T21" s="29"/>
      <c r="U21" s="57">
        <f t="shared" si="8"/>
        <v>234</v>
      </c>
      <c r="V21" s="29"/>
      <c r="W21" s="29"/>
      <c r="X21" s="561">
        <f t="shared" si="9"/>
        <v>0</v>
      </c>
    </row>
    <row r="22" spans="1:24" ht="12.75" customHeight="1" x14ac:dyDescent="0.2">
      <c r="A22" s="563" t="s">
        <v>60</v>
      </c>
      <c r="B22" s="1115" t="s">
        <v>166</v>
      </c>
      <c r="C22" s="1128"/>
      <c r="D22" s="635">
        <f t="shared" si="1"/>
        <v>0</v>
      </c>
      <c r="E22" s="89">
        <f t="shared" si="2"/>
        <v>0</v>
      </c>
      <c r="F22" s="637">
        <f t="shared" si="3"/>
        <v>0</v>
      </c>
      <c r="G22" s="31">
        <v>0</v>
      </c>
      <c r="H22" s="29"/>
      <c r="I22" s="57">
        <f t="shared" si="4"/>
        <v>0</v>
      </c>
      <c r="J22" s="29">
        <v>0</v>
      </c>
      <c r="K22" s="29"/>
      <c r="L22" s="57">
        <f t="shared" si="5"/>
        <v>0</v>
      </c>
      <c r="M22" s="29"/>
      <c r="N22" s="29"/>
      <c r="O22" s="57">
        <f t="shared" si="6"/>
        <v>0</v>
      </c>
      <c r="P22" s="29">
        <v>0</v>
      </c>
      <c r="Q22" s="29"/>
      <c r="R22" s="57">
        <f t="shared" si="7"/>
        <v>0</v>
      </c>
      <c r="S22" s="29">
        <v>0</v>
      </c>
      <c r="T22" s="29"/>
      <c r="U22" s="57">
        <f t="shared" si="8"/>
        <v>0</v>
      </c>
      <c r="V22" s="29"/>
      <c r="W22" s="29"/>
      <c r="X22" s="561">
        <f t="shared" si="9"/>
        <v>0</v>
      </c>
    </row>
    <row r="23" spans="1:24" ht="12.75" customHeight="1" x14ac:dyDescent="0.2">
      <c r="A23" s="563" t="s">
        <v>63</v>
      </c>
      <c r="B23" s="1115" t="s">
        <v>62</v>
      </c>
      <c r="C23" s="1128"/>
      <c r="D23" s="635">
        <f t="shared" si="1"/>
        <v>0</v>
      </c>
      <c r="E23" s="89">
        <f t="shared" si="2"/>
        <v>0</v>
      </c>
      <c r="F23" s="637">
        <f t="shared" si="3"/>
        <v>0</v>
      </c>
      <c r="G23" s="31">
        <v>0</v>
      </c>
      <c r="H23" s="29"/>
      <c r="I23" s="57">
        <f t="shared" si="4"/>
        <v>0</v>
      </c>
      <c r="J23" s="29">
        <v>0</v>
      </c>
      <c r="K23" s="29"/>
      <c r="L23" s="57">
        <f t="shared" si="5"/>
        <v>0</v>
      </c>
      <c r="M23" s="29"/>
      <c r="N23" s="29"/>
      <c r="O23" s="57">
        <f t="shared" si="6"/>
        <v>0</v>
      </c>
      <c r="P23" s="29">
        <v>0</v>
      </c>
      <c r="Q23" s="29"/>
      <c r="R23" s="57">
        <f t="shared" si="7"/>
        <v>0</v>
      </c>
      <c r="S23" s="29">
        <v>0</v>
      </c>
      <c r="T23" s="29"/>
      <c r="U23" s="57">
        <f t="shared" si="8"/>
        <v>0</v>
      </c>
      <c r="V23" s="29"/>
      <c r="W23" s="29"/>
      <c r="X23" s="561">
        <f t="shared" si="9"/>
        <v>0</v>
      </c>
    </row>
    <row r="24" spans="1:24" ht="12.75" customHeight="1" x14ac:dyDescent="0.2">
      <c r="A24" s="563" t="s">
        <v>65</v>
      </c>
      <c r="B24" s="1115" t="s">
        <v>64</v>
      </c>
      <c r="C24" s="1128"/>
      <c r="D24" s="635">
        <f t="shared" si="1"/>
        <v>2877</v>
      </c>
      <c r="E24" s="89">
        <f t="shared" si="2"/>
        <v>185</v>
      </c>
      <c r="F24" s="637">
        <f t="shared" si="3"/>
        <v>3062</v>
      </c>
      <c r="G24" s="31">
        <v>157</v>
      </c>
      <c r="H24" s="29">
        <v>25</v>
      </c>
      <c r="I24" s="57">
        <f t="shared" si="4"/>
        <v>182</v>
      </c>
      <c r="J24" s="29">
        <v>752</v>
      </c>
      <c r="K24" s="29">
        <v>160</v>
      </c>
      <c r="L24" s="57">
        <f t="shared" si="5"/>
        <v>912</v>
      </c>
      <c r="M24" s="29">
        <v>733</v>
      </c>
      <c r="N24" s="29"/>
      <c r="O24" s="57">
        <f t="shared" si="6"/>
        <v>733</v>
      </c>
      <c r="P24" s="29">
        <v>1235</v>
      </c>
      <c r="Q24" s="29"/>
      <c r="R24" s="57">
        <f t="shared" si="7"/>
        <v>1235</v>
      </c>
      <c r="S24" s="29">
        <v>0</v>
      </c>
      <c r="T24" s="29"/>
      <c r="U24" s="57">
        <f t="shared" si="8"/>
        <v>0</v>
      </c>
      <c r="V24" s="29"/>
      <c r="W24" s="29"/>
      <c r="X24" s="561">
        <f t="shared" si="9"/>
        <v>0</v>
      </c>
    </row>
    <row r="25" spans="1:24" s="44" customFormat="1" ht="12.75" customHeight="1" x14ac:dyDescent="0.2">
      <c r="A25" s="560" t="s">
        <v>66</v>
      </c>
      <c r="B25" s="1119" t="s">
        <v>156</v>
      </c>
      <c r="C25" s="1132"/>
      <c r="D25" s="635">
        <f t="shared" si="1"/>
        <v>4611</v>
      </c>
      <c r="E25" s="89">
        <f t="shared" si="2"/>
        <v>185</v>
      </c>
      <c r="F25" s="637">
        <f t="shared" si="3"/>
        <v>4796</v>
      </c>
      <c r="G25" s="634">
        <v>657</v>
      </c>
      <c r="H25" s="57">
        <f t="shared" ref="H25:Q25" si="19">+H24+H23+H22+H21+H20+H19+H18</f>
        <v>25</v>
      </c>
      <c r="I25" s="57">
        <f t="shared" si="4"/>
        <v>682</v>
      </c>
      <c r="J25" s="57">
        <v>1752</v>
      </c>
      <c r="K25" s="57">
        <f t="shared" si="19"/>
        <v>160</v>
      </c>
      <c r="L25" s="57">
        <f t="shared" si="5"/>
        <v>1912</v>
      </c>
      <c r="M25" s="57">
        <f t="shared" si="19"/>
        <v>733</v>
      </c>
      <c r="N25" s="57">
        <f t="shared" si="19"/>
        <v>0</v>
      </c>
      <c r="O25" s="57">
        <f t="shared" si="6"/>
        <v>733</v>
      </c>
      <c r="P25" s="57">
        <v>1235</v>
      </c>
      <c r="Q25" s="57">
        <f t="shared" si="19"/>
        <v>0</v>
      </c>
      <c r="R25" s="57">
        <f t="shared" si="7"/>
        <v>1235</v>
      </c>
      <c r="S25" s="57">
        <v>234</v>
      </c>
      <c r="T25" s="57">
        <f t="shared" ref="T25:U25" si="20">+T24+T23+T22+T21+T20+T19+T18</f>
        <v>0</v>
      </c>
      <c r="U25" s="57">
        <f t="shared" si="20"/>
        <v>234</v>
      </c>
      <c r="V25" s="57">
        <f t="shared" ref="V25:W25" si="21">+V24+V23+V22+V21+V20+V19+V18</f>
        <v>0</v>
      </c>
      <c r="W25" s="57">
        <f t="shared" si="21"/>
        <v>0</v>
      </c>
      <c r="X25" s="561">
        <f t="shared" si="9"/>
        <v>0</v>
      </c>
    </row>
    <row r="26" spans="1:24" ht="12.75" customHeight="1" x14ac:dyDescent="0.2">
      <c r="A26" s="563" t="s">
        <v>68</v>
      </c>
      <c r="B26" s="1115" t="s">
        <v>67</v>
      </c>
      <c r="C26" s="1128"/>
      <c r="D26" s="635">
        <f t="shared" si="1"/>
        <v>0</v>
      </c>
      <c r="E26" s="89">
        <f t="shared" si="2"/>
        <v>0</v>
      </c>
      <c r="F26" s="637">
        <f t="shared" si="3"/>
        <v>0</v>
      </c>
      <c r="G26" s="31">
        <v>0</v>
      </c>
      <c r="H26" s="29"/>
      <c r="I26" s="57">
        <f t="shared" si="4"/>
        <v>0</v>
      </c>
      <c r="J26" s="29">
        <v>0</v>
      </c>
      <c r="K26" s="29"/>
      <c r="L26" s="57">
        <f t="shared" si="5"/>
        <v>0</v>
      </c>
      <c r="M26" s="29"/>
      <c r="N26" s="29"/>
      <c r="O26" s="57">
        <f t="shared" si="6"/>
        <v>0</v>
      </c>
      <c r="P26" s="29">
        <v>0</v>
      </c>
      <c r="Q26" s="29"/>
      <c r="R26" s="57">
        <f t="shared" si="7"/>
        <v>0</v>
      </c>
      <c r="S26" s="29">
        <v>0</v>
      </c>
      <c r="T26" s="29"/>
      <c r="U26" s="57">
        <f t="shared" si="8"/>
        <v>0</v>
      </c>
      <c r="V26" s="29"/>
      <c r="W26" s="29"/>
      <c r="X26" s="561">
        <f t="shared" si="9"/>
        <v>0</v>
      </c>
    </row>
    <row r="27" spans="1:24" ht="12.75" customHeight="1" x14ac:dyDescent="0.2">
      <c r="A27" s="563" t="s">
        <v>70</v>
      </c>
      <c r="B27" s="1115" t="s">
        <v>69</v>
      </c>
      <c r="C27" s="1128"/>
      <c r="D27" s="635">
        <f t="shared" si="1"/>
        <v>1651</v>
      </c>
      <c r="E27" s="89">
        <f t="shared" si="2"/>
        <v>0</v>
      </c>
      <c r="F27" s="637">
        <f t="shared" si="3"/>
        <v>1651</v>
      </c>
      <c r="G27" s="31">
        <v>787</v>
      </c>
      <c r="H27" s="29"/>
      <c r="I27" s="57">
        <f t="shared" si="4"/>
        <v>787</v>
      </c>
      <c r="J27" s="29">
        <v>0</v>
      </c>
      <c r="K27" s="29"/>
      <c r="L27" s="57">
        <f t="shared" si="5"/>
        <v>0</v>
      </c>
      <c r="M27" s="29">
        <v>787</v>
      </c>
      <c r="N27" s="29"/>
      <c r="O27" s="57">
        <f t="shared" si="6"/>
        <v>787</v>
      </c>
      <c r="P27" s="29">
        <v>77</v>
      </c>
      <c r="Q27" s="29"/>
      <c r="R27" s="57">
        <f t="shared" si="7"/>
        <v>77</v>
      </c>
      <c r="S27" s="29">
        <v>0</v>
      </c>
      <c r="T27" s="29"/>
      <c r="U27" s="57">
        <f t="shared" si="8"/>
        <v>0</v>
      </c>
      <c r="V27" s="29"/>
      <c r="W27" s="29"/>
      <c r="X27" s="561">
        <f t="shared" si="9"/>
        <v>0</v>
      </c>
    </row>
    <row r="28" spans="1:24" s="44" customFormat="1" ht="12.75" customHeight="1" x14ac:dyDescent="0.2">
      <c r="A28" s="560" t="s">
        <v>71</v>
      </c>
      <c r="B28" s="1119" t="s">
        <v>155</v>
      </c>
      <c r="C28" s="1132"/>
      <c r="D28" s="635">
        <f t="shared" si="1"/>
        <v>1651</v>
      </c>
      <c r="E28" s="89">
        <f t="shared" si="2"/>
        <v>0</v>
      </c>
      <c r="F28" s="637">
        <f t="shared" si="3"/>
        <v>1651</v>
      </c>
      <c r="G28" s="634">
        <v>787</v>
      </c>
      <c r="H28" s="57">
        <f t="shared" ref="H28:N28" si="22">SUM(H26:H27)</f>
        <v>0</v>
      </c>
      <c r="I28" s="57">
        <f t="shared" si="4"/>
        <v>787</v>
      </c>
      <c r="J28" s="57">
        <v>0</v>
      </c>
      <c r="K28" s="57">
        <f t="shared" si="22"/>
        <v>0</v>
      </c>
      <c r="L28" s="57">
        <f t="shared" si="5"/>
        <v>0</v>
      </c>
      <c r="M28" s="57">
        <f t="shared" si="22"/>
        <v>787</v>
      </c>
      <c r="N28" s="57">
        <f t="shared" si="22"/>
        <v>0</v>
      </c>
      <c r="O28" s="57">
        <f t="shared" si="6"/>
        <v>787</v>
      </c>
      <c r="P28" s="57">
        <v>77</v>
      </c>
      <c r="Q28" s="57">
        <f t="shared" ref="Q28:W28" si="23">SUM(Q26:Q27)</f>
        <v>0</v>
      </c>
      <c r="R28" s="57">
        <f t="shared" si="7"/>
        <v>77</v>
      </c>
      <c r="S28" s="57">
        <v>0</v>
      </c>
      <c r="T28" s="57">
        <f t="shared" si="23"/>
        <v>0</v>
      </c>
      <c r="U28" s="57">
        <f t="shared" si="23"/>
        <v>0</v>
      </c>
      <c r="V28" s="57">
        <f t="shared" si="23"/>
        <v>0</v>
      </c>
      <c r="W28" s="57">
        <f t="shared" si="23"/>
        <v>0</v>
      </c>
      <c r="X28" s="561">
        <f t="shared" si="9"/>
        <v>0</v>
      </c>
    </row>
    <row r="29" spans="1:24" ht="12.75" customHeight="1" x14ac:dyDescent="0.2">
      <c r="A29" s="563" t="s">
        <v>73</v>
      </c>
      <c r="B29" s="1115" t="s">
        <v>72</v>
      </c>
      <c r="C29" s="1128"/>
      <c r="D29" s="635">
        <f t="shared" si="1"/>
        <v>1681</v>
      </c>
      <c r="E29" s="89">
        <f t="shared" si="2"/>
        <v>298</v>
      </c>
      <c r="F29" s="637">
        <f t="shared" si="3"/>
        <v>1979</v>
      </c>
      <c r="G29" s="31">
        <v>390</v>
      </c>
      <c r="H29" s="29"/>
      <c r="I29" s="57">
        <f t="shared" si="4"/>
        <v>390</v>
      </c>
      <c r="J29" s="29">
        <v>473</v>
      </c>
      <c r="K29" s="29">
        <f>255+43</f>
        <v>298</v>
      </c>
      <c r="L29" s="57">
        <f t="shared" si="5"/>
        <v>771</v>
      </c>
      <c r="M29" s="29">
        <v>410</v>
      </c>
      <c r="N29" s="29"/>
      <c r="O29" s="57">
        <f t="shared" si="6"/>
        <v>410</v>
      </c>
      <c r="P29" s="29">
        <v>345</v>
      </c>
      <c r="Q29" s="29"/>
      <c r="R29" s="57">
        <f t="shared" si="7"/>
        <v>345</v>
      </c>
      <c r="S29" s="29">
        <v>63</v>
      </c>
      <c r="T29" s="29"/>
      <c r="U29" s="57">
        <f t="shared" si="8"/>
        <v>63</v>
      </c>
      <c r="V29" s="29"/>
      <c r="W29" s="29"/>
      <c r="X29" s="561">
        <f t="shared" si="9"/>
        <v>0</v>
      </c>
    </row>
    <row r="30" spans="1:24" ht="12.75" customHeight="1" x14ac:dyDescent="0.2">
      <c r="A30" s="563" t="s">
        <v>75</v>
      </c>
      <c r="B30" s="1115" t="s">
        <v>74</v>
      </c>
      <c r="C30" s="1128"/>
      <c r="D30" s="635">
        <f t="shared" si="1"/>
        <v>121952</v>
      </c>
      <c r="E30" s="89">
        <f t="shared" si="2"/>
        <v>0</v>
      </c>
      <c r="F30" s="637">
        <f t="shared" si="3"/>
        <v>121952</v>
      </c>
      <c r="G30" s="31">
        <v>67336</v>
      </c>
      <c r="H30" s="29"/>
      <c r="I30" s="57">
        <f t="shared" si="4"/>
        <v>67336</v>
      </c>
      <c r="J30" s="29">
        <v>34844</v>
      </c>
      <c r="K30" s="29"/>
      <c r="L30" s="57">
        <f t="shared" si="5"/>
        <v>34844</v>
      </c>
      <c r="M30" s="29">
        <v>19772</v>
      </c>
      <c r="N30" s="29"/>
      <c r="O30" s="57">
        <f t="shared" si="6"/>
        <v>19772</v>
      </c>
      <c r="P30" s="29">
        <v>0</v>
      </c>
      <c r="Q30" s="29"/>
      <c r="R30" s="57">
        <f t="shared" si="7"/>
        <v>0</v>
      </c>
      <c r="S30" s="29">
        <v>0</v>
      </c>
      <c r="T30" s="29"/>
      <c r="U30" s="57">
        <f t="shared" si="8"/>
        <v>0</v>
      </c>
      <c r="V30" s="29"/>
      <c r="W30" s="29"/>
      <c r="X30" s="561">
        <f t="shared" si="9"/>
        <v>0</v>
      </c>
    </row>
    <row r="31" spans="1:24" ht="12.75" customHeight="1" x14ac:dyDescent="0.2">
      <c r="A31" s="563" t="s">
        <v>76</v>
      </c>
      <c r="B31" s="1115" t="s">
        <v>154</v>
      </c>
      <c r="C31" s="1128"/>
      <c r="D31" s="635">
        <f t="shared" si="1"/>
        <v>0</v>
      </c>
      <c r="E31" s="89">
        <f t="shared" si="2"/>
        <v>0</v>
      </c>
      <c r="F31" s="637">
        <f t="shared" si="3"/>
        <v>0</v>
      </c>
      <c r="G31" s="31">
        <v>0</v>
      </c>
      <c r="H31" s="29"/>
      <c r="I31" s="57">
        <f t="shared" si="4"/>
        <v>0</v>
      </c>
      <c r="J31" s="29">
        <v>0</v>
      </c>
      <c r="K31" s="29"/>
      <c r="L31" s="57">
        <f t="shared" si="5"/>
        <v>0</v>
      </c>
      <c r="M31" s="29"/>
      <c r="N31" s="29"/>
      <c r="O31" s="57">
        <f t="shared" si="6"/>
        <v>0</v>
      </c>
      <c r="P31" s="29">
        <v>0</v>
      </c>
      <c r="Q31" s="29"/>
      <c r="R31" s="57">
        <f t="shared" si="7"/>
        <v>0</v>
      </c>
      <c r="S31" s="29">
        <v>0</v>
      </c>
      <c r="T31" s="29"/>
      <c r="U31" s="57">
        <f t="shared" si="8"/>
        <v>0</v>
      </c>
      <c r="V31" s="29"/>
      <c r="W31" s="29"/>
      <c r="X31" s="561">
        <f t="shared" si="9"/>
        <v>0</v>
      </c>
    </row>
    <row r="32" spans="1:24" ht="12.75" customHeight="1" x14ac:dyDescent="0.2">
      <c r="A32" s="563" t="s">
        <v>77</v>
      </c>
      <c r="B32" s="1115" t="s">
        <v>153</v>
      </c>
      <c r="C32" s="1128"/>
      <c r="D32" s="635">
        <f t="shared" si="1"/>
        <v>0</v>
      </c>
      <c r="E32" s="89">
        <f t="shared" si="2"/>
        <v>0</v>
      </c>
      <c r="F32" s="637">
        <f t="shared" si="3"/>
        <v>0</v>
      </c>
      <c r="G32" s="31">
        <v>0</v>
      </c>
      <c r="H32" s="29"/>
      <c r="I32" s="57">
        <f t="shared" si="4"/>
        <v>0</v>
      </c>
      <c r="J32" s="29">
        <v>0</v>
      </c>
      <c r="K32" s="29"/>
      <c r="L32" s="57">
        <f t="shared" si="5"/>
        <v>0</v>
      </c>
      <c r="M32" s="29"/>
      <c r="N32" s="29"/>
      <c r="O32" s="57">
        <f t="shared" si="6"/>
        <v>0</v>
      </c>
      <c r="P32" s="29">
        <v>0</v>
      </c>
      <c r="Q32" s="29"/>
      <c r="R32" s="57">
        <f t="shared" si="7"/>
        <v>0</v>
      </c>
      <c r="S32" s="29">
        <v>0</v>
      </c>
      <c r="T32" s="29"/>
      <c r="U32" s="57">
        <f t="shared" si="8"/>
        <v>0</v>
      </c>
      <c r="V32" s="29"/>
      <c r="W32" s="29"/>
      <c r="X32" s="561">
        <f t="shared" si="9"/>
        <v>0</v>
      </c>
    </row>
    <row r="33" spans="1:24" ht="12.75" customHeight="1" x14ac:dyDescent="0.2">
      <c r="A33" s="563" t="s">
        <v>79</v>
      </c>
      <c r="B33" s="1115" t="s">
        <v>78</v>
      </c>
      <c r="C33" s="1128"/>
      <c r="D33" s="635">
        <f t="shared" si="1"/>
        <v>148</v>
      </c>
      <c r="E33" s="89">
        <f t="shared" si="2"/>
        <v>1575</v>
      </c>
      <c r="F33" s="637">
        <f t="shared" si="3"/>
        <v>1723</v>
      </c>
      <c r="G33" s="31">
        <v>0</v>
      </c>
      <c r="H33" s="29">
        <v>630</v>
      </c>
      <c r="I33" s="57">
        <f t="shared" si="4"/>
        <v>630</v>
      </c>
      <c r="J33" s="29">
        <v>80</v>
      </c>
      <c r="K33" s="29">
        <v>945</v>
      </c>
      <c r="L33" s="57">
        <f t="shared" si="5"/>
        <v>1025</v>
      </c>
      <c r="M33" s="29">
        <v>68</v>
      </c>
      <c r="N33" s="29"/>
      <c r="O33" s="57">
        <f t="shared" si="6"/>
        <v>68</v>
      </c>
      <c r="P33" s="29">
        <v>0</v>
      </c>
      <c r="Q33" s="29"/>
      <c r="R33" s="57">
        <f t="shared" si="7"/>
        <v>0</v>
      </c>
      <c r="S33" s="29">
        <v>0</v>
      </c>
      <c r="T33" s="29"/>
      <c r="U33" s="57">
        <f t="shared" si="8"/>
        <v>0</v>
      </c>
      <c r="V33" s="29"/>
      <c r="W33" s="29"/>
      <c r="X33" s="561">
        <f t="shared" si="9"/>
        <v>0</v>
      </c>
    </row>
    <row r="34" spans="1:24" s="44" customFormat="1" ht="12.75" customHeight="1" x14ac:dyDescent="0.2">
      <c r="A34" s="560" t="s">
        <v>80</v>
      </c>
      <c r="B34" s="1119" t="s">
        <v>152</v>
      </c>
      <c r="C34" s="1132"/>
      <c r="D34" s="635">
        <f t="shared" si="1"/>
        <v>123781</v>
      </c>
      <c r="E34" s="89">
        <f t="shared" si="2"/>
        <v>1873</v>
      </c>
      <c r="F34" s="637">
        <f t="shared" si="3"/>
        <v>125654</v>
      </c>
      <c r="G34" s="634">
        <v>67726</v>
      </c>
      <c r="H34" s="57">
        <f t="shared" ref="H34:N34" si="24">SUM(H29:H33)</f>
        <v>630</v>
      </c>
      <c r="I34" s="57">
        <f t="shared" si="4"/>
        <v>68356</v>
      </c>
      <c r="J34" s="57">
        <v>35397</v>
      </c>
      <c r="K34" s="57">
        <f t="shared" si="24"/>
        <v>1243</v>
      </c>
      <c r="L34" s="57">
        <f t="shared" si="5"/>
        <v>36640</v>
      </c>
      <c r="M34" s="57">
        <f t="shared" si="24"/>
        <v>20250</v>
      </c>
      <c r="N34" s="57">
        <f t="shared" si="24"/>
        <v>0</v>
      </c>
      <c r="O34" s="57">
        <f t="shared" si="6"/>
        <v>20250</v>
      </c>
      <c r="P34" s="57">
        <v>345</v>
      </c>
      <c r="Q34" s="57">
        <f t="shared" ref="Q34:W34" si="25">SUM(Q29:Q33)</f>
        <v>0</v>
      </c>
      <c r="R34" s="57">
        <f t="shared" si="7"/>
        <v>345</v>
      </c>
      <c r="S34" s="57">
        <v>63</v>
      </c>
      <c r="T34" s="57">
        <f t="shared" si="25"/>
        <v>0</v>
      </c>
      <c r="U34" s="57">
        <f t="shared" si="25"/>
        <v>63</v>
      </c>
      <c r="V34" s="57">
        <f t="shared" si="25"/>
        <v>0</v>
      </c>
      <c r="W34" s="57">
        <f t="shared" si="25"/>
        <v>0</v>
      </c>
      <c r="X34" s="561">
        <f t="shared" si="9"/>
        <v>0</v>
      </c>
    </row>
    <row r="35" spans="1:24" s="44" customFormat="1" ht="12.75" customHeight="1" x14ac:dyDescent="0.2">
      <c r="A35" s="560" t="s">
        <v>81</v>
      </c>
      <c r="B35" s="1119" t="s">
        <v>151</v>
      </c>
      <c r="C35" s="1132"/>
      <c r="D35" s="635">
        <f t="shared" si="1"/>
        <v>130043</v>
      </c>
      <c r="E35" s="89">
        <f t="shared" si="2"/>
        <v>2058</v>
      </c>
      <c r="F35" s="637">
        <f t="shared" si="3"/>
        <v>132101</v>
      </c>
      <c r="G35" s="634">
        <v>69170</v>
      </c>
      <c r="H35" s="57">
        <f t="shared" ref="H35:Q35" si="26">+H34+H28+H25+H17+H14</f>
        <v>655</v>
      </c>
      <c r="I35" s="57">
        <f t="shared" si="4"/>
        <v>69825</v>
      </c>
      <c r="J35" s="57">
        <v>37149</v>
      </c>
      <c r="K35" s="57">
        <f t="shared" si="26"/>
        <v>1403</v>
      </c>
      <c r="L35" s="57">
        <f t="shared" si="5"/>
        <v>38552</v>
      </c>
      <c r="M35" s="57">
        <f t="shared" si="26"/>
        <v>21770</v>
      </c>
      <c r="N35" s="57">
        <f t="shared" si="26"/>
        <v>0</v>
      </c>
      <c r="O35" s="57">
        <f t="shared" si="6"/>
        <v>21770</v>
      </c>
      <c r="P35" s="57">
        <v>1657</v>
      </c>
      <c r="Q35" s="57">
        <f t="shared" si="26"/>
        <v>0</v>
      </c>
      <c r="R35" s="57">
        <f t="shared" si="7"/>
        <v>1657</v>
      </c>
      <c r="S35" s="57">
        <v>297</v>
      </c>
      <c r="T35" s="57">
        <f t="shared" ref="T35:U35" si="27">+T34+T28+T25+T17+T14</f>
        <v>0</v>
      </c>
      <c r="U35" s="57">
        <f t="shared" si="27"/>
        <v>297</v>
      </c>
      <c r="V35" s="57">
        <f t="shared" ref="V35:W35" si="28">+V34+V28+V25+V17+V14</f>
        <v>0</v>
      </c>
      <c r="W35" s="57">
        <f t="shared" si="28"/>
        <v>0</v>
      </c>
      <c r="X35" s="561">
        <f t="shared" si="9"/>
        <v>0</v>
      </c>
    </row>
    <row r="36" spans="1:24" ht="11.25" customHeight="1" x14ac:dyDescent="0.2">
      <c r="A36" s="562"/>
      <c r="B36" s="1044"/>
      <c r="C36" s="1044"/>
      <c r="D36" s="854"/>
      <c r="E36" s="839"/>
      <c r="F36" s="855"/>
      <c r="G36" s="60"/>
      <c r="H36" s="60"/>
      <c r="I36" s="244"/>
      <c r="J36" s="60"/>
      <c r="K36" s="60"/>
      <c r="L36" s="244"/>
      <c r="M36" s="60"/>
      <c r="N36" s="60"/>
      <c r="O36" s="244"/>
      <c r="P36" s="60"/>
      <c r="Q36" s="60"/>
      <c r="R36" s="244"/>
      <c r="S36" s="60"/>
      <c r="T36" s="60"/>
      <c r="U36" s="244"/>
      <c r="V36" s="60"/>
      <c r="W36" s="60"/>
      <c r="X36" s="636"/>
    </row>
    <row r="37" spans="1:24" ht="12" customHeight="1" x14ac:dyDescent="0.2">
      <c r="A37" s="562"/>
      <c r="B37" s="1151"/>
      <c r="C37" s="1151"/>
      <c r="D37" s="854"/>
      <c r="E37" s="839"/>
      <c r="F37" s="855"/>
      <c r="G37" s="60"/>
      <c r="H37" s="60"/>
      <c r="I37" s="244"/>
      <c r="J37" s="60"/>
      <c r="K37" s="60"/>
      <c r="L37" s="244"/>
      <c r="M37" s="60"/>
      <c r="N37" s="60"/>
      <c r="O37" s="244"/>
      <c r="P37" s="60"/>
      <c r="Q37" s="60"/>
      <c r="R37" s="244"/>
      <c r="S37" s="60"/>
      <c r="T37" s="60"/>
      <c r="U37" s="244"/>
      <c r="V37" s="60"/>
      <c r="W37" s="60"/>
      <c r="X37" s="636"/>
    </row>
    <row r="38" spans="1:24" ht="12.75" hidden="1" customHeight="1" x14ac:dyDescent="0.2">
      <c r="A38" s="102" t="s">
        <v>96</v>
      </c>
      <c r="B38" s="1152" t="s">
        <v>95</v>
      </c>
      <c r="C38" s="1152"/>
      <c r="D38" s="854">
        <f t="shared" si="1"/>
        <v>0</v>
      </c>
      <c r="E38" s="839">
        <f t="shared" si="2"/>
        <v>0</v>
      </c>
      <c r="F38" s="855">
        <f t="shared" si="3"/>
        <v>0</v>
      </c>
      <c r="G38" s="60">
        <v>0</v>
      </c>
      <c r="H38" s="60"/>
      <c r="I38" s="244">
        <f t="shared" si="4"/>
        <v>0</v>
      </c>
      <c r="J38" s="60">
        <v>0</v>
      </c>
      <c r="K38" s="60"/>
      <c r="L38" s="244">
        <f t="shared" si="5"/>
        <v>0</v>
      </c>
      <c r="M38" s="60"/>
      <c r="N38" s="60"/>
      <c r="O38" s="244">
        <f t="shared" si="6"/>
        <v>0</v>
      </c>
      <c r="P38" s="60">
        <v>0</v>
      </c>
      <c r="Q38" s="60"/>
      <c r="R38" s="244">
        <f t="shared" si="7"/>
        <v>0</v>
      </c>
      <c r="S38" s="60">
        <v>0</v>
      </c>
      <c r="T38" s="60"/>
      <c r="U38" s="244">
        <f t="shared" si="8"/>
        <v>0</v>
      </c>
      <c r="V38" s="60"/>
      <c r="W38" s="60"/>
      <c r="X38" s="636">
        <f t="shared" si="9"/>
        <v>0</v>
      </c>
    </row>
    <row r="39" spans="1:24" ht="12.75" hidden="1" customHeight="1" x14ac:dyDescent="0.2">
      <c r="A39" s="102" t="s">
        <v>98</v>
      </c>
      <c r="B39" s="1152" t="s">
        <v>97</v>
      </c>
      <c r="C39" s="1152"/>
      <c r="D39" s="854">
        <f t="shared" si="1"/>
        <v>0</v>
      </c>
      <c r="E39" s="839">
        <f t="shared" si="2"/>
        <v>0</v>
      </c>
      <c r="F39" s="855">
        <f t="shared" si="3"/>
        <v>0</v>
      </c>
      <c r="G39" s="60">
        <v>0</v>
      </c>
      <c r="H39" s="60"/>
      <c r="I39" s="244">
        <f t="shared" si="4"/>
        <v>0</v>
      </c>
      <c r="J39" s="60">
        <v>0</v>
      </c>
      <c r="K39" s="60"/>
      <c r="L39" s="244">
        <f t="shared" si="5"/>
        <v>0</v>
      </c>
      <c r="M39" s="60"/>
      <c r="N39" s="60"/>
      <c r="O39" s="244">
        <f t="shared" si="6"/>
        <v>0</v>
      </c>
      <c r="P39" s="60">
        <v>0</v>
      </c>
      <c r="Q39" s="60"/>
      <c r="R39" s="244">
        <f t="shared" si="7"/>
        <v>0</v>
      </c>
      <c r="S39" s="60">
        <v>0</v>
      </c>
      <c r="T39" s="60"/>
      <c r="U39" s="244">
        <f t="shared" si="8"/>
        <v>0</v>
      </c>
      <c r="V39" s="60"/>
      <c r="W39" s="60"/>
      <c r="X39" s="636">
        <f t="shared" si="9"/>
        <v>0</v>
      </c>
    </row>
    <row r="40" spans="1:24" ht="23.25" hidden="1" customHeight="1" x14ac:dyDescent="0.2">
      <c r="A40" s="102" t="s">
        <v>101</v>
      </c>
      <c r="B40" s="1152" t="s">
        <v>165</v>
      </c>
      <c r="C40" s="1152"/>
      <c r="D40" s="854">
        <f t="shared" si="1"/>
        <v>0</v>
      </c>
      <c r="E40" s="839">
        <f t="shared" si="2"/>
        <v>0</v>
      </c>
      <c r="F40" s="855">
        <f t="shared" si="3"/>
        <v>0</v>
      </c>
      <c r="G40" s="60">
        <v>0</v>
      </c>
      <c r="H40" s="60"/>
      <c r="I40" s="244">
        <f t="shared" si="4"/>
        <v>0</v>
      </c>
      <c r="J40" s="60">
        <v>0</v>
      </c>
      <c r="K40" s="60"/>
      <c r="L40" s="244">
        <f t="shared" si="5"/>
        <v>0</v>
      </c>
      <c r="M40" s="60"/>
      <c r="N40" s="60"/>
      <c r="O40" s="244">
        <f t="shared" si="6"/>
        <v>0</v>
      </c>
      <c r="P40" s="60">
        <v>0</v>
      </c>
      <c r="Q40" s="60"/>
      <c r="R40" s="244">
        <f t="shared" si="7"/>
        <v>0</v>
      </c>
      <c r="S40" s="60">
        <v>0</v>
      </c>
      <c r="T40" s="60"/>
      <c r="U40" s="244">
        <f t="shared" si="8"/>
        <v>0</v>
      </c>
      <c r="V40" s="60"/>
      <c r="W40" s="60"/>
      <c r="X40" s="636">
        <f t="shared" si="9"/>
        <v>0</v>
      </c>
    </row>
    <row r="41" spans="1:24" ht="25.5" hidden="1" customHeight="1" x14ac:dyDescent="0.2">
      <c r="A41" s="102" t="s">
        <v>103</v>
      </c>
      <c r="B41" s="1152" t="s">
        <v>102</v>
      </c>
      <c r="C41" s="1152"/>
      <c r="D41" s="854">
        <f t="shared" si="1"/>
        <v>0</v>
      </c>
      <c r="E41" s="839">
        <f t="shared" si="2"/>
        <v>0</v>
      </c>
      <c r="F41" s="855">
        <f t="shared" si="3"/>
        <v>0</v>
      </c>
      <c r="G41" s="60">
        <v>0</v>
      </c>
      <c r="H41" s="60"/>
      <c r="I41" s="244">
        <f t="shared" si="4"/>
        <v>0</v>
      </c>
      <c r="J41" s="60">
        <v>0</v>
      </c>
      <c r="K41" s="60"/>
      <c r="L41" s="244">
        <f t="shared" si="5"/>
        <v>0</v>
      </c>
      <c r="M41" s="60"/>
      <c r="N41" s="60"/>
      <c r="O41" s="244">
        <f t="shared" si="6"/>
        <v>0</v>
      </c>
      <c r="P41" s="60">
        <v>0</v>
      </c>
      <c r="Q41" s="60"/>
      <c r="R41" s="244">
        <f t="shared" si="7"/>
        <v>0</v>
      </c>
      <c r="S41" s="60">
        <v>0</v>
      </c>
      <c r="T41" s="60"/>
      <c r="U41" s="244">
        <f t="shared" si="8"/>
        <v>0</v>
      </c>
      <c r="V41" s="60"/>
      <c r="W41" s="60"/>
      <c r="X41" s="636">
        <f t="shared" si="9"/>
        <v>0</v>
      </c>
    </row>
    <row r="42" spans="1:24" ht="27" hidden="1" customHeight="1" x14ac:dyDescent="0.2">
      <c r="A42" s="102" t="s">
        <v>107</v>
      </c>
      <c r="B42" s="1152" t="s">
        <v>164</v>
      </c>
      <c r="C42" s="1152"/>
      <c r="D42" s="854">
        <f t="shared" si="1"/>
        <v>0</v>
      </c>
      <c r="E42" s="839">
        <f t="shared" si="2"/>
        <v>0</v>
      </c>
      <c r="F42" s="855">
        <f t="shared" si="3"/>
        <v>0</v>
      </c>
      <c r="G42" s="60">
        <v>0</v>
      </c>
      <c r="H42" s="60"/>
      <c r="I42" s="244">
        <f t="shared" si="4"/>
        <v>0</v>
      </c>
      <c r="J42" s="60">
        <v>0</v>
      </c>
      <c r="K42" s="60"/>
      <c r="L42" s="244">
        <f t="shared" si="5"/>
        <v>0</v>
      </c>
      <c r="M42" s="60"/>
      <c r="N42" s="60"/>
      <c r="O42" s="244">
        <f t="shared" si="6"/>
        <v>0</v>
      </c>
      <c r="P42" s="60">
        <v>0</v>
      </c>
      <c r="Q42" s="60"/>
      <c r="R42" s="244">
        <f t="shared" si="7"/>
        <v>0</v>
      </c>
      <c r="S42" s="60">
        <v>0</v>
      </c>
      <c r="T42" s="60"/>
      <c r="U42" s="244">
        <f t="shared" si="8"/>
        <v>0</v>
      </c>
      <c r="V42" s="60"/>
      <c r="W42" s="60"/>
      <c r="X42" s="636">
        <f t="shared" si="9"/>
        <v>0</v>
      </c>
    </row>
    <row r="43" spans="1:24" ht="12.75" hidden="1" customHeight="1" x14ac:dyDescent="0.2">
      <c r="A43" s="102" t="s">
        <v>629</v>
      </c>
      <c r="B43" s="1133" t="s">
        <v>106</v>
      </c>
      <c r="C43" s="1133"/>
      <c r="D43" s="854">
        <f t="shared" si="1"/>
        <v>0</v>
      </c>
      <c r="E43" s="839">
        <f t="shared" si="2"/>
        <v>0</v>
      </c>
      <c r="F43" s="855">
        <f t="shared" si="3"/>
        <v>0</v>
      </c>
      <c r="G43" s="60">
        <v>0</v>
      </c>
      <c r="H43" s="60"/>
      <c r="I43" s="244">
        <f t="shared" si="4"/>
        <v>0</v>
      </c>
      <c r="J43" s="60">
        <v>0</v>
      </c>
      <c r="K43" s="60"/>
      <c r="L43" s="244">
        <f t="shared" si="5"/>
        <v>0</v>
      </c>
      <c r="M43" s="60"/>
      <c r="N43" s="60"/>
      <c r="O43" s="244">
        <f t="shared" si="6"/>
        <v>0</v>
      </c>
      <c r="P43" s="60">
        <v>0</v>
      </c>
      <c r="Q43" s="60"/>
      <c r="R43" s="244">
        <f t="shared" si="7"/>
        <v>0</v>
      </c>
      <c r="S43" s="60">
        <v>0</v>
      </c>
      <c r="T43" s="60"/>
      <c r="U43" s="244">
        <f t="shared" si="8"/>
        <v>0</v>
      </c>
      <c r="V43" s="60"/>
      <c r="W43" s="60"/>
      <c r="X43" s="636">
        <f t="shared" si="9"/>
        <v>0</v>
      </c>
    </row>
    <row r="44" spans="1:24" s="44" customFormat="1" ht="12.75" customHeight="1" x14ac:dyDescent="0.2">
      <c r="A44" s="560" t="s">
        <v>108</v>
      </c>
      <c r="B44" s="1119" t="s">
        <v>163</v>
      </c>
      <c r="C44" s="1132"/>
      <c r="D44" s="635">
        <f t="shared" si="1"/>
        <v>0</v>
      </c>
      <c r="E44" s="89">
        <f t="shared" si="2"/>
        <v>0</v>
      </c>
      <c r="F44" s="637">
        <f t="shared" si="3"/>
        <v>0</v>
      </c>
      <c r="G44" s="634">
        <v>0</v>
      </c>
      <c r="H44" s="57"/>
      <c r="I44" s="57">
        <f t="shared" si="4"/>
        <v>0</v>
      </c>
      <c r="J44" s="57">
        <v>0</v>
      </c>
      <c r="K44" s="57"/>
      <c r="L44" s="57">
        <f t="shared" si="5"/>
        <v>0</v>
      </c>
      <c r="M44" s="57"/>
      <c r="N44" s="57"/>
      <c r="O44" s="57">
        <f t="shared" si="6"/>
        <v>0</v>
      </c>
      <c r="P44" s="57">
        <v>0</v>
      </c>
      <c r="Q44" s="57"/>
      <c r="R44" s="57">
        <f t="shared" si="7"/>
        <v>0</v>
      </c>
      <c r="S44" s="57">
        <v>0</v>
      </c>
      <c r="T44" s="57"/>
      <c r="U44" s="57">
        <f t="shared" si="8"/>
        <v>0</v>
      </c>
      <c r="V44" s="57"/>
      <c r="W44" s="57"/>
      <c r="X44" s="561">
        <f t="shared" si="9"/>
        <v>0</v>
      </c>
    </row>
    <row r="45" spans="1:24" ht="12" customHeight="1" x14ac:dyDescent="0.2">
      <c r="A45" s="562"/>
      <c r="B45" s="1044"/>
      <c r="C45" s="1044"/>
      <c r="D45" s="854"/>
      <c r="E45" s="839"/>
      <c r="F45" s="855"/>
      <c r="G45" s="60"/>
      <c r="H45" s="60"/>
      <c r="I45" s="244"/>
      <c r="J45" s="60"/>
      <c r="K45" s="60"/>
      <c r="L45" s="244"/>
      <c r="M45" s="60"/>
      <c r="N45" s="60"/>
      <c r="O45" s="244"/>
      <c r="P45" s="60"/>
      <c r="Q45" s="60"/>
      <c r="R45" s="244"/>
      <c r="S45" s="60"/>
      <c r="T45" s="60"/>
      <c r="U45" s="244"/>
      <c r="V45" s="60"/>
      <c r="W45" s="60"/>
      <c r="X45" s="636"/>
    </row>
    <row r="46" spans="1:24" ht="12.75" customHeight="1" x14ac:dyDescent="0.2">
      <c r="A46" s="563" t="s">
        <v>110</v>
      </c>
      <c r="B46" s="1115" t="s">
        <v>109</v>
      </c>
      <c r="C46" s="1128"/>
      <c r="D46" s="635">
        <f t="shared" si="1"/>
        <v>0</v>
      </c>
      <c r="E46" s="89">
        <f t="shared" si="2"/>
        <v>0</v>
      </c>
      <c r="F46" s="637">
        <f t="shared" si="3"/>
        <v>0</v>
      </c>
      <c r="G46" s="31">
        <v>0</v>
      </c>
      <c r="H46" s="29"/>
      <c r="I46" s="57">
        <f t="shared" si="4"/>
        <v>0</v>
      </c>
      <c r="J46" s="29">
        <v>0</v>
      </c>
      <c r="K46" s="29"/>
      <c r="L46" s="57">
        <f t="shared" si="5"/>
        <v>0</v>
      </c>
      <c r="M46" s="29"/>
      <c r="N46" s="29"/>
      <c r="O46" s="57">
        <f t="shared" si="6"/>
        <v>0</v>
      </c>
      <c r="P46" s="29">
        <v>0</v>
      </c>
      <c r="Q46" s="29"/>
      <c r="R46" s="57">
        <f t="shared" si="7"/>
        <v>0</v>
      </c>
      <c r="S46" s="29">
        <v>0</v>
      </c>
      <c r="T46" s="29"/>
      <c r="U46" s="57">
        <f t="shared" si="8"/>
        <v>0</v>
      </c>
      <c r="V46" s="29"/>
      <c r="W46" s="29"/>
      <c r="X46" s="561">
        <f t="shared" si="9"/>
        <v>0</v>
      </c>
    </row>
    <row r="47" spans="1:24" ht="12.75" customHeight="1" x14ac:dyDescent="0.2">
      <c r="A47" s="563" t="s">
        <v>111</v>
      </c>
      <c r="B47" s="1115" t="s">
        <v>162</v>
      </c>
      <c r="C47" s="1128"/>
      <c r="D47" s="635">
        <f t="shared" si="1"/>
        <v>481995</v>
      </c>
      <c r="E47" s="89">
        <f t="shared" si="2"/>
        <v>11028</v>
      </c>
      <c r="F47" s="637">
        <f t="shared" si="3"/>
        <v>493023</v>
      </c>
      <c r="G47" s="31">
        <v>247784</v>
      </c>
      <c r="H47" s="29">
        <f>9444-25-203+3112+1000</f>
        <v>13328</v>
      </c>
      <c r="I47" s="57">
        <f t="shared" si="4"/>
        <v>261112</v>
      </c>
      <c r="J47" s="29">
        <v>136437</v>
      </c>
      <c r="K47" s="29"/>
      <c r="L47" s="57">
        <f t="shared" si="5"/>
        <v>136437</v>
      </c>
      <c r="M47" s="29">
        <v>86208</v>
      </c>
      <c r="N47" s="29"/>
      <c r="O47" s="57">
        <f t="shared" si="6"/>
        <v>86208</v>
      </c>
      <c r="P47" s="29">
        <v>11417</v>
      </c>
      <c r="Q47" s="29">
        <f>-470-1830</f>
        <v>-2300</v>
      </c>
      <c r="R47" s="57">
        <f t="shared" si="7"/>
        <v>9117</v>
      </c>
      <c r="S47" s="29">
        <v>149</v>
      </c>
      <c r="T47" s="29"/>
      <c r="U47" s="57">
        <f t="shared" si="8"/>
        <v>149</v>
      </c>
      <c r="V47" s="29"/>
      <c r="W47" s="29"/>
      <c r="X47" s="561">
        <f t="shared" si="9"/>
        <v>0</v>
      </c>
    </row>
    <row r="48" spans="1:24" ht="12.75" customHeight="1" x14ac:dyDescent="0.2">
      <c r="A48" s="563" t="s">
        <v>114</v>
      </c>
      <c r="B48" s="1115" t="s">
        <v>113</v>
      </c>
      <c r="C48" s="1128"/>
      <c r="D48" s="635">
        <f t="shared" si="1"/>
        <v>0</v>
      </c>
      <c r="E48" s="89">
        <f t="shared" si="2"/>
        <v>0</v>
      </c>
      <c r="F48" s="637">
        <f t="shared" si="3"/>
        <v>0</v>
      </c>
      <c r="G48" s="31">
        <v>0</v>
      </c>
      <c r="H48" s="29"/>
      <c r="I48" s="57">
        <f t="shared" si="4"/>
        <v>0</v>
      </c>
      <c r="J48" s="29">
        <v>0</v>
      </c>
      <c r="K48" s="29"/>
      <c r="L48" s="57">
        <f t="shared" si="5"/>
        <v>0</v>
      </c>
      <c r="M48" s="29"/>
      <c r="N48" s="29"/>
      <c r="O48" s="57">
        <f t="shared" si="6"/>
        <v>0</v>
      </c>
      <c r="P48" s="29">
        <v>0</v>
      </c>
      <c r="Q48" s="29"/>
      <c r="R48" s="57">
        <f t="shared" si="7"/>
        <v>0</v>
      </c>
      <c r="S48" s="29">
        <v>0</v>
      </c>
      <c r="T48" s="29"/>
      <c r="U48" s="57">
        <f t="shared" si="8"/>
        <v>0</v>
      </c>
      <c r="V48" s="29"/>
      <c r="W48" s="29"/>
      <c r="X48" s="561">
        <f t="shared" si="9"/>
        <v>0</v>
      </c>
    </row>
    <row r="49" spans="1:24" ht="12.75" customHeight="1" x14ac:dyDescent="0.2">
      <c r="A49" s="563" t="s">
        <v>116</v>
      </c>
      <c r="B49" s="1115" t="s">
        <v>115</v>
      </c>
      <c r="C49" s="1128"/>
      <c r="D49" s="635">
        <f t="shared" si="1"/>
        <v>22161</v>
      </c>
      <c r="E49" s="89">
        <f t="shared" si="2"/>
        <v>0</v>
      </c>
      <c r="F49" s="637">
        <f t="shared" si="3"/>
        <v>22161</v>
      </c>
      <c r="G49" s="31">
        <v>2362</v>
      </c>
      <c r="H49" s="29"/>
      <c r="I49" s="57">
        <f t="shared" si="4"/>
        <v>2362</v>
      </c>
      <c r="J49" s="29">
        <v>0</v>
      </c>
      <c r="K49" s="29"/>
      <c r="L49" s="57">
        <f t="shared" si="5"/>
        <v>0</v>
      </c>
      <c r="M49" s="29">
        <v>19799</v>
      </c>
      <c r="N49" s="29"/>
      <c r="O49" s="57">
        <f t="shared" si="6"/>
        <v>19799</v>
      </c>
      <c r="P49" s="29">
        <v>0</v>
      </c>
      <c r="Q49" s="29"/>
      <c r="R49" s="57">
        <f t="shared" si="7"/>
        <v>0</v>
      </c>
      <c r="S49" s="29">
        <v>0</v>
      </c>
      <c r="T49" s="29"/>
      <c r="U49" s="57">
        <f t="shared" si="8"/>
        <v>0</v>
      </c>
      <c r="V49" s="29"/>
      <c r="W49" s="29"/>
      <c r="X49" s="561">
        <f t="shared" si="9"/>
        <v>0</v>
      </c>
    </row>
    <row r="50" spans="1:24" ht="12.75" customHeight="1" x14ac:dyDescent="0.2">
      <c r="A50" s="563" t="s">
        <v>118</v>
      </c>
      <c r="B50" s="1115" t="s">
        <v>117</v>
      </c>
      <c r="C50" s="1128"/>
      <c r="D50" s="635">
        <f t="shared" si="1"/>
        <v>0</v>
      </c>
      <c r="E50" s="89">
        <f t="shared" si="2"/>
        <v>0</v>
      </c>
      <c r="F50" s="637">
        <f t="shared" si="3"/>
        <v>0</v>
      </c>
      <c r="G50" s="31">
        <v>0</v>
      </c>
      <c r="H50" s="29"/>
      <c r="I50" s="57">
        <f t="shared" si="4"/>
        <v>0</v>
      </c>
      <c r="J50" s="29">
        <v>0</v>
      </c>
      <c r="K50" s="29"/>
      <c r="L50" s="57">
        <f t="shared" si="5"/>
        <v>0</v>
      </c>
      <c r="M50" s="29"/>
      <c r="N50" s="29"/>
      <c r="O50" s="57">
        <f t="shared" si="6"/>
        <v>0</v>
      </c>
      <c r="P50" s="29">
        <v>0</v>
      </c>
      <c r="Q50" s="29"/>
      <c r="R50" s="57">
        <f t="shared" si="7"/>
        <v>0</v>
      </c>
      <c r="S50" s="29">
        <v>0</v>
      </c>
      <c r="T50" s="29"/>
      <c r="U50" s="57">
        <f t="shared" si="8"/>
        <v>0</v>
      </c>
      <c r="V50" s="29"/>
      <c r="W50" s="29"/>
      <c r="X50" s="561">
        <f t="shared" si="9"/>
        <v>0</v>
      </c>
    </row>
    <row r="51" spans="1:24" ht="12.75" customHeight="1" x14ac:dyDescent="0.2">
      <c r="A51" s="563" t="s">
        <v>120</v>
      </c>
      <c r="B51" s="1115" t="s">
        <v>119</v>
      </c>
      <c r="C51" s="1128"/>
      <c r="D51" s="635">
        <f t="shared" si="1"/>
        <v>0</v>
      </c>
      <c r="E51" s="89">
        <f t="shared" si="2"/>
        <v>0</v>
      </c>
      <c r="F51" s="637">
        <f t="shared" si="3"/>
        <v>0</v>
      </c>
      <c r="G51" s="31">
        <v>0</v>
      </c>
      <c r="H51" s="29"/>
      <c r="I51" s="57">
        <f t="shared" si="4"/>
        <v>0</v>
      </c>
      <c r="J51" s="29">
        <v>0</v>
      </c>
      <c r="K51" s="29"/>
      <c r="L51" s="57">
        <f t="shared" si="5"/>
        <v>0</v>
      </c>
      <c r="M51" s="29"/>
      <c r="N51" s="29"/>
      <c r="O51" s="57">
        <f t="shared" si="6"/>
        <v>0</v>
      </c>
      <c r="P51" s="29">
        <v>0</v>
      </c>
      <c r="Q51" s="29"/>
      <c r="R51" s="57">
        <f t="shared" si="7"/>
        <v>0</v>
      </c>
      <c r="S51" s="29">
        <v>0</v>
      </c>
      <c r="T51" s="29"/>
      <c r="U51" s="57">
        <f t="shared" si="8"/>
        <v>0</v>
      </c>
      <c r="V51" s="29"/>
      <c r="W51" s="29"/>
      <c r="X51" s="561">
        <f t="shared" si="9"/>
        <v>0</v>
      </c>
    </row>
    <row r="52" spans="1:24" ht="12.75" customHeight="1" x14ac:dyDescent="0.2">
      <c r="A52" s="563" t="s">
        <v>122</v>
      </c>
      <c r="B52" s="1115" t="s">
        <v>121</v>
      </c>
      <c r="C52" s="1128"/>
      <c r="D52" s="635">
        <f t="shared" si="1"/>
        <v>13545</v>
      </c>
      <c r="E52" s="89">
        <f t="shared" si="2"/>
        <v>0</v>
      </c>
      <c r="F52" s="637">
        <f t="shared" si="3"/>
        <v>13545</v>
      </c>
      <c r="G52" s="31">
        <v>998</v>
      </c>
      <c r="H52" s="29"/>
      <c r="I52" s="57">
        <f t="shared" si="4"/>
        <v>998</v>
      </c>
      <c r="J52" s="29">
        <v>2269</v>
      </c>
      <c r="K52" s="29"/>
      <c r="L52" s="57">
        <f t="shared" si="5"/>
        <v>2269</v>
      </c>
      <c r="M52" s="29">
        <v>7195</v>
      </c>
      <c r="N52" s="29"/>
      <c r="O52" s="57">
        <f t="shared" si="6"/>
        <v>7195</v>
      </c>
      <c r="P52" s="29">
        <v>3083</v>
      </c>
      <c r="Q52" s="29"/>
      <c r="R52" s="57">
        <f t="shared" si="7"/>
        <v>3083</v>
      </c>
      <c r="S52" s="29">
        <v>0</v>
      </c>
      <c r="T52" s="29"/>
      <c r="U52" s="57">
        <f t="shared" si="8"/>
        <v>0</v>
      </c>
      <c r="V52" s="29"/>
      <c r="W52" s="29"/>
      <c r="X52" s="561">
        <f t="shared" si="9"/>
        <v>0</v>
      </c>
    </row>
    <row r="53" spans="1:24" s="44" customFormat="1" ht="12.75" customHeight="1" x14ac:dyDescent="0.2">
      <c r="A53" s="560" t="s">
        <v>123</v>
      </c>
      <c r="B53" s="1119" t="s">
        <v>161</v>
      </c>
      <c r="C53" s="1132"/>
      <c r="D53" s="635">
        <f t="shared" si="1"/>
        <v>517701</v>
      </c>
      <c r="E53" s="89">
        <f t="shared" si="2"/>
        <v>11028</v>
      </c>
      <c r="F53" s="637">
        <f t="shared" si="3"/>
        <v>528729</v>
      </c>
      <c r="G53" s="634">
        <v>251144</v>
      </c>
      <c r="H53" s="57">
        <f t="shared" ref="H53:Q53" si="29">+H52+H51+H50+H49+H48+H47+H46</f>
        <v>13328</v>
      </c>
      <c r="I53" s="57">
        <f t="shared" si="4"/>
        <v>264472</v>
      </c>
      <c r="J53" s="57">
        <v>138706</v>
      </c>
      <c r="K53" s="57">
        <f t="shared" si="29"/>
        <v>0</v>
      </c>
      <c r="L53" s="57">
        <f t="shared" si="5"/>
        <v>138706</v>
      </c>
      <c r="M53" s="57">
        <f t="shared" si="29"/>
        <v>113202</v>
      </c>
      <c r="N53" s="57">
        <f t="shared" si="29"/>
        <v>0</v>
      </c>
      <c r="O53" s="57">
        <f t="shared" si="6"/>
        <v>113202</v>
      </c>
      <c r="P53" s="57">
        <v>14500</v>
      </c>
      <c r="Q53" s="57">
        <f t="shared" si="29"/>
        <v>-2300</v>
      </c>
      <c r="R53" s="57">
        <f t="shared" si="7"/>
        <v>12200</v>
      </c>
      <c r="S53" s="57">
        <v>149</v>
      </c>
      <c r="T53" s="57">
        <f t="shared" ref="T53:U53" si="30">+T52+T51+T50+T49+T48+T47+T46</f>
        <v>0</v>
      </c>
      <c r="U53" s="57">
        <f t="shared" si="30"/>
        <v>149</v>
      </c>
      <c r="V53" s="57">
        <f t="shared" ref="V53:W53" si="31">+V52+V51+V50+V49+V48+V47+V46</f>
        <v>0</v>
      </c>
      <c r="W53" s="57">
        <f t="shared" si="31"/>
        <v>0</v>
      </c>
      <c r="X53" s="561">
        <f t="shared" si="9"/>
        <v>0</v>
      </c>
    </row>
    <row r="54" spans="1:24" x14ac:dyDescent="0.2">
      <c r="A54" s="562"/>
      <c r="B54" s="1044"/>
      <c r="C54" s="1044"/>
      <c r="D54" s="854"/>
      <c r="E54" s="839"/>
      <c r="F54" s="855"/>
      <c r="G54" s="60"/>
      <c r="H54" s="60"/>
      <c r="I54" s="244"/>
      <c r="J54" s="60"/>
      <c r="K54" s="60"/>
      <c r="L54" s="244"/>
      <c r="M54" s="60"/>
      <c r="N54" s="60"/>
      <c r="O54" s="244"/>
      <c r="P54" s="60"/>
      <c r="Q54" s="60"/>
      <c r="R54" s="244"/>
      <c r="S54" s="60"/>
      <c r="T54" s="60"/>
      <c r="U54" s="244"/>
      <c r="V54" s="60"/>
      <c r="W54" s="60"/>
      <c r="X54" s="636"/>
    </row>
    <row r="55" spans="1:24" ht="12.75" customHeight="1" x14ac:dyDescent="0.2">
      <c r="A55" s="563" t="s">
        <v>125</v>
      </c>
      <c r="B55" s="1115" t="s">
        <v>124</v>
      </c>
      <c r="C55" s="1128"/>
      <c r="D55" s="635">
        <f t="shared" si="1"/>
        <v>79747</v>
      </c>
      <c r="E55" s="89">
        <f t="shared" si="2"/>
        <v>0</v>
      </c>
      <c r="F55" s="637">
        <f t="shared" si="3"/>
        <v>79747</v>
      </c>
      <c r="G55" s="31">
        <v>0</v>
      </c>
      <c r="H55" s="29"/>
      <c r="I55" s="57">
        <f t="shared" si="4"/>
        <v>0</v>
      </c>
      <c r="J55" s="29">
        <v>79747</v>
      </c>
      <c r="K55" s="29"/>
      <c r="L55" s="57">
        <f t="shared" si="5"/>
        <v>79747</v>
      </c>
      <c r="M55" s="29"/>
      <c r="N55" s="29"/>
      <c r="O55" s="57">
        <f t="shared" si="6"/>
        <v>0</v>
      </c>
      <c r="P55" s="29">
        <v>0</v>
      </c>
      <c r="Q55" s="29"/>
      <c r="R55" s="57">
        <f t="shared" si="7"/>
        <v>0</v>
      </c>
      <c r="S55" s="29">
        <v>0</v>
      </c>
      <c r="T55" s="29"/>
      <c r="U55" s="57">
        <f t="shared" si="8"/>
        <v>0</v>
      </c>
      <c r="V55" s="29"/>
      <c r="W55" s="29"/>
      <c r="X55" s="561">
        <f t="shared" si="9"/>
        <v>0</v>
      </c>
    </row>
    <row r="56" spans="1:24" ht="12.75" customHeight="1" x14ac:dyDescent="0.2">
      <c r="A56" s="563" t="s">
        <v>127</v>
      </c>
      <c r="B56" s="1115" t="s">
        <v>126</v>
      </c>
      <c r="C56" s="1128"/>
      <c r="D56" s="635">
        <f t="shared" si="1"/>
        <v>0</v>
      </c>
      <c r="E56" s="89">
        <f t="shared" si="2"/>
        <v>0</v>
      </c>
      <c r="F56" s="637">
        <f t="shared" si="3"/>
        <v>0</v>
      </c>
      <c r="G56" s="31">
        <v>0</v>
      </c>
      <c r="H56" s="29"/>
      <c r="I56" s="57">
        <f t="shared" si="4"/>
        <v>0</v>
      </c>
      <c r="J56" s="29">
        <v>0</v>
      </c>
      <c r="K56" s="29"/>
      <c r="L56" s="57">
        <f t="shared" si="5"/>
        <v>0</v>
      </c>
      <c r="M56" s="29"/>
      <c r="N56" s="29"/>
      <c r="O56" s="57">
        <f t="shared" si="6"/>
        <v>0</v>
      </c>
      <c r="P56" s="29">
        <v>0</v>
      </c>
      <c r="Q56" s="29"/>
      <c r="R56" s="57">
        <f t="shared" si="7"/>
        <v>0</v>
      </c>
      <c r="S56" s="29">
        <v>0</v>
      </c>
      <c r="T56" s="29"/>
      <c r="U56" s="57">
        <f t="shared" si="8"/>
        <v>0</v>
      </c>
      <c r="V56" s="29"/>
      <c r="W56" s="29"/>
      <c r="X56" s="561">
        <f t="shared" si="9"/>
        <v>0</v>
      </c>
    </row>
    <row r="57" spans="1:24" ht="12.75" customHeight="1" x14ac:dyDescent="0.2">
      <c r="A57" s="563" t="s">
        <v>129</v>
      </c>
      <c r="B57" s="1115" t="s">
        <v>128</v>
      </c>
      <c r="C57" s="1128"/>
      <c r="D57" s="635">
        <f t="shared" si="1"/>
        <v>0</v>
      </c>
      <c r="E57" s="89">
        <f t="shared" si="2"/>
        <v>0</v>
      </c>
      <c r="F57" s="637">
        <f t="shared" si="3"/>
        <v>0</v>
      </c>
      <c r="G57" s="31">
        <v>0</v>
      </c>
      <c r="H57" s="29"/>
      <c r="I57" s="57">
        <f t="shared" si="4"/>
        <v>0</v>
      </c>
      <c r="J57" s="29">
        <v>0</v>
      </c>
      <c r="K57" s="29"/>
      <c r="L57" s="57">
        <f t="shared" si="5"/>
        <v>0</v>
      </c>
      <c r="M57" s="29"/>
      <c r="N57" s="29"/>
      <c r="O57" s="57">
        <f t="shared" si="6"/>
        <v>0</v>
      </c>
      <c r="P57" s="29">
        <v>0</v>
      </c>
      <c r="Q57" s="29"/>
      <c r="R57" s="57">
        <f t="shared" si="7"/>
        <v>0</v>
      </c>
      <c r="S57" s="29">
        <v>0</v>
      </c>
      <c r="T57" s="29"/>
      <c r="U57" s="57">
        <f t="shared" si="8"/>
        <v>0</v>
      </c>
      <c r="V57" s="29"/>
      <c r="W57" s="29"/>
      <c r="X57" s="561">
        <f t="shared" si="9"/>
        <v>0</v>
      </c>
    </row>
    <row r="58" spans="1:24" ht="12.75" customHeight="1" x14ac:dyDescent="0.2">
      <c r="A58" s="563" t="s">
        <v>131</v>
      </c>
      <c r="B58" s="1115" t="s">
        <v>130</v>
      </c>
      <c r="C58" s="1128"/>
      <c r="D58" s="635">
        <f t="shared" si="1"/>
        <v>4835</v>
      </c>
      <c r="E58" s="89">
        <f t="shared" si="2"/>
        <v>0</v>
      </c>
      <c r="F58" s="637">
        <f t="shared" si="3"/>
        <v>4835</v>
      </c>
      <c r="G58" s="31">
        <v>0</v>
      </c>
      <c r="H58" s="29"/>
      <c r="I58" s="57">
        <f t="shared" si="4"/>
        <v>0</v>
      </c>
      <c r="J58" s="29">
        <v>4835</v>
      </c>
      <c r="K58" s="29"/>
      <c r="L58" s="57">
        <f t="shared" si="5"/>
        <v>4835</v>
      </c>
      <c r="M58" s="29"/>
      <c r="N58" s="29"/>
      <c r="O58" s="57">
        <f t="shared" si="6"/>
        <v>0</v>
      </c>
      <c r="P58" s="29">
        <v>0</v>
      </c>
      <c r="Q58" s="29"/>
      <c r="R58" s="57">
        <f t="shared" si="7"/>
        <v>0</v>
      </c>
      <c r="S58" s="29">
        <v>0</v>
      </c>
      <c r="T58" s="29"/>
      <c r="U58" s="57">
        <f t="shared" si="8"/>
        <v>0</v>
      </c>
      <c r="V58" s="29"/>
      <c r="W58" s="29"/>
      <c r="X58" s="561">
        <f t="shared" si="9"/>
        <v>0</v>
      </c>
    </row>
    <row r="59" spans="1:24" s="44" customFormat="1" ht="12.75" customHeight="1" x14ac:dyDescent="0.2">
      <c r="A59" s="560" t="s">
        <v>132</v>
      </c>
      <c r="B59" s="1119" t="s">
        <v>160</v>
      </c>
      <c r="C59" s="1132"/>
      <c r="D59" s="635">
        <f t="shared" si="1"/>
        <v>84582</v>
      </c>
      <c r="E59" s="89">
        <f t="shared" si="2"/>
        <v>0</v>
      </c>
      <c r="F59" s="637">
        <f t="shared" si="3"/>
        <v>84582</v>
      </c>
      <c r="G59" s="634">
        <v>0</v>
      </c>
      <c r="H59" s="57"/>
      <c r="I59" s="57">
        <f t="shared" si="4"/>
        <v>0</v>
      </c>
      <c r="J59" s="57">
        <v>84582</v>
      </c>
      <c r="K59" s="57"/>
      <c r="L59" s="57">
        <f t="shared" si="5"/>
        <v>84582</v>
      </c>
      <c r="M59" s="57"/>
      <c r="N59" s="57"/>
      <c r="O59" s="57">
        <f t="shared" si="6"/>
        <v>0</v>
      </c>
      <c r="P59" s="57">
        <v>0</v>
      </c>
      <c r="Q59" s="57"/>
      <c r="R59" s="57">
        <f t="shared" si="7"/>
        <v>0</v>
      </c>
      <c r="S59" s="57">
        <v>0</v>
      </c>
      <c r="T59" s="57"/>
      <c r="U59" s="57">
        <f t="shared" si="8"/>
        <v>0</v>
      </c>
      <c r="V59" s="57"/>
      <c r="W59" s="57"/>
      <c r="X59" s="561">
        <f t="shared" si="9"/>
        <v>0</v>
      </c>
    </row>
    <row r="60" spans="1:24" x14ac:dyDescent="0.2">
      <c r="A60" s="562"/>
      <c r="B60" s="1044"/>
      <c r="C60" s="1044"/>
      <c r="D60" s="854"/>
      <c r="E60" s="839"/>
      <c r="F60" s="855"/>
      <c r="G60" s="60"/>
      <c r="H60" s="60"/>
      <c r="I60" s="244"/>
      <c r="J60" s="60"/>
      <c r="K60" s="60"/>
      <c r="L60" s="244"/>
      <c r="M60" s="60"/>
      <c r="N60" s="60"/>
      <c r="O60" s="244"/>
      <c r="P60" s="60"/>
      <c r="Q60" s="60"/>
      <c r="R60" s="244"/>
      <c r="S60" s="60"/>
      <c r="T60" s="60"/>
      <c r="U60" s="244"/>
      <c r="V60" s="60"/>
      <c r="W60" s="60"/>
      <c r="X60" s="636"/>
    </row>
    <row r="61" spans="1:24" hidden="1" x14ac:dyDescent="0.2">
      <c r="A61" s="102" t="s">
        <v>378</v>
      </c>
      <c r="B61" s="1133" t="s">
        <v>379</v>
      </c>
      <c r="C61" s="1133"/>
      <c r="D61" s="854">
        <f t="shared" si="1"/>
        <v>0</v>
      </c>
      <c r="E61" s="839">
        <f t="shared" si="2"/>
        <v>0</v>
      </c>
      <c r="F61" s="855">
        <f t="shared" si="3"/>
        <v>0</v>
      </c>
      <c r="G61" s="60">
        <v>0</v>
      </c>
      <c r="H61" s="60"/>
      <c r="I61" s="244">
        <f t="shared" si="4"/>
        <v>0</v>
      </c>
      <c r="J61" s="60">
        <v>0</v>
      </c>
      <c r="K61" s="60"/>
      <c r="L61" s="244">
        <f t="shared" si="5"/>
        <v>0</v>
      </c>
      <c r="M61" s="60"/>
      <c r="N61" s="60"/>
      <c r="O61" s="244">
        <f t="shared" si="6"/>
        <v>0</v>
      </c>
      <c r="P61" s="60">
        <v>0</v>
      </c>
      <c r="Q61" s="60"/>
      <c r="R61" s="244">
        <f t="shared" si="7"/>
        <v>0</v>
      </c>
      <c r="S61" s="60">
        <v>0</v>
      </c>
      <c r="T61" s="60"/>
      <c r="U61" s="244">
        <f t="shared" si="8"/>
        <v>0</v>
      </c>
      <c r="V61" s="60"/>
      <c r="W61" s="60"/>
      <c r="X61" s="636">
        <f t="shared" si="9"/>
        <v>0</v>
      </c>
    </row>
    <row r="62" spans="1:24" hidden="1" x14ac:dyDescent="0.2">
      <c r="A62" s="102" t="s">
        <v>391</v>
      </c>
      <c r="B62" s="1133" t="s">
        <v>392</v>
      </c>
      <c r="C62" s="1133"/>
      <c r="D62" s="854">
        <f t="shared" si="1"/>
        <v>0</v>
      </c>
      <c r="E62" s="839">
        <f t="shared" si="2"/>
        <v>0</v>
      </c>
      <c r="F62" s="855">
        <f t="shared" si="3"/>
        <v>0</v>
      </c>
      <c r="G62" s="60">
        <v>0</v>
      </c>
      <c r="H62" s="60"/>
      <c r="I62" s="244">
        <f t="shared" si="4"/>
        <v>0</v>
      </c>
      <c r="J62" s="60">
        <v>0</v>
      </c>
      <c r="K62" s="60"/>
      <c r="L62" s="244">
        <f t="shared" si="5"/>
        <v>0</v>
      </c>
      <c r="M62" s="60"/>
      <c r="N62" s="60"/>
      <c r="O62" s="244">
        <f t="shared" si="6"/>
        <v>0</v>
      </c>
      <c r="P62" s="60">
        <v>0</v>
      </c>
      <c r="Q62" s="60"/>
      <c r="R62" s="244">
        <f t="shared" si="7"/>
        <v>0</v>
      </c>
      <c r="S62" s="60">
        <v>0</v>
      </c>
      <c r="T62" s="60"/>
      <c r="U62" s="244">
        <f t="shared" si="8"/>
        <v>0</v>
      </c>
      <c r="V62" s="60"/>
      <c r="W62" s="60"/>
      <c r="X62" s="636">
        <f t="shared" si="9"/>
        <v>0</v>
      </c>
    </row>
    <row r="63" spans="1:24" ht="12.75" hidden="1" customHeight="1" x14ac:dyDescent="0.2">
      <c r="A63" s="102" t="s">
        <v>630</v>
      </c>
      <c r="B63" s="1133" t="s">
        <v>393</v>
      </c>
      <c r="C63" s="1133"/>
      <c r="D63" s="854">
        <f t="shared" si="1"/>
        <v>0</v>
      </c>
      <c r="E63" s="839">
        <f t="shared" si="2"/>
        <v>0</v>
      </c>
      <c r="F63" s="855">
        <f t="shared" si="3"/>
        <v>0</v>
      </c>
      <c r="G63" s="60">
        <v>0</v>
      </c>
      <c r="H63" s="60"/>
      <c r="I63" s="244">
        <f t="shared" si="4"/>
        <v>0</v>
      </c>
      <c r="J63" s="60">
        <v>0</v>
      </c>
      <c r="K63" s="60"/>
      <c r="L63" s="244">
        <f t="shared" si="5"/>
        <v>0</v>
      </c>
      <c r="M63" s="60"/>
      <c r="N63" s="60"/>
      <c r="O63" s="244">
        <f t="shared" si="6"/>
        <v>0</v>
      </c>
      <c r="P63" s="60">
        <v>0</v>
      </c>
      <c r="Q63" s="60"/>
      <c r="R63" s="244">
        <f t="shared" si="7"/>
        <v>0</v>
      </c>
      <c r="S63" s="60">
        <v>0</v>
      </c>
      <c r="T63" s="60"/>
      <c r="U63" s="244">
        <f t="shared" si="8"/>
        <v>0</v>
      </c>
      <c r="V63" s="60"/>
      <c r="W63" s="60"/>
      <c r="X63" s="636">
        <f t="shared" si="9"/>
        <v>0</v>
      </c>
    </row>
    <row r="64" spans="1:24" s="44" customFormat="1" ht="12.75" customHeight="1" x14ac:dyDescent="0.2">
      <c r="A64" s="560" t="s">
        <v>134</v>
      </c>
      <c r="B64" s="1119" t="s">
        <v>158</v>
      </c>
      <c r="C64" s="1132"/>
      <c r="D64" s="635">
        <f t="shared" si="1"/>
        <v>0</v>
      </c>
      <c r="E64" s="89">
        <f t="shared" si="2"/>
        <v>0</v>
      </c>
      <c r="F64" s="637">
        <f t="shared" si="3"/>
        <v>0</v>
      </c>
      <c r="G64" s="634">
        <v>0</v>
      </c>
      <c r="H64" s="57">
        <f t="shared" ref="H64:Q64" si="32">SUM(H61:H63)</f>
        <v>0</v>
      </c>
      <c r="I64" s="57">
        <f t="shared" si="4"/>
        <v>0</v>
      </c>
      <c r="J64" s="57">
        <v>0</v>
      </c>
      <c r="K64" s="57">
        <f t="shared" si="32"/>
        <v>0</v>
      </c>
      <c r="L64" s="57">
        <f t="shared" si="5"/>
        <v>0</v>
      </c>
      <c r="M64" s="57">
        <f t="shared" si="32"/>
        <v>0</v>
      </c>
      <c r="N64" s="57">
        <f t="shared" si="32"/>
        <v>0</v>
      </c>
      <c r="O64" s="57">
        <f t="shared" si="6"/>
        <v>0</v>
      </c>
      <c r="P64" s="57">
        <v>0</v>
      </c>
      <c r="Q64" s="57">
        <f t="shared" si="32"/>
        <v>0</v>
      </c>
      <c r="R64" s="57">
        <f t="shared" si="7"/>
        <v>0</v>
      </c>
      <c r="S64" s="57">
        <v>0</v>
      </c>
      <c r="T64" s="57">
        <f t="shared" ref="T64:U64" si="33">SUM(T61:T63)</f>
        <v>0</v>
      </c>
      <c r="U64" s="57">
        <f t="shared" si="33"/>
        <v>0</v>
      </c>
      <c r="V64" s="57">
        <f t="shared" ref="V64:W64" si="34">SUM(V61:V63)</f>
        <v>0</v>
      </c>
      <c r="W64" s="57">
        <f t="shared" si="34"/>
        <v>0</v>
      </c>
      <c r="X64" s="561">
        <f t="shared" si="9"/>
        <v>0</v>
      </c>
    </row>
    <row r="65" spans="1:24" x14ac:dyDescent="0.2">
      <c r="A65" s="562"/>
      <c r="B65" s="1047"/>
      <c r="C65" s="1047"/>
      <c r="D65" s="854"/>
      <c r="E65" s="839"/>
      <c r="F65" s="855"/>
      <c r="G65" s="60"/>
      <c r="H65" s="60"/>
      <c r="I65" s="244"/>
      <c r="J65" s="60"/>
      <c r="K65" s="60"/>
      <c r="L65" s="244"/>
      <c r="M65" s="60"/>
      <c r="N65" s="60"/>
      <c r="O65" s="244"/>
      <c r="P65" s="60"/>
      <c r="Q65" s="60"/>
      <c r="R65" s="244"/>
      <c r="S65" s="60"/>
      <c r="T65" s="60"/>
      <c r="U65" s="244"/>
      <c r="V65" s="60"/>
      <c r="W65" s="60"/>
      <c r="X65" s="636"/>
    </row>
    <row r="66" spans="1:24" s="44" customFormat="1" ht="12.75" customHeight="1" x14ac:dyDescent="0.2">
      <c r="A66" s="845" t="s">
        <v>135</v>
      </c>
      <c r="B66" s="1119" t="s">
        <v>157</v>
      </c>
      <c r="C66" s="1132"/>
      <c r="D66" s="635">
        <f t="shared" si="1"/>
        <v>732919</v>
      </c>
      <c r="E66" s="89">
        <f t="shared" si="2"/>
        <v>13554</v>
      </c>
      <c r="F66" s="637">
        <f t="shared" si="3"/>
        <v>746473</v>
      </c>
      <c r="G66" s="634">
        <v>320314</v>
      </c>
      <c r="H66" s="57">
        <f t="shared" ref="H66:Q66" si="35">+H64+H59+H53+H44+H35+H9+H7</f>
        <v>13983</v>
      </c>
      <c r="I66" s="57">
        <f t="shared" si="4"/>
        <v>334297</v>
      </c>
      <c r="J66" s="57">
        <v>260437</v>
      </c>
      <c r="K66" s="57">
        <f t="shared" si="35"/>
        <v>1403</v>
      </c>
      <c r="L66" s="57">
        <f t="shared" si="5"/>
        <v>261840</v>
      </c>
      <c r="M66" s="57">
        <f t="shared" si="35"/>
        <v>134972</v>
      </c>
      <c r="N66" s="57">
        <f t="shared" si="35"/>
        <v>0</v>
      </c>
      <c r="O66" s="57">
        <f t="shared" si="6"/>
        <v>134972</v>
      </c>
      <c r="P66" s="57">
        <v>16750</v>
      </c>
      <c r="Q66" s="57">
        <f t="shared" si="35"/>
        <v>-1832</v>
      </c>
      <c r="R66" s="57">
        <f t="shared" si="7"/>
        <v>14918</v>
      </c>
      <c r="S66" s="57">
        <v>446</v>
      </c>
      <c r="T66" s="57">
        <f t="shared" ref="T66:U66" si="36">+T64+T59+T53+T44+T35+T9+T7</f>
        <v>0</v>
      </c>
      <c r="U66" s="57">
        <f t="shared" si="36"/>
        <v>446</v>
      </c>
      <c r="V66" s="57">
        <f t="shared" ref="V66:W66" si="37">+V64+V59+V53+V44+V35+V9+V7</f>
        <v>0</v>
      </c>
      <c r="W66" s="57">
        <f t="shared" si="37"/>
        <v>0</v>
      </c>
      <c r="X66" s="561">
        <f t="shared" si="9"/>
        <v>0</v>
      </c>
    </row>
    <row r="67" spans="1:24" x14ac:dyDescent="0.2">
      <c r="A67" s="103"/>
      <c r="D67" s="854"/>
      <c r="E67" s="839"/>
      <c r="F67" s="855"/>
      <c r="I67" s="244"/>
      <c r="L67" s="244"/>
      <c r="O67" s="244"/>
      <c r="R67" s="244"/>
      <c r="U67" s="244"/>
      <c r="X67" s="636"/>
    </row>
    <row r="68" spans="1:24" ht="12.75" customHeight="1" thickBot="1" x14ac:dyDescent="0.25">
      <c r="A68" s="846" t="s">
        <v>375</v>
      </c>
      <c r="B68" s="1130" t="s">
        <v>376</v>
      </c>
      <c r="C68" s="1131"/>
      <c r="D68" s="856">
        <f t="shared" si="1"/>
        <v>2268</v>
      </c>
      <c r="E68" s="847">
        <f t="shared" si="2"/>
        <v>0</v>
      </c>
      <c r="F68" s="857">
        <f t="shared" si="3"/>
        <v>2268</v>
      </c>
      <c r="G68" s="852">
        <v>0</v>
      </c>
      <c r="H68" s="848"/>
      <c r="I68" s="848">
        <f t="shared" si="4"/>
        <v>0</v>
      </c>
      <c r="J68" s="848"/>
      <c r="K68" s="848"/>
      <c r="L68" s="848">
        <f t="shared" si="5"/>
        <v>0</v>
      </c>
      <c r="M68" s="848"/>
      <c r="N68" s="848"/>
      <c r="O68" s="848">
        <f>+N68+M68</f>
        <v>0</v>
      </c>
      <c r="P68" s="849">
        <v>2268</v>
      </c>
      <c r="Q68" s="848"/>
      <c r="R68" s="848">
        <f t="shared" si="7"/>
        <v>2268</v>
      </c>
      <c r="S68" s="848">
        <v>0</v>
      </c>
      <c r="T68" s="848"/>
      <c r="U68" s="848">
        <f t="shared" si="8"/>
        <v>0</v>
      </c>
      <c r="V68" s="848"/>
      <c r="W68" s="848"/>
      <c r="X68" s="850">
        <f t="shared" si="9"/>
        <v>0</v>
      </c>
    </row>
  </sheetData>
  <mergeCells count="72">
    <mergeCell ref="S2:U2"/>
    <mergeCell ref="S3:U3"/>
    <mergeCell ref="B61:C61"/>
    <mergeCell ref="B62:C62"/>
    <mergeCell ref="B63:C63"/>
    <mergeCell ref="B46:C46"/>
    <mergeCell ref="B33:C33"/>
    <mergeCell ref="B34:C34"/>
    <mergeCell ref="B35:C35"/>
    <mergeCell ref="B37:C37"/>
    <mergeCell ref="B38:C38"/>
    <mergeCell ref="B39:C39"/>
    <mergeCell ref="B40:C40"/>
    <mergeCell ref="B41:C41"/>
    <mergeCell ref="B42:C42"/>
    <mergeCell ref="B43:C43"/>
    <mergeCell ref="B64:C64"/>
    <mergeCell ref="B66:C66"/>
    <mergeCell ref="B59:C59"/>
    <mergeCell ref="B47:C47"/>
    <mergeCell ref="B48:C48"/>
    <mergeCell ref="B49:C49"/>
    <mergeCell ref="B50:C50"/>
    <mergeCell ref="B51:C51"/>
    <mergeCell ref="B52:C52"/>
    <mergeCell ref="B53:C53"/>
    <mergeCell ref="B55:C55"/>
    <mergeCell ref="B56:C56"/>
    <mergeCell ref="B57:C57"/>
    <mergeCell ref="B58:C58"/>
    <mergeCell ref="B27:C27"/>
    <mergeCell ref="B28:C28"/>
    <mergeCell ref="B29:C29"/>
    <mergeCell ref="B30:C30"/>
    <mergeCell ref="B31:C31"/>
    <mergeCell ref="B22:C22"/>
    <mergeCell ref="B23:C23"/>
    <mergeCell ref="B24:C24"/>
    <mergeCell ref="B25:C25"/>
    <mergeCell ref="B26:C26"/>
    <mergeCell ref="V2:X2"/>
    <mergeCell ref="V3:X3"/>
    <mergeCell ref="B6:C6"/>
    <mergeCell ref="A2:A4"/>
    <mergeCell ref="B2:C4"/>
    <mergeCell ref="D2:F2"/>
    <mergeCell ref="G2:I2"/>
    <mergeCell ref="B5:C5"/>
    <mergeCell ref="J2:L2"/>
    <mergeCell ref="M2:O2"/>
    <mergeCell ref="P2:R2"/>
    <mergeCell ref="D3:F3"/>
    <mergeCell ref="G3:I3"/>
    <mergeCell ref="J3:L3"/>
    <mergeCell ref="M3:O3"/>
    <mergeCell ref="P3:R3"/>
    <mergeCell ref="B68:C68"/>
    <mergeCell ref="B20:C20"/>
    <mergeCell ref="B7:C7"/>
    <mergeCell ref="B9:C9"/>
    <mergeCell ref="B11:C11"/>
    <mergeCell ref="B12:C12"/>
    <mergeCell ref="B13:C13"/>
    <mergeCell ref="B14:C14"/>
    <mergeCell ref="B15:C15"/>
    <mergeCell ref="B16:C16"/>
    <mergeCell ref="B17:C17"/>
    <mergeCell ref="B18:C18"/>
    <mergeCell ref="B44:C44"/>
    <mergeCell ref="B19:C19"/>
    <mergeCell ref="B32:C32"/>
    <mergeCell ref="B21:C21"/>
  </mergeCells>
  <printOptions horizontalCentered="1"/>
  <pageMargins left="0.31496062992125984" right="0.31496062992125984" top="0.74803149606299213" bottom="0.55118110236220474" header="0.31496062992125984" footer="0.31496062992125984"/>
  <pageSetup paperSize="9" scale="60" orientation="landscape" cellComments="asDisplayed" r:id="rId1"/>
  <headerFooter>
    <oddHeader>&amp;C&amp;"Times New Roman,Félkövér"&amp;12Martonvásár Város Önkormányzatának kiadásai 2017.
Városfejlesztési feladatok saját forrásból&amp;R&amp;"Times New Roman,Félkövér"&amp;12 5/b. melléklet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65"/>
  <sheetViews>
    <sheetView zoomScaleNormal="100" workbookViewId="0">
      <pane xSplit="3" ySplit="4" topLeftCell="N32" activePane="bottomRight" state="frozen"/>
      <selection pane="topRight" activeCell="D1" sqref="D1"/>
      <selection pane="bottomLeft" activeCell="A5" sqref="A5"/>
      <selection pane="bottomRight" activeCell="V48" sqref="V48"/>
    </sheetView>
  </sheetViews>
  <sheetFormatPr defaultColWidth="9.140625" defaultRowHeight="15" x14ac:dyDescent="0.25"/>
  <cols>
    <col min="1" max="1" width="8.140625" style="837" customWidth="1"/>
    <col min="2" max="2" width="7.140625" style="27" customWidth="1"/>
    <col min="3" max="3" width="31" style="27" customWidth="1"/>
    <col min="4" max="4" width="11.42578125" style="18" customWidth="1"/>
    <col min="5" max="5" width="8.42578125" style="18" customWidth="1"/>
    <col min="6" max="6" width="10.28515625" style="18" customWidth="1"/>
    <col min="7" max="7" width="7.5703125" style="18" customWidth="1"/>
    <col min="8" max="8" width="7.140625" style="18" customWidth="1"/>
    <col min="9" max="9" width="8.140625" style="18" customWidth="1"/>
    <col min="10" max="10" width="7.85546875" style="18" customWidth="1"/>
    <col min="11" max="11" width="7.7109375" style="18" customWidth="1"/>
    <col min="12" max="30" width="7.85546875" style="18" customWidth="1"/>
    <col min="31" max="31" width="7.140625" style="18" customWidth="1"/>
    <col min="32" max="32" width="8" style="18" customWidth="1"/>
    <col min="33" max="33" width="7.5703125" style="18" customWidth="1"/>
    <col min="34" max="34" width="8" style="18" customWidth="1"/>
    <col min="35" max="35" width="7.85546875" style="18" customWidth="1"/>
    <col min="36" max="36" width="7.28515625" style="18" customWidth="1"/>
    <col min="37" max="39" width="8.85546875" style="1" customWidth="1"/>
    <col min="40" max="16384" width="9.140625" style="18"/>
  </cols>
  <sheetData>
    <row r="1" spans="1:36" s="1" customFormat="1" ht="12.75" customHeight="1" thickBot="1" x14ac:dyDescent="0.3">
      <c r="A1" s="837"/>
      <c r="B1" s="27"/>
      <c r="C1" s="27"/>
      <c r="AH1" s="65" t="s">
        <v>390</v>
      </c>
      <c r="AI1" s="65"/>
      <c r="AJ1" s="65"/>
    </row>
    <row r="2" spans="1:36" s="33" customFormat="1" ht="28.5" customHeight="1" x14ac:dyDescent="0.25">
      <c r="A2" s="1138" t="s">
        <v>0</v>
      </c>
      <c r="B2" s="1140" t="s">
        <v>182</v>
      </c>
      <c r="C2" s="1159"/>
      <c r="D2" s="1158" t="s">
        <v>180</v>
      </c>
      <c r="E2" s="1134"/>
      <c r="F2" s="1135"/>
      <c r="G2" s="1146" t="s">
        <v>724</v>
      </c>
      <c r="H2" s="1134"/>
      <c r="I2" s="1134"/>
      <c r="J2" s="1134" t="s">
        <v>725</v>
      </c>
      <c r="K2" s="1134"/>
      <c r="L2" s="1134"/>
      <c r="M2" s="1134" t="s">
        <v>726</v>
      </c>
      <c r="N2" s="1134"/>
      <c r="O2" s="1134"/>
      <c r="P2" s="1134" t="s">
        <v>854</v>
      </c>
      <c r="Q2" s="1134"/>
      <c r="R2" s="1134"/>
      <c r="S2" s="1134" t="s">
        <v>855</v>
      </c>
      <c r="T2" s="1134"/>
      <c r="U2" s="1134"/>
      <c r="V2" s="1134" t="s">
        <v>727</v>
      </c>
      <c r="W2" s="1134"/>
      <c r="X2" s="1134"/>
      <c r="Y2" s="1134" t="s">
        <v>845</v>
      </c>
      <c r="Z2" s="1134"/>
      <c r="AA2" s="1134"/>
      <c r="AB2" s="1134" t="s">
        <v>934</v>
      </c>
      <c r="AC2" s="1134"/>
      <c r="AD2" s="1134"/>
      <c r="AE2" s="1134" t="s">
        <v>847</v>
      </c>
      <c r="AF2" s="1134"/>
      <c r="AG2" s="1134"/>
      <c r="AH2" s="1134" t="s">
        <v>848</v>
      </c>
      <c r="AI2" s="1134"/>
      <c r="AJ2" s="1135"/>
    </row>
    <row r="3" spans="1:36" s="33" customFormat="1" ht="12.75" x14ac:dyDescent="0.25">
      <c r="A3" s="1139"/>
      <c r="B3" s="1125"/>
      <c r="C3" s="1160"/>
      <c r="D3" s="1161"/>
      <c r="E3" s="1136"/>
      <c r="F3" s="1137"/>
      <c r="G3" s="1150" t="s">
        <v>293</v>
      </c>
      <c r="H3" s="1136"/>
      <c r="I3" s="1136"/>
      <c r="J3" s="1136" t="s">
        <v>293</v>
      </c>
      <c r="K3" s="1136"/>
      <c r="L3" s="1136"/>
      <c r="M3" s="1136" t="s">
        <v>293</v>
      </c>
      <c r="N3" s="1136"/>
      <c r="O3" s="1136"/>
      <c r="P3" s="1136" t="s">
        <v>293</v>
      </c>
      <c r="Q3" s="1136"/>
      <c r="R3" s="1136"/>
      <c r="S3" s="1136" t="s">
        <v>293</v>
      </c>
      <c r="T3" s="1136"/>
      <c r="U3" s="1136"/>
      <c r="V3" s="1136" t="s">
        <v>293</v>
      </c>
      <c r="W3" s="1136"/>
      <c r="X3" s="1136"/>
      <c r="Y3" s="1136" t="s">
        <v>846</v>
      </c>
      <c r="Z3" s="1136"/>
      <c r="AA3" s="1136"/>
      <c r="AB3" s="1136" t="s">
        <v>846</v>
      </c>
      <c r="AC3" s="1136"/>
      <c r="AD3" s="1136"/>
      <c r="AE3" s="1136" t="s">
        <v>293</v>
      </c>
      <c r="AF3" s="1136"/>
      <c r="AG3" s="1136"/>
      <c r="AH3" s="1136" t="s">
        <v>293</v>
      </c>
      <c r="AI3" s="1136"/>
      <c r="AJ3" s="1137"/>
    </row>
    <row r="4" spans="1:36" s="17" customFormat="1" ht="25.5" x14ac:dyDescent="0.25">
      <c r="A4" s="1139"/>
      <c r="B4" s="1125"/>
      <c r="C4" s="1160"/>
      <c r="D4" s="853" t="s">
        <v>956</v>
      </c>
      <c r="E4" s="974" t="s">
        <v>786</v>
      </c>
      <c r="F4" s="844" t="s">
        <v>957</v>
      </c>
      <c r="G4" s="851" t="s">
        <v>956</v>
      </c>
      <c r="H4" s="974" t="s">
        <v>786</v>
      </c>
      <c r="I4" s="974" t="s">
        <v>957</v>
      </c>
      <c r="J4" s="974" t="s">
        <v>956</v>
      </c>
      <c r="K4" s="974" t="s">
        <v>786</v>
      </c>
      <c r="L4" s="974" t="s">
        <v>957</v>
      </c>
      <c r="M4" s="974" t="s">
        <v>956</v>
      </c>
      <c r="N4" s="974" t="s">
        <v>786</v>
      </c>
      <c r="O4" s="974" t="s">
        <v>957</v>
      </c>
      <c r="P4" s="974" t="s">
        <v>956</v>
      </c>
      <c r="Q4" s="974" t="s">
        <v>786</v>
      </c>
      <c r="R4" s="974" t="s">
        <v>957</v>
      </c>
      <c r="S4" s="974" t="s">
        <v>956</v>
      </c>
      <c r="T4" s="974" t="s">
        <v>786</v>
      </c>
      <c r="U4" s="974" t="s">
        <v>957</v>
      </c>
      <c r="V4" s="974" t="s">
        <v>956</v>
      </c>
      <c r="W4" s="974" t="s">
        <v>786</v>
      </c>
      <c r="X4" s="974" t="s">
        <v>957</v>
      </c>
      <c r="Y4" s="974" t="s">
        <v>956</v>
      </c>
      <c r="Z4" s="974" t="s">
        <v>786</v>
      </c>
      <c r="AA4" s="974" t="s">
        <v>957</v>
      </c>
      <c r="AB4" s="974" t="s">
        <v>956</v>
      </c>
      <c r="AC4" s="974" t="s">
        <v>786</v>
      </c>
      <c r="AD4" s="974" t="s">
        <v>957</v>
      </c>
      <c r="AE4" s="974" t="s">
        <v>956</v>
      </c>
      <c r="AF4" s="974" t="s">
        <v>786</v>
      </c>
      <c r="AG4" s="974" t="s">
        <v>957</v>
      </c>
      <c r="AH4" s="974" t="s">
        <v>956</v>
      </c>
      <c r="AI4" s="974" t="s">
        <v>786</v>
      </c>
      <c r="AJ4" s="844" t="s">
        <v>957</v>
      </c>
    </row>
    <row r="5" spans="1:36" s="44" customFormat="1" ht="12.75" customHeight="1" x14ac:dyDescent="0.2">
      <c r="A5" s="560" t="s">
        <v>27</v>
      </c>
      <c r="B5" s="1119" t="s">
        <v>174</v>
      </c>
      <c r="C5" s="1104"/>
      <c r="D5" s="635">
        <f>+G5+J5+AE5+AH5+M5+V5+Y5+P5+S5+AB5</f>
        <v>0</v>
      </c>
      <c r="E5" s="89">
        <f t="shared" ref="E5:F5" si="0">+H5+K5+AF5+AI5+N5+W5+Z5+Q5+T5+AC5</f>
        <v>0</v>
      </c>
      <c r="F5" s="637">
        <f t="shared" si="0"/>
        <v>0</v>
      </c>
      <c r="G5" s="634">
        <v>0</v>
      </c>
      <c r="H5" s="57"/>
      <c r="I5" s="57">
        <f>+H5+G5</f>
        <v>0</v>
      </c>
      <c r="J5" s="57">
        <v>0</v>
      </c>
      <c r="K5" s="57"/>
      <c r="L5" s="57">
        <f>+K5+J5</f>
        <v>0</v>
      </c>
      <c r="M5" s="57"/>
      <c r="N5" s="57"/>
      <c r="O5" s="57">
        <f>+N5+M5</f>
        <v>0</v>
      </c>
      <c r="P5" s="57">
        <v>0</v>
      </c>
      <c r="Q5" s="57"/>
      <c r="R5" s="57">
        <f>+Q5+P5</f>
        <v>0</v>
      </c>
      <c r="S5" s="57"/>
      <c r="T5" s="57"/>
      <c r="U5" s="57">
        <f>+T5+S5</f>
        <v>0</v>
      </c>
      <c r="V5" s="57">
        <v>0</v>
      </c>
      <c r="W5" s="57"/>
      <c r="X5" s="57">
        <f>+W5+V5</f>
        <v>0</v>
      </c>
      <c r="Y5" s="57">
        <v>0</v>
      </c>
      <c r="Z5" s="57"/>
      <c r="AA5" s="57">
        <f>+Z5+Y5</f>
        <v>0</v>
      </c>
      <c r="AB5" s="57"/>
      <c r="AC5" s="57"/>
      <c r="AD5" s="57">
        <f>+AC5+AB5</f>
        <v>0</v>
      </c>
      <c r="AE5" s="57"/>
      <c r="AF5" s="57"/>
      <c r="AG5" s="57">
        <f>+AE5+AF5</f>
        <v>0</v>
      </c>
      <c r="AH5" s="57"/>
      <c r="AI5" s="57"/>
      <c r="AJ5" s="561">
        <f>+AI5+AH5</f>
        <v>0</v>
      </c>
    </row>
    <row r="6" spans="1:36" s="44" customFormat="1" ht="12.75" customHeight="1" x14ac:dyDescent="0.2">
      <c r="A6" s="560" t="s">
        <v>33</v>
      </c>
      <c r="B6" s="1119" t="s">
        <v>173</v>
      </c>
      <c r="C6" s="1104"/>
      <c r="D6" s="635">
        <f t="shared" ref="D6:D65" si="1">+G6+J6+AE6+AH6+M6+V6+Y6+P6+S6+AB6</f>
        <v>1051</v>
      </c>
      <c r="E6" s="89">
        <f t="shared" ref="E6:E65" si="2">+H6+K6+AF6+AI6+N6+W6+Z6+Q6+T6+AC6</f>
        <v>9969</v>
      </c>
      <c r="F6" s="637">
        <f t="shared" ref="F6:F65" si="3">+I6+L6+AG6+AJ6+O6+X6+AA6+R6+U6+AD6</f>
        <v>11020</v>
      </c>
      <c r="G6" s="634">
        <v>0</v>
      </c>
      <c r="H6" s="57"/>
      <c r="I6" s="57">
        <f t="shared" ref="I6:I65" si="4">+H6+G6</f>
        <v>0</v>
      </c>
      <c r="J6" s="57">
        <v>0</v>
      </c>
      <c r="K6" s="57"/>
      <c r="L6" s="57">
        <f t="shared" ref="L6:L65" si="5">+K6+J6</f>
        <v>0</v>
      </c>
      <c r="M6" s="57"/>
      <c r="N6" s="57"/>
      <c r="O6" s="57">
        <f t="shared" ref="O6:O65" si="6">+N6+M6</f>
        <v>0</v>
      </c>
      <c r="P6" s="57">
        <v>0</v>
      </c>
      <c r="Q6" s="57">
        <v>6057</v>
      </c>
      <c r="R6" s="57">
        <f t="shared" ref="R6:R65" si="7">+Q6+P6</f>
        <v>6057</v>
      </c>
      <c r="S6" s="57"/>
      <c r="T6" s="57"/>
      <c r="U6" s="57">
        <f t="shared" ref="U6:U65" si="8">+T6+S6</f>
        <v>0</v>
      </c>
      <c r="V6" s="57">
        <v>1051</v>
      </c>
      <c r="W6" s="57">
        <v>736</v>
      </c>
      <c r="X6" s="57">
        <f t="shared" ref="X6:X65" si="9">+W6+V6</f>
        <v>1787</v>
      </c>
      <c r="Y6" s="57">
        <v>0</v>
      </c>
      <c r="Z6" s="57"/>
      <c r="AA6" s="57">
        <f t="shared" ref="AA6:AA65" si="10">+Z6+Y6</f>
        <v>0</v>
      </c>
      <c r="AB6" s="57"/>
      <c r="AC6" s="57">
        <v>3176</v>
      </c>
      <c r="AD6" s="57">
        <f t="shared" ref="AD6:AD63" si="11">+AC6+AB6</f>
        <v>3176</v>
      </c>
      <c r="AE6" s="57"/>
      <c r="AF6" s="57"/>
      <c r="AG6" s="57">
        <f t="shared" ref="AG6:AG65" si="12">+AE6+AF6</f>
        <v>0</v>
      </c>
      <c r="AH6" s="57"/>
      <c r="AI6" s="57"/>
      <c r="AJ6" s="561">
        <f t="shared" ref="AJ6:AJ65" si="13">+AI6+AH6</f>
        <v>0</v>
      </c>
    </row>
    <row r="7" spans="1:36" s="44" customFormat="1" ht="12.75" customHeight="1" x14ac:dyDescent="0.2">
      <c r="A7" s="560" t="s">
        <v>34</v>
      </c>
      <c r="B7" s="1119" t="s">
        <v>172</v>
      </c>
      <c r="C7" s="1104"/>
      <c r="D7" s="635">
        <f t="shared" si="1"/>
        <v>1051</v>
      </c>
      <c r="E7" s="89">
        <f t="shared" si="2"/>
        <v>9969</v>
      </c>
      <c r="F7" s="637">
        <f t="shared" si="3"/>
        <v>11020</v>
      </c>
      <c r="G7" s="634">
        <v>0</v>
      </c>
      <c r="H7" s="57"/>
      <c r="I7" s="57">
        <f t="shared" si="4"/>
        <v>0</v>
      </c>
      <c r="J7" s="57">
        <v>0</v>
      </c>
      <c r="K7" s="57"/>
      <c r="L7" s="57">
        <f t="shared" si="5"/>
        <v>0</v>
      </c>
      <c r="M7" s="57"/>
      <c r="N7" s="57"/>
      <c r="O7" s="57">
        <f t="shared" si="6"/>
        <v>0</v>
      </c>
      <c r="P7" s="57">
        <f>+P6+P5</f>
        <v>0</v>
      </c>
      <c r="Q7" s="57">
        <f t="shared" ref="Q7:R7" si="14">+Q6+Q5</f>
        <v>6057</v>
      </c>
      <c r="R7" s="57">
        <f t="shared" si="14"/>
        <v>6057</v>
      </c>
      <c r="S7" s="57"/>
      <c r="T7" s="57"/>
      <c r="U7" s="57">
        <f t="shared" si="8"/>
        <v>0</v>
      </c>
      <c r="V7" s="57">
        <v>1051</v>
      </c>
      <c r="W7" s="57">
        <f t="shared" ref="W7:X7" si="15">+W6+W5</f>
        <v>736</v>
      </c>
      <c r="X7" s="57">
        <f t="shared" si="15"/>
        <v>1787</v>
      </c>
      <c r="Y7" s="57">
        <v>0</v>
      </c>
      <c r="Z7" s="57"/>
      <c r="AA7" s="57">
        <f t="shared" si="10"/>
        <v>0</v>
      </c>
      <c r="AB7" s="57">
        <f>+AB6+AB5</f>
        <v>0</v>
      </c>
      <c r="AC7" s="57">
        <f t="shared" ref="AC7:AD7" si="16">+AC6+AC5</f>
        <v>3176</v>
      </c>
      <c r="AD7" s="57">
        <f t="shared" si="16"/>
        <v>3176</v>
      </c>
      <c r="AE7" s="57"/>
      <c r="AF7" s="57"/>
      <c r="AG7" s="57">
        <f t="shared" si="12"/>
        <v>0</v>
      </c>
      <c r="AH7" s="57"/>
      <c r="AI7" s="57"/>
      <c r="AJ7" s="561">
        <f t="shared" si="13"/>
        <v>0</v>
      </c>
    </row>
    <row r="8" spans="1:36" ht="12" customHeight="1" x14ac:dyDescent="0.25">
      <c r="A8" s="562"/>
      <c r="B8" s="1044"/>
      <c r="C8" s="1045"/>
      <c r="D8" s="854"/>
      <c r="E8" s="839"/>
      <c r="F8" s="855"/>
      <c r="G8" s="60"/>
      <c r="H8" s="60"/>
      <c r="I8" s="244"/>
      <c r="J8" s="60"/>
      <c r="K8" s="60"/>
      <c r="L8" s="244"/>
      <c r="M8" s="60"/>
      <c r="N8" s="60"/>
      <c r="O8" s="244"/>
      <c r="P8" s="60"/>
      <c r="Q8" s="60"/>
      <c r="R8" s="244"/>
      <c r="S8" s="60"/>
      <c r="T8" s="60"/>
      <c r="U8" s="244"/>
      <c r="V8" s="60"/>
      <c r="W8" s="60"/>
      <c r="X8" s="244"/>
      <c r="Y8" s="60"/>
      <c r="Z8" s="60"/>
      <c r="AA8" s="244"/>
      <c r="AB8" s="244"/>
      <c r="AC8" s="244"/>
      <c r="AD8" s="244"/>
      <c r="AE8" s="60"/>
      <c r="AF8" s="60"/>
      <c r="AG8" s="244"/>
      <c r="AH8" s="60"/>
      <c r="AI8" s="60"/>
      <c r="AJ8" s="636"/>
    </row>
    <row r="9" spans="1:36" s="44" customFormat="1" ht="12.75" customHeight="1" x14ac:dyDescent="0.2">
      <c r="A9" s="560" t="s">
        <v>35</v>
      </c>
      <c r="B9" s="1119" t="s">
        <v>171</v>
      </c>
      <c r="C9" s="1104"/>
      <c r="D9" s="635">
        <f t="shared" si="1"/>
        <v>332</v>
      </c>
      <c r="E9" s="89">
        <f t="shared" si="2"/>
        <v>2101</v>
      </c>
      <c r="F9" s="637">
        <f t="shared" si="3"/>
        <v>2433</v>
      </c>
      <c r="G9" s="634">
        <v>0</v>
      </c>
      <c r="H9" s="57"/>
      <c r="I9" s="57">
        <f t="shared" si="4"/>
        <v>0</v>
      </c>
      <c r="J9" s="57">
        <v>0</v>
      </c>
      <c r="K9" s="57"/>
      <c r="L9" s="57">
        <f t="shared" si="5"/>
        <v>0</v>
      </c>
      <c r="M9" s="57"/>
      <c r="N9" s="57"/>
      <c r="O9" s="57">
        <f t="shared" si="6"/>
        <v>0</v>
      </c>
      <c r="P9" s="57">
        <v>0</v>
      </c>
      <c r="Q9" s="57">
        <v>1339</v>
      </c>
      <c r="R9" s="57">
        <f t="shared" si="7"/>
        <v>1339</v>
      </c>
      <c r="S9" s="57"/>
      <c r="T9" s="57"/>
      <c r="U9" s="57">
        <f t="shared" si="8"/>
        <v>0</v>
      </c>
      <c r="V9" s="57">
        <v>332</v>
      </c>
      <c r="W9" s="57">
        <v>143</v>
      </c>
      <c r="X9" s="57">
        <f t="shared" si="9"/>
        <v>475</v>
      </c>
      <c r="Y9" s="57">
        <v>0</v>
      </c>
      <c r="Z9" s="57"/>
      <c r="AA9" s="57">
        <f t="shared" si="10"/>
        <v>0</v>
      </c>
      <c r="AB9" s="57"/>
      <c r="AC9" s="57">
        <v>619</v>
      </c>
      <c r="AD9" s="57">
        <f t="shared" si="11"/>
        <v>619</v>
      </c>
      <c r="AE9" s="57"/>
      <c r="AF9" s="57"/>
      <c r="AG9" s="57">
        <f t="shared" si="12"/>
        <v>0</v>
      </c>
      <c r="AH9" s="57"/>
      <c r="AI9" s="57"/>
      <c r="AJ9" s="561">
        <f t="shared" si="13"/>
        <v>0</v>
      </c>
    </row>
    <row r="10" spans="1:36" ht="11.25" customHeight="1" x14ac:dyDescent="0.25">
      <c r="A10" s="102"/>
      <c r="C10" s="355"/>
      <c r="D10" s="854"/>
      <c r="E10" s="839"/>
      <c r="F10" s="855"/>
      <c r="G10" s="60"/>
      <c r="H10" s="60"/>
      <c r="I10" s="244"/>
      <c r="J10" s="60"/>
      <c r="K10" s="60"/>
      <c r="L10" s="244"/>
      <c r="M10" s="60"/>
      <c r="N10" s="60"/>
      <c r="O10" s="244"/>
      <c r="P10" s="60"/>
      <c r="Q10" s="60"/>
      <c r="R10" s="244"/>
      <c r="S10" s="60"/>
      <c r="T10" s="60"/>
      <c r="U10" s="244"/>
      <c r="V10" s="60"/>
      <c r="W10" s="60"/>
      <c r="X10" s="244"/>
      <c r="Y10" s="60"/>
      <c r="Z10" s="60"/>
      <c r="AA10" s="244"/>
      <c r="AB10" s="244"/>
      <c r="AC10" s="244"/>
      <c r="AD10" s="244"/>
      <c r="AE10" s="60"/>
      <c r="AF10" s="60"/>
      <c r="AG10" s="244"/>
      <c r="AH10" s="60"/>
      <c r="AI10" s="60"/>
      <c r="AJ10" s="636"/>
    </row>
    <row r="11" spans="1:36" ht="12.75" customHeight="1" x14ac:dyDescent="0.25">
      <c r="A11" s="563" t="s">
        <v>42</v>
      </c>
      <c r="B11" s="1115" t="s">
        <v>41</v>
      </c>
      <c r="C11" s="1114"/>
      <c r="D11" s="635">
        <f t="shared" si="1"/>
        <v>0</v>
      </c>
      <c r="E11" s="89">
        <f t="shared" si="2"/>
        <v>0</v>
      </c>
      <c r="F11" s="637">
        <f t="shared" si="3"/>
        <v>0</v>
      </c>
      <c r="G11" s="31">
        <v>0</v>
      </c>
      <c r="H11" s="29"/>
      <c r="I11" s="57">
        <f t="shared" si="4"/>
        <v>0</v>
      </c>
      <c r="J11" s="29">
        <v>0</v>
      </c>
      <c r="K11" s="29"/>
      <c r="L11" s="57">
        <f t="shared" si="5"/>
        <v>0</v>
      </c>
      <c r="M11" s="29"/>
      <c r="N11" s="29"/>
      <c r="O11" s="57">
        <f t="shared" si="6"/>
        <v>0</v>
      </c>
      <c r="P11" s="29">
        <v>0</v>
      </c>
      <c r="Q11" s="29"/>
      <c r="R11" s="57">
        <f t="shared" si="7"/>
        <v>0</v>
      </c>
      <c r="S11" s="29"/>
      <c r="T11" s="29"/>
      <c r="U11" s="57">
        <f t="shared" si="8"/>
        <v>0</v>
      </c>
      <c r="V11" s="29">
        <v>0</v>
      </c>
      <c r="W11" s="29"/>
      <c r="X11" s="57">
        <f t="shared" si="9"/>
        <v>0</v>
      </c>
      <c r="Y11" s="29">
        <v>0</v>
      </c>
      <c r="Z11" s="29"/>
      <c r="AA11" s="57">
        <f t="shared" si="10"/>
        <v>0</v>
      </c>
      <c r="AB11" s="57"/>
      <c r="AC11" s="57"/>
      <c r="AD11" s="57">
        <f t="shared" si="11"/>
        <v>0</v>
      </c>
      <c r="AE11" s="29"/>
      <c r="AF11" s="29"/>
      <c r="AG11" s="57">
        <f t="shared" si="12"/>
        <v>0</v>
      </c>
      <c r="AH11" s="29"/>
      <c r="AI11" s="29"/>
      <c r="AJ11" s="561">
        <f t="shared" si="13"/>
        <v>0</v>
      </c>
    </row>
    <row r="12" spans="1:36" ht="12.75" customHeight="1" x14ac:dyDescent="0.25">
      <c r="A12" s="563" t="s">
        <v>44</v>
      </c>
      <c r="B12" s="1115" t="s">
        <v>43</v>
      </c>
      <c r="C12" s="1114"/>
      <c r="D12" s="635">
        <f t="shared" si="1"/>
        <v>103</v>
      </c>
      <c r="E12" s="89">
        <f t="shared" si="2"/>
        <v>807</v>
      </c>
      <c r="F12" s="637">
        <f t="shared" si="3"/>
        <v>910</v>
      </c>
      <c r="G12" s="31">
        <v>0</v>
      </c>
      <c r="H12" s="29"/>
      <c r="I12" s="57">
        <f t="shared" si="4"/>
        <v>0</v>
      </c>
      <c r="J12" s="29">
        <v>0</v>
      </c>
      <c r="K12" s="29"/>
      <c r="L12" s="57">
        <f t="shared" si="5"/>
        <v>0</v>
      </c>
      <c r="M12" s="29"/>
      <c r="N12" s="29"/>
      <c r="O12" s="57">
        <f t="shared" si="6"/>
        <v>0</v>
      </c>
      <c r="P12" s="29">
        <v>0</v>
      </c>
      <c r="Q12" s="29"/>
      <c r="R12" s="57">
        <f t="shared" si="7"/>
        <v>0</v>
      </c>
      <c r="S12" s="29"/>
      <c r="T12" s="29"/>
      <c r="U12" s="57">
        <f t="shared" si="8"/>
        <v>0</v>
      </c>
      <c r="V12" s="29">
        <v>0</v>
      </c>
      <c r="W12" s="29"/>
      <c r="X12" s="57">
        <f t="shared" si="9"/>
        <v>0</v>
      </c>
      <c r="Y12" s="29">
        <v>103</v>
      </c>
      <c r="Z12" s="29"/>
      <c r="AA12" s="57">
        <f t="shared" si="10"/>
        <v>103</v>
      </c>
      <c r="AB12" s="57"/>
      <c r="AC12" s="57">
        <v>807</v>
      </c>
      <c r="AD12" s="57">
        <f t="shared" si="11"/>
        <v>807</v>
      </c>
      <c r="AE12" s="29"/>
      <c r="AF12" s="29"/>
      <c r="AG12" s="57">
        <f t="shared" si="12"/>
        <v>0</v>
      </c>
      <c r="AH12" s="29"/>
      <c r="AI12" s="29"/>
      <c r="AJ12" s="561">
        <f t="shared" si="13"/>
        <v>0</v>
      </c>
    </row>
    <row r="13" spans="1:36" ht="12.75" customHeight="1" x14ac:dyDescent="0.25">
      <c r="A13" s="563" t="s">
        <v>46</v>
      </c>
      <c r="B13" s="1115" t="s">
        <v>45</v>
      </c>
      <c r="C13" s="1114"/>
      <c r="D13" s="635">
        <f t="shared" si="1"/>
        <v>0</v>
      </c>
      <c r="E13" s="89">
        <f t="shared" si="2"/>
        <v>0</v>
      </c>
      <c r="F13" s="637">
        <f t="shared" si="3"/>
        <v>0</v>
      </c>
      <c r="G13" s="31">
        <v>0</v>
      </c>
      <c r="H13" s="29"/>
      <c r="I13" s="57">
        <f t="shared" si="4"/>
        <v>0</v>
      </c>
      <c r="J13" s="29">
        <v>0</v>
      </c>
      <c r="K13" s="29"/>
      <c r="L13" s="57">
        <f t="shared" si="5"/>
        <v>0</v>
      </c>
      <c r="M13" s="29"/>
      <c r="N13" s="29"/>
      <c r="O13" s="57">
        <f t="shared" si="6"/>
        <v>0</v>
      </c>
      <c r="P13" s="29">
        <v>0</v>
      </c>
      <c r="Q13" s="29"/>
      <c r="R13" s="57">
        <f t="shared" si="7"/>
        <v>0</v>
      </c>
      <c r="S13" s="29"/>
      <c r="T13" s="29"/>
      <c r="U13" s="57">
        <f t="shared" si="8"/>
        <v>0</v>
      </c>
      <c r="V13" s="29">
        <v>0</v>
      </c>
      <c r="W13" s="29"/>
      <c r="X13" s="57">
        <f t="shared" si="9"/>
        <v>0</v>
      </c>
      <c r="Y13" s="29">
        <v>0</v>
      </c>
      <c r="Z13" s="29"/>
      <c r="AA13" s="57">
        <f t="shared" si="10"/>
        <v>0</v>
      </c>
      <c r="AB13" s="57"/>
      <c r="AC13" s="57"/>
      <c r="AD13" s="57">
        <f t="shared" si="11"/>
        <v>0</v>
      </c>
      <c r="AE13" s="29"/>
      <c r="AF13" s="29"/>
      <c r="AG13" s="57">
        <f t="shared" si="12"/>
        <v>0</v>
      </c>
      <c r="AH13" s="29"/>
      <c r="AI13" s="29"/>
      <c r="AJ13" s="561">
        <f t="shared" si="13"/>
        <v>0</v>
      </c>
    </row>
    <row r="14" spans="1:36" s="44" customFormat="1" ht="12.75" customHeight="1" x14ac:dyDescent="0.2">
      <c r="A14" s="560" t="s">
        <v>47</v>
      </c>
      <c r="B14" s="1119" t="s">
        <v>170</v>
      </c>
      <c r="C14" s="1104"/>
      <c r="D14" s="635">
        <f t="shared" si="1"/>
        <v>103</v>
      </c>
      <c r="E14" s="89">
        <f t="shared" si="2"/>
        <v>807</v>
      </c>
      <c r="F14" s="637">
        <f t="shared" si="3"/>
        <v>910</v>
      </c>
      <c r="G14" s="634">
        <v>0</v>
      </c>
      <c r="H14" s="57">
        <f t="shared" ref="H14:AF14" si="17">SUM(H11:H13)</f>
        <v>0</v>
      </c>
      <c r="I14" s="57">
        <f t="shared" si="4"/>
        <v>0</v>
      </c>
      <c r="J14" s="57">
        <v>0</v>
      </c>
      <c r="K14" s="57">
        <f t="shared" si="17"/>
        <v>0</v>
      </c>
      <c r="L14" s="57">
        <f t="shared" si="5"/>
        <v>0</v>
      </c>
      <c r="M14" s="57">
        <f t="shared" si="17"/>
        <v>0</v>
      </c>
      <c r="N14" s="57">
        <f t="shared" si="17"/>
        <v>0</v>
      </c>
      <c r="O14" s="57">
        <f t="shared" si="6"/>
        <v>0</v>
      </c>
      <c r="P14" s="57">
        <v>0</v>
      </c>
      <c r="Q14" s="57">
        <f t="shared" si="17"/>
        <v>0</v>
      </c>
      <c r="R14" s="57">
        <f t="shared" si="7"/>
        <v>0</v>
      </c>
      <c r="S14" s="57">
        <f t="shared" si="17"/>
        <v>0</v>
      </c>
      <c r="T14" s="57">
        <f t="shared" si="17"/>
        <v>0</v>
      </c>
      <c r="U14" s="57">
        <f t="shared" si="8"/>
        <v>0</v>
      </c>
      <c r="V14" s="57">
        <v>0</v>
      </c>
      <c r="W14" s="57">
        <f t="shared" si="17"/>
        <v>0</v>
      </c>
      <c r="X14" s="57">
        <f t="shared" si="9"/>
        <v>0</v>
      </c>
      <c r="Y14" s="57">
        <v>103</v>
      </c>
      <c r="Z14" s="57">
        <f t="shared" si="17"/>
        <v>0</v>
      </c>
      <c r="AA14" s="57">
        <f t="shared" si="10"/>
        <v>103</v>
      </c>
      <c r="AB14" s="57">
        <f>+AB13+AB12+AB11</f>
        <v>0</v>
      </c>
      <c r="AC14" s="57">
        <f t="shared" ref="AC14:AD14" si="18">+AC13+AC12+AC11</f>
        <v>807</v>
      </c>
      <c r="AD14" s="57">
        <f t="shared" si="18"/>
        <v>807</v>
      </c>
      <c r="AE14" s="57">
        <f t="shared" si="17"/>
        <v>0</v>
      </c>
      <c r="AF14" s="57">
        <f t="shared" si="17"/>
        <v>0</v>
      </c>
      <c r="AG14" s="57">
        <f t="shared" si="12"/>
        <v>0</v>
      </c>
      <c r="AH14" s="57">
        <f>SUM(AH11:AH13)</f>
        <v>0</v>
      </c>
      <c r="AI14" s="57">
        <f>SUM(AI11:AI13)</f>
        <v>0</v>
      </c>
      <c r="AJ14" s="561">
        <f t="shared" si="13"/>
        <v>0</v>
      </c>
    </row>
    <row r="15" spans="1:36" ht="12.75" customHeight="1" x14ac:dyDescent="0.25">
      <c r="A15" s="563" t="s">
        <v>49</v>
      </c>
      <c r="B15" s="1115" t="s">
        <v>48</v>
      </c>
      <c r="C15" s="1114"/>
      <c r="D15" s="635">
        <f t="shared" si="1"/>
        <v>0</v>
      </c>
      <c r="E15" s="89">
        <f t="shared" si="2"/>
        <v>0</v>
      </c>
      <c r="F15" s="637">
        <f t="shared" si="3"/>
        <v>0</v>
      </c>
      <c r="G15" s="31">
        <v>0</v>
      </c>
      <c r="H15" s="29"/>
      <c r="I15" s="57">
        <f t="shared" si="4"/>
        <v>0</v>
      </c>
      <c r="J15" s="29">
        <v>0</v>
      </c>
      <c r="K15" s="29"/>
      <c r="L15" s="57">
        <f t="shared" si="5"/>
        <v>0</v>
      </c>
      <c r="M15" s="29"/>
      <c r="N15" s="29"/>
      <c r="O15" s="57">
        <f t="shared" si="6"/>
        <v>0</v>
      </c>
      <c r="P15" s="29">
        <v>0</v>
      </c>
      <c r="Q15" s="29"/>
      <c r="R15" s="57">
        <f t="shared" si="7"/>
        <v>0</v>
      </c>
      <c r="S15" s="29"/>
      <c r="T15" s="29"/>
      <c r="U15" s="57">
        <f t="shared" si="8"/>
        <v>0</v>
      </c>
      <c r="V15" s="29">
        <v>0</v>
      </c>
      <c r="W15" s="29"/>
      <c r="X15" s="57">
        <f t="shared" si="9"/>
        <v>0</v>
      </c>
      <c r="Y15" s="29">
        <v>0</v>
      </c>
      <c r="Z15" s="29"/>
      <c r="AA15" s="57">
        <f t="shared" si="10"/>
        <v>0</v>
      </c>
      <c r="AB15" s="57"/>
      <c r="AC15" s="57"/>
      <c r="AD15" s="57">
        <f t="shared" si="11"/>
        <v>0</v>
      </c>
      <c r="AE15" s="29"/>
      <c r="AF15" s="29"/>
      <c r="AG15" s="57">
        <f t="shared" si="12"/>
        <v>0</v>
      </c>
      <c r="AH15" s="29"/>
      <c r="AI15" s="29"/>
      <c r="AJ15" s="561">
        <f t="shared" si="13"/>
        <v>0</v>
      </c>
    </row>
    <row r="16" spans="1:36" ht="12.75" customHeight="1" x14ac:dyDescent="0.25">
      <c r="A16" s="563" t="s">
        <v>51</v>
      </c>
      <c r="B16" s="1115" t="s">
        <v>50</v>
      </c>
      <c r="C16" s="1114"/>
      <c r="D16" s="635">
        <f t="shared" si="1"/>
        <v>0</v>
      </c>
      <c r="E16" s="89">
        <f t="shared" si="2"/>
        <v>0</v>
      </c>
      <c r="F16" s="637">
        <f t="shared" si="3"/>
        <v>0</v>
      </c>
      <c r="G16" s="31">
        <v>0</v>
      </c>
      <c r="H16" s="29"/>
      <c r="I16" s="57">
        <f t="shared" si="4"/>
        <v>0</v>
      </c>
      <c r="J16" s="29">
        <v>0</v>
      </c>
      <c r="K16" s="29"/>
      <c r="L16" s="57">
        <f t="shared" si="5"/>
        <v>0</v>
      </c>
      <c r="M16" s="29"/>
      <c r="N16" s="29"/>
      <c r="O16" s="57">
        <f t="shared" si="6"/>
        <v>0</v>
      </c>
      <c r="P16" s="29">
        <v>0</v>
      </c>
      <c r="Q16" s="29"/>
      <c r="R16" s="57">
        <f t="shared" si="7"/>
        <v>0</v>
      </c>
      <c r="S16" s="29"/>
      <c r="T16" s="29"/>
      <c r="U16" s="57">
        <f t="shared" si="8"/>
        <v>0</v>
      </c>
      <c r="V16" s="29">
        <v>0</v>
      </c>
      <c r="W16" s="29"/>
      <c r="X16" s="57">
        <f t="shared" si="9"/>
        <v>0</v>
      </c>
      <c r="Y16" s="29">
        <v>0</v>
      </c>
      <c r="Z16" s="29"/>
      <c r="AA16" s="57">
        <f t="shared" si="10"/>
        <v>0</v>
      </c>
      <c r="AB16" s="57"/>
      <c r="AC16" s="57"/>
      <c r="AD16" s="57">
        <f t="shared" si="11"/>
        <v>0</v>
      </c>
      <c r="AE16" s="29"/>
      <c r="AF16" s="29"/>
      <c r="AG16" s="57">
        <f t="shared" si="12"/>
        <v>0</v>
      </c>
      <c r="AH16" s="29"/>
      <c r="AI16" s="29"/>
      <c r="AJ16" s="561">
        <f t="shared" si="13"/>
        <v>0</v>
      </c>
    </row>
    <row r="17" spans="1:36" s="44" customFormat="1" ht="12.75" customHeight="1" x14ac:dyDescent="0.2">
      <c r="A17" s="560" t="s">
        <v>52</v>
      </c>
      <c r="B17" s="1119" t="s">
        <v>169</v>
      </c>
      <c r="C17" s="1104"/>
      <c r="D17" s="635">
        <f t="shared" si="1"/>
        <v>0</v>
      </c>
      <c r="E17" s="89">
        <f t="shared" si="2"/>
        <v>0</v>
      </c>
      <c r="F17" s="637">
        <f t="shared" si="3"/>
        <v>0</v>
      </c>
      <c r="G17" s="634">
        <v>0</v>
      </c>
      <c r="H17" s="57">
        <f t="shared" ref="H17:AF17" si="19">+H15+H16</f>
        <v>0</v>
      </c>
      <c r="I17" s="57">
        <f t="shared" si="4"/>
        <v>0</v>
      </c>
      <c r="J17" s="57">
        <v>0</v>
      </c>
      <c r="K17" s="57">
        <f t="shared" si="19"/>
        <v>0</v>
      </c>
      <c r="L17" s="57">
        <f t="shared" si="5"/>
        <v>0</v>
      </c>
      <c r="M17" s="57">
        <f t="shared" si="19"/>
        <v>0</v>
      </c>
      <c r="N17" s="57">
        <f t="shared" si="19"/>
        <v>0</v>
      </c>
      <c r="O17" s="57">
        <f t="shared" si="6"/>
        <v>0</v>
      </c>
      <c r="P17" s="57">
        <v>0</v>
      </c>
      <c r="Q17" s="57">
        <f t="shared" si="19"/>
        <v>0</v>
      </c>
      <c r="R17" s="57">
        <f t="shared" si="7"/>
        <v>0</v>
      </c>
      <c r="S17" s="57">
        <f t="shared" si="19"/>
        <v>0</v>
      </c>
      <c r="T17" s="57">
        <f t="shared" si="19"/>
        <v>0</v>
      </c>
      <c r="U17" s="57">
        <f t="shared" si="8"/>
        <v>0</v>
      </c>
      <c r="V17" s="57">
        <v>0</v>
      </c>
      <c r="W17" s="57">
        <f t="shared" si="19"/>
        <v>0</v>
      </c>
      <c r="X17" s="57">
        <f t="shared" si="9"/>
        <v>0</v>
      </c>
      <c r="Y17" s="57">
        <v>0</v>
      </c>
      <c r="Z17" s="57">
        <f t="shared" si="19"/>
        <v>0</v>
      </c>
      <c r="AA17" s="57">
        <f t="shared" si="10"/>
        <v>0</v>
      </c>
      <c r="AB17" s="57"/>
      <c r="AC17" s="57"/>
      <c r="AD17" s="57">
        <f t="shared" si="11"/>
        <v>0</v>
      </c>
      <c r="AE17" s="57">
        <f t="shared" si="19"/>
        <v>0</v>
      </c>
      <c r="AF17" s="57">
        <f t="shared" si="19"/>
        <v>0</v>
      </c>
      <c r="AG17" s="57">
        <f t="shared" si="12"/>
        <v>0</v>
      </c>
      <c r="AH17" s="57">
        <f>+AH15+AH16</f>
        <v>0</v>
      </c>
      <c r="AI17" s="57">
        <f>+AI15+AI16</f>
        <v>0</v>
      </c>
      <c r="AJ17" s="561">
        <f t="shared" si="13"/>
        <v>0</v>
      </c>
    </row>
    <row r="18" spans="1:36" ht="12.75" customHeight="1" x14ac:dyDescent="0.25">
      <c r="A18" s="563" t="s">
        <v>54</v>
      </c>
      <c r="B18" s="1115" t="s">
        <v>53</v>
      </c>
      <c r="C18" s="1114"/>
      <c r="D18" s="635">
        <f t="shared" si="1"/>
        <v>0</v>
      </c>
      <c r="E18" s="89">
        <f t="shared" si="2"/>
        <v>0</v>
      </c>
      <c r="F18" s="637">
        <f t="shared" si="3"/>
        <v>0</v>
      </c>
      <c r="G18" s="31">
        <v>0</v>
      </c>
      <c r="H18" s="29"/>
      <c r="I18" s="57">
        <f t="shared" si="4"/>
        <v>0</v>
      </c>
      <c r="J18" s="29">
        <v>0</v>
      </c>
      <c r="K18" s="29"/>
      <c r="L18" s="57">
        <f t="shared" si="5"/>
        <v>0</v>
      </c>
      <c r="M18" s="29"/>
      <c r="N18" s="29"/>
      <c r="O18" s="57">
        <f t="shared" si="6"/>
        <v>0</v>
      </c>
      <c r="P18" s="29">
        <v>0</v>
      </c>
      <c r="Q18" s="29"/>
      <c r="R18" s="57">
        <f t="shared" si="7"/>
        <v>0</v>
      </c>
      <c r="S18" s="29"/>
      <c r="T18" s="29"/>
      <c r="U18" s="57">
        <f t="shared" si="8"/>
        <v>0</v>
      </c>
      <c r="V18" s="29">
        <v>0</v>
      </c>
      <c r="W18" s="29"/>
      <c r="X18" s="57">
        <f t="shared" si="9"/>
        <v>0</v>
      </c>
      <c r="Y18" s="29">
        <v>0</v>
      </c>
      <c r="Z18" s="29"/>
      <c r="AA18" s="57">
        <f t="shared" si="10"/>
        <v>0</v>
      </c>
      <c r="AB18" s="57"/>
      <c r="AC18" s="57"/>
      <c r="AD18" s="57">
        <f t="shared" si="11"/>
        <v>0</v>
      </c>
      <c r="AE18" s="29"/>
      <c r="AF18" s="29"/>
      <c r="AG18" s="57">
        <f t="shared" si="12"/>
        <v>0</v>
      </c>
      <c r="AH18" s="29"/>
      <c r="AI18" s="29"/>
      <c r="AJ18" s="561">
        <f t="shared" si="13"/>
        <v>0</v>
      </c>
    </row>
    <row r="19" spans="1:36" ht="12.75" customHeight="1" x14ac:dyDescent="0.25">
      <c r="A19" s="563" t="s">
        <v>56</v>
      </c>
      <c r="B19" s="1115" t="s">
        <v>55</v>
      </c>
      <c r="C19" s="1114"/>
      <c r="D19" s="635">
        <f t="shared" si="1"/>
        <v>0</v>
      </c>
      <c r="E19" s="89">
        <f t="shared" si="2"/>
        <v>0</v>
      </c>
      <c r="F19" s="637">
        <f t="shared" si="3"/>
        <v>0</v>
      </c>
      <c r="G19" s="31">
        <v>0</v>
      </c>
      <c r="H19" s="29"/>
      <c r="I19" s="57">
        <f t="shared" si="4"/>
        <v>0</v>
      </c>
      <c r="J19" s="29">
        <v>0</v>
      </c>
      <c r="K19" s="29"/>
      <c r="L19" s="57">
        <f t="shared" si="5"/>
        <v>0</v>
      </c>
      <c r="M19" s="29"/>
      <c r="N19" s="29"/>
      <c r="O19" s="57">
        <f t="shared" si="6"/>
        <v>0</v>
      </c>
      <c r="P19" s="29">
        <v>0</v>
      </c>
      <c r="Q19" s="29"/>
      <c r="R19" s="57">
        <f t="shared" si="7"/>
        <v>0</v>
      </c>
      <c r="S19" s="29"/>
      <c r="T19" s="29"/>
      <c r="U19" s="57">
        <f t="shared" si="8"/>
        <v>0</v>
      </c>
      <c r="V19" s="29">
        <v>0</v>
      </c>
      <c r="W19" s="29"/>
      <c r="X19" s="57">
        <f t="shared" si="9"/>
        <v>0</v>
      </c>
      <c r="Y19" s="29">
        <v>0</v>
      </c>
      <c r="Z19" s="29"/>
      <c r="AA19" s="57">
        <f t="shared" si="10"/>
        <v>0</v>
      </c>
      <c r="AB19" s="57"/>
      <c r="AC19" s="57"/>
      <c r="AD19" s="57">
        <f t="shared" si="11"/>
        <v>0</v>
      </c>
      <c r="AE19" s="29"/>
      <c r="AF19" s="29"/>
      <c r="AG19" s="57">
        <f t="shared" si="12"/>
        <v>0</v>
      </c>
      <c r="AH19" s="29"/>
      <c r="AI19" s="29"/>
      <c r="AJ19" s="561">
        <f t="shared" si="13"/>
        <v>0</v>
      </c>
    </row>
    <row r="20" spans="1:36" ht="12.75" customHeight="1" x14ac:dyDescent="0.25">
      <c r="A20" s="563" t="s">
        <v>57</v>
      </c>
      <c r="B20" s="1115" t="s">
        <v>167</v>
      </c>
      <c r="C20" s="1114"/>
      <c r="D20" s="635">
        <f t="shared" si="1"/>
        <v>0</v>
      </c>
      <c r="E20" s="89">
        <f t="shared" si="2"/>
        <v>0</v>
      </c>
      <c r="F20" s="637">
        <f t="shared" si="3"/>
        <v>0</v>
      </c>
      <c r="G20" s="31">
        <v>0</v>
      </c>
      <c r="H20" s="29"/>
      <c r="I20" s="57">
        <f t="shared" si="4"/>
        <v>0</v>
      </c>
      <c r="J20" s="29">
        <v>0</v>
      </c>
      <c r="K20" s="29"/>
      <c r="L20" s="57">
        <f t="shared" si="5"/>
        <v>0</v>
      </c>
      <c r="M20" s="29"/>
      <c r="N20" s="29"/>
      <c r="O20" s="57">
        <f t="shared" si="6"/>
        <v>0</v>
      </c>
      <c r="P20" s="29">
        <v>0</v>
      </c>
      <c r="Q20" s="29"/>
      <c r="R20" s="57">
        <f t="shared" si="7"/>
        <v>0</v>
      </c>
      <c r="S20" s="29"/>
      <c r="T20" s="29"/>
      <c r="U20" s="57">
        <f t="shared" si="8"/>
        <v>0</v>
      </c>
      <c r="V20" s="29">
        <v>0</v>
      </c>
      <c r="W20" s="29"/>
      <c r="X20" s="57">
        <f t="shared" si="9"/>
        <v>0</v>
      </c>
      <c r="Y20" s="29">
        <v>0</v>
      </c>
      <c r="Z20" s="29"/>
      <c r="AA20" s="57">
        <f t="shared" si="10"/>
        <v>0</v>
      </c>
      <c r="AB20" s="57"/>
      <c r="AC20" s="57"/>
      <c r="AD20" s="57">
        <f t="shared" si="11"/>
        <v>0</v>
      </c>
      <c r="AE20" s="29"/>
      <c r="AF20" s="29"/>
      <c r="AG20" s="57">
        <f t="shared" si="12"/>
        <v>0</v>
      </c>
      <c r="AH20" s="29"/>
      <c r="AI20" s="29"/>
      <c r="AJ20" s="561">
        <f t="shared" si="13"/>
        <v>0</v>
      </c>
    </row>
    <row r="21" spans="1:36" ht="12.75" customHeight="1" x14ac:dyDescent="0.25">
      <c r="A21" s="563" t="s">
        <v>59</v>
      </c>
      <c r="B21" s="1115" t="s">
        <v>58</v>
      </c>
      <c r="C21" s="1114"/>
      <c r="D21" s="635">
        <f t="shared" si="1"/>
        <v>0</v>
      </c>
      <c r="E21" s="89">
        <f t="shared" si="2"/>
        <v>0</v>
      </c>
      <c r="F21" s="637">
        <f t="shared" si="3"/>
        <v>0</v>
      </c>
      <c r="G21" s="31">
        <v>0</v>
      </c>
      <c r="H21" s="29"/>
      <c r="I21" s="57">
        <f t="shared" si="4"/>
        <v>0</v>
      </c>
      <c r="J21" s="29">
        <v>0</v>
      </c>
      <c r="K21" s="29"/>
      <c r="L21" s="57">
        <f t="shared" si="5"/>
        <v>0</v>
      </c>
      <c r="M21" s="29"/>
      <c r="N21" s="29"/>
      <c r="O21" s="57">
        <f t="shared" si="6"/>
        <v>0</v>
      </c>
      <c r="P21" s="29">
        <v>0</v>
      </c>
      <c r="Q21" s="29"/>
      <c r="R21" s="57">
        <f t="shared" si="7"/>
        <v>0</v>
      </c>
      <c r="S21" s="29"/>
      <c r="T21" s="29"/>
      <c r="U21" s="57">
        <f t="shared" si="8"/>
        <v>0</v>
      </c>
      <c r="V21" s="29">
        <v>0</v>
      </c>
      <c r="W21" s="29"/>
      <c r="X21" s="57">
        <f t="shared" si="9"/>
        <v>0</v>
      </c>
      <c r="Y21" s="29">
        <v>0</v>
      </c>
      <c r="Z21" s="29"/>
      <c r="AA21" s="57">
        <f t="shared" si="10"/>
        <v>0</v>
      </c>
      <c r="AB21" s="57"/>
      <c r="AC21" s="57"/>
      <c r="AD21" s="57">
        <f t="shared" si="11"/>
        <v>0</v>
      </c>
      <c r="AE21" s="29"/>
      <c r="AF21" s="29"/>
      <c r="AG21" s="57">
        <f t="shared" si="12"/>
        <v>0</v>
      </c>
      <c r="AH21" s="29"/>
      <c r="AI21" s="29"/>
      <c r="AJ21" s="561">
        <f t="shared" si="13"/>
        <v>0</v>
      </c>
    </row>
    <row r="22" spans="1:36" ht="12.75" customHeight="1" x14ac:dyDescent="0.25">
      <c r="A22" s="563" t="s">
        <v>60</v>
      </c>
      <c r="B22" s="1115" t="s">
        <v>166</v>
      </c>
      <c r="C22" s="1114"/>
      <c r="D22" s="635">
        <f t="shared" si="1"/>
        <v>0</v>
      </c>
      <c r="E22" s="89">
        <f t="shared" si="2"/>
        <v>0</v>
      </c>
      <c r="F22" s="637">
        <f t="shared" si="3"/>
        <v>0</v>
      </c>
      <c r="G22" s="31">
        <v>0</v>
      </c>
      <c r="H22" s="29"/>
      <c r="I22" s="57">
        <f t="shared" si="4"/>
        <v>0</v>
      </c>
      <c r="J22" s="29">
        <v>0</v>
      </c>
      <c r="K22" s="29"/>
      <c r="L22" s="57">
        <f t="shared" si="5"/>
        <v>0</v>
      </c>
      <c r="M22" s="29"/>
      <c r="N22" s="29"/>
      <c r="O22" s="57">
        <f t="shared" si="6"/>
        <v>0</v>
      </c>
      <c r="P22" s="29">
        <v>0</v>
      </c>
      <c r="Q22" s="29"/>
      <c r="R22" s="57">
        <f t="shared" si="7"/>
        <v>0</v>
      </c>
      <c r="S22" s="29"/>
      <c r="T22" s="29"/>
      <c r="U22" s="57">
        <f t="shared" si="8"/>
        <v>0</v>
      </c>
      <c r="V22" s="29">
        <v>0</v>
      </c>
      <c r="W22" s="29"/>
      <c r="X22" s="57">
        <f t="shared" si="9"/>
        <v>0</v>
      </c>
      <c r="Y22" s="29">
        <v>0</v>
      </c>
      <c r="Z22" s="29"/>
      <c r="AA22" s="57">
        <f t="shared" si="10"/>
        <v>0</v>
      </c>
      <c r="AB22" s="57"/>
      <c r="AC22" s="57"/>
      <c r="AD22" s="57">
        <f t="shared" si="11"/>
        <v>0</v>
      </c>
      <c r="AE22" s="29"/>
      <c r="AF22" s="29"/>
      <c r="AG22" s="57">
        <f t="shared" si="12"/>
        <v>0</v>
      </c>
      <c r="AH22" s="29"/>
      <c r="AI22" s="29"/>
      <c r="AJ22" s="561">
        <f t="shared" si="13"/>
        <v>0</v>
      </c>
    </row>
    <row r="23" spans="1:36" ht="12.75" customHeight="1" x14ac:dyDescent="0.25">
      <c r="A23" s="563" t="s">
        <v>63</v>
      </c>
      <c r="B23" s="1115" t="s">
        <v>62</v>
      </c>
      <c r="C23" s="1114"/>
      <c r="D23" s="635">
        <f t="shared" si="1"/>
        <v>4911</v>
      </c>
      <c r="E23" s="89">
        <f t="shared" si="2"/>
        <v>3150</v>
      </c>
      <c r="F23" s="637">
        <f t="shared" si="3"/>
        <v>8061</v>
      </c>
      <c r="G23" s="31">
        <v>2658</v>
      </c>
      <c r="H23" s="29"/>
      <c r="I23" s="57">
        <f t="shared" si="4"/>
        <v>2658</v>
      </c>
      <c r="J23" s="29">
        <v>0</v>
      </c>
      <c r="K23" s="29"/>
      <c r="L23" s="57">
        <f t="shared" si="5"/>
        <v>0</v>
      </c>
      <c r="M23" s="29">
        <f>1300-490</f>
        <v>810</v>
      </c>
      <c r="N23" s="29"/>
      <c r="O23" s="57">
        <f t="shared" si="6"/>
        <v>810</v>
      </c>
      <c r="P23" s="29">
        <v>0</v>
      </c>
      <c r="Q23" s="29">
        <v>1000</v>
      </c>
      <c r="R23" s="57">
        <f t="shared" si="7"/>
        <v>1000</v>
      </c>
      <c r="S23" s="29"/>
      <c r="T23" s="29"/>
      <c r="U23" s="57">
        <f t="shared" si="8"/>
        <v>0</v>
      </c>
      <c r="V23" s="29">
        <v>43</v>
      </c>
      <c r="W23" s="29"/>
      <c r="X23" s="57">
        <f t="shared" si="9"/>
        <v>43</v>
      </c>
      <c r="Y23" s="29">
        <v>1400</v>
      </c>
      <c r="Z23" s="29"/>
      <c r="AA23" s="57">
        <f t="shared" si="10"/>
        <v>1400</v>
      </c>
      <c r="AB23" s="57"/>
      <c r="AC23" s="57">
        <v>2150</v>
      </c>
      <c r="AD23" s="57">
        <f t="shared" si="11"/>
        <v>2150</v>
      </c>
      <c r="AE23" s="29"/>
      <c r="AF23" s="29"/>
      <c r="AG23" s="57">
        <f t="shared" si="12"/>
        <v>0</v>
      </c>
      <c r="AH23" s="29"/>
      <c r="AI23" s="29"/>
      <c r="AJ23" s="561">
        <f t="shared" si="13"/>
        <v>0</v>
      </c>
    </row>
    <row r="24" spans="1:36" ht="12.75" customHeight="1" x14ac:dyDescent="0.25">
      <c r="A24" s="563" t="s">
        <v>65</v>
      </c>
      <c r="B24" s="1115" t="s">
        <v>64</v>
      </c>
      <c r="C24" s="1114"/>
      <c r="D24" s="635">
        <f t="shared" si="1"/>
        <v>65567</v>
      </c>
      <c r="E24" s="89">
        <f t="shared" si="2"/>
        <v>503</v>
      </c>
      <c r="F24" s="637">
        <f t="shared" si="3"/>
        <v>66070</v>
      </c>
      <c r="G24" s="31">
        <v>800</v>
      </c>
      <c r="H24" s="29"/>
      <c r="I24" s="57">
        <f t="shared" si="4"/>
        <v>800</v>
      </c>
      <c r="J24" s="29">
        <v>0</v>
      </c>
      <c r="K24" s="29"/>
      <c r="L24" s="57">
        <f t="shared" si="5"/>
        <v>0</v>
      </c>
      <c r="M24" s="29"/>
      <c r="N24" s="29"/>
      <c r="O24" s="57">
        <f t="shared" si="6"/>
        <v>0</v>
      </c>
      <c r="P24" s="29">
        <v>0</v>
      </c>
      <c r="Q24" s="29">
        <v>630</v>
      </c>
      <c r="R24" s="57">
        <f t="shared" si="7"/>
        <v>630</v>
      </c>
      <c r="S24" s="29"/>
      <c r="T24" s="29"/>
      <c r="U24" s="57">
        <f t="shared" si="8"/>
        <v>0</v>
      </c>
      <c r="V24" s="29">
        <v>1115</v>
      </c>
      <c r="W24" s="29"/>
      <c r="X24" s="57">
        <f t="shared" si="9"/>
        <v>1115</v>
      </c>
      <c r="Y24" s="29">
        <v>63652</v>
      </c>
      <c r="Z24" s="29">
        <v>-127</v>
      </c>
      <c r="AA24" s="57">
        <f t="shared" si="10"/>
        <v>63525</v>
      </c>
      <c r="AB24" s="57"/>
      <c r="AC24" s="57"/>
      <c r="AD24" s="57">
        <f t="shared" si="11"/>
        <v>0</v>
      </c>
      <c r="AE24" s="29"/>
      <c r="AF24" s="29"/>
      <c r="AG24" s="57">
        <f t="shared" si="12"/>
        <v>0</v>
      </c>
      <c r="AH24" s="29"/>
      <c r="AI24" s="29"/>
      <c r="AJ24" s="561">
        <f t="shared" si="13"/>
        <v>0</v>
      </c>
    </row>
    <row r="25" spans="1:36" s="44" customFormat="1" ht="12.75" customHeight="1" x14ac:dyDescent="0.2">
      <c r="A25" s="560" t="s">
        <v>66</v>
      </c>
      <c r="B25" s="1119" t="s">
        <v>156</v>
      </c>
      <c r="C25" s="1104"/>
      <c r="D25" s="635">
        <f t="shared" si="1"/>
        <v>70478</v>
      </c>
      <c r="E25" s="89">
        <f t="shared" si="2"/>
        <v>3653</v>
      </c>
      <c r="F25" s="637">
        <f t="shared" si="3"/>
        <v>74131</v>
      </c>
      <c r="G25" s="634">
        <v>3458</v>
      </c>
      <c r="H25" s="57">
        <f t="shared" ref="H25:AI25" si="20">+H24+H23+H22+H21+H20+H19+H18</f>
        <v>0</v>
      </c>
      <c r="I25" s="57">
        <f t="shared" si="4"/>
        <v>3458</v>
      </c>
      <c r="J25" s="57">
        <v>0</v>
      </c>
      <c r="K25" s="57">
        <f t="shared" si="20"/>
        <v>0</v>
      </c>
      <c r="L25" s="57">
        <f t="shared" si="5"/>
        <v>0</v>
      </c>
      <c r="M25" s="57">
        <f t="shared" si="20"/>
        <v>810</v>
      </c>
      <c r="N25" s="57">
        <f t="shared" si="20"/>
        <v>0</v>
      </c>
      <c r="O25" s="57">
        <f t="shared" si="6"/>
        <v>810</v>
      </c>
      <c r="P25" s="57">
        <v>0</v>
      </c>
      <c r="Q25" s="57">
        <f t="shared" si="20"/>
        <v>1630</v>
      </c>
      <c r="R25" s="57">
        <f t="shared" si="7"/>
        <v>1630</v>
      </c>
      <c r="S25" s="57">
        <f t="shared" si="20"/>
        <v>0</v>
      </c>
      <c r="T25" s="57">
        <f t="shared" si="20"/>
        <v>0</v>
      </c>
      <c r="U25" s="57">
        <f t="shared" si="8"/>
        <v>0</v>
      </c>
      <c r="V25" s="57">
        <v>1158</v>
      </c>
      <c r="W25" s="57">
        <f t="shared" si="20"/>
        <v>0</v>
      </c>
      <c r="X25" s="57">
        <f t="shared" si="9"/>
        <v>1158</v>
      </c>
      <c r="Y25" s="57">
        <v>65052</v>
      </c>
      <c r="Z25" s="57">
        <f t="shared" si="20"/>
        <v>-127</v>
      </c>
      <c r="AA25" s="57">
        <f t="shared" si="10"/>
        <v>64925</v>
      </c>
      <c r="AB25" s="57">
        <f>SUM(AB18:AB24)</f>
        <v>0</v>
      </c>
      <c r="AC25" s="57">
        <f t="shared" ref="AC25:AD25" si="21">SUM(AC18:AC24)</f>
        <v>2150</v>
      </c>
      <c r="AD25" s="57">
        <f t="shared" si="21"/>
        <v>2150</v>
      </c>
      <c r="AE25" s="57">
        <f t="shared" si="20"/>
        <v>0</v>
      </c>
      <c r="AF25" s="57">
        <f t="shared" si="20"/>
        <v>0</v>
      </c>
      <c r="AG25" s="57">
        <f t="shared" si="12"/>
        <v>0</v>
      </c>
      <c r="AH25" s="57">
        <f t="shared" si="20"/>
        <v>0</v>
      </c>
      <c r="AI25" s="57">
        <f t="shared" si="20"/>
        <v>0</v>
      </c>
      <c r="AJ25" s="561">
        <f t="shared" si="13"/>
        <v>0</v>
      </c>
    </row>
    <row r="26" spans="1:36" ht="12.75" customHeight="1" x14ac:dyDescent="0.25">
      <c r="A26" s="563" t="s">
        <v>68</v>
      </c>
      <c r="B26" s="1115" t="s">
        <v>67</v>
      </c>
      <c r="C26" s="1114"/>
      <c r="D26" s="635">
        <f t="shared" si="1"/>
        <v>110</v>
      </c>
      <c r="E26" s="89">
        <f t="shared" si="2"/>
        <v>0</v>
      </c>
      <c r="F26" s="637">
        <f t="shared" si="3"/>
        <v>110</v>
      </c>
      <c r="G26" s="31">
        <v>0</v>
      </c>
      <c r="H26" s="29"/>
      <c r="I26" s="57">
        <f t="shared" si="4"/>
        <v>0</v>
      </c>
      <c r="J26" s="29">
        <v>0</v>
      </c>
      <c r="K26" s="29"/>
      <c r="L26" s="57">
        <f t="shared" si="5"/>
        <v>0</v>
      </c>
      <c r="M26" s="29"/>
      <c r="N26" s="29"/>
      <c r="O26" s="57">
        <f t="shared" si="6"/>
        <v>0</v>
      </c>
      <c r="P26" s="29">
        <v>0</v>
      </c>
      <c r="Q26" s="29"/>
      <c r="R26" s="57">
        <f t="shared" si="7"/>
        <v>0</v>
      </c>
      <c r="S26" s="29"/>
      <c r="T26" s="29"/>
      <c r="U26" s="57">
        <f t="shared" si="8"/>
        <v>0</v>
      </c>
      <c r="V26" s="29">
        <v>110</v>
      </c>
      <c r="W26" s="29"/>
      <c r="X26" s="57">
        <f t="shared" si="9"/>
        <v>110</v>
      </c>
      <c r="Y26" s="29">
        <v>0</v>
      </c>
      <c r="Z26" s="29"/>
      <c r="AA26" s="57">
        <f t="shared" si="10"/>
        <v>0</v>
      </c>
      <c r="AB26" s="57"/>
      <c r="AC26" s="57"/>
      <c r="AD26" s="57">
        <f t="shared" si="11"/>
        <v>0</v>
      </c>
      <c r="AE26" s="29"/>
      <c r="AF26" s="29"/>
      <c r="AG26" s="57">
        <f t="shared" si="12"/>
        <v>0</v>
      </c>
      <c r="AH26" s="29"/>
      <c r="AI26" s="29"/>
      <c r="AJ26" s="561">
        <f t="shared" si="13"/>
        <v>0</v>
      </c>
    </row>
    <row r="27" spans="1:36" ht="12.75" customHeight="1" x14ac:dyDescent="0.25">
      <c r="A27" s="563" t="s">
        <v>70</v>
      </c>
      <c r="B27" s="1115" t="s">
        <v>69</v>
      </c>
      <c r="C27" s="1114"/>
      <c r="D27" s="635">
        <f t="shared" si="1"/>
        <v>497</v>
      </c>
      <c r="E27" s="89">
        <f t="shared" si="2"/>
        <v>3465</v>
      </c>
      <c r="F27" s="637">
        <f t="shared" si="3"/>
        <v>3962</v>
      </c>
      <c r="G27" s="31">
        <v>390</v>
      </c>
      <c r="H27" s="29"/>
      <c r="I27" s="57">
        <f t="shared" si="4"/>
        <v>390</v>
      </c>
      <c r="J27" s="29">
        <v>0</v>
      </c>
      <c r="K27" s="29"/>
      <c r="L27" s="57">
        <f t="shared" si="5"/>
        <v>0</v>
      </c>
      <c r="M27" s="29">
        <v>100</v>
      </c>
      <c r="N27" s="29"/>
      <c r="O27" s="57">
        <f t="shared" si="6"/>
        <v>100</v>
      </c>
      <c r="P27" s="29">
        <v>0</v>
      </c>
      <c r="Q27" s="29">
        <v>3465</v>
      </c>
      <c r="R27" s="57">
        <f t="shared" si="7"/>
        <v>3465</v>
      </c>
      <c r="S27" s="29"/>
      <c r="T27" s="29"/>
      <c r="U27" s="57">
        <f t="shared" si="8"/>
        <v>0</v>
      </c>
      <c r="V27" s="29">
        <v>7</v>
      </c>
      <c r="W27" s="29"/>
      <c r="X27" s="57">
        <f t="shared" si="9"/>
        <v>7</v>
      </c>
      <c r="Y27" s="29">
        <v>0</v>
      </c>
      <c r="Z27" s="29"/>
      <c r="AA27" s="57">
        <f t="shared" si="10"/>
        <v>0</v>
      </c>
      <c r="AB27" s="57"/>
      <c r="AC27" s="57"/>
      <c r="AD27" s="57">
        <f t="shared" si="11"/>
        <v>0</v>
      </c>
      <c r="AE27" s="29"/>
      <c r="AF27" s="29"/>
      <c r="AG27" s="57">
        <f t="shared" si="12"/>
        <v>0</v>
      </c>
      <c r="AH27" s="29"/>
      <c r="AI27" s="29"/>
      <c r="AJ27" s="561">
        <f t="shared" si="13"/>
        <v>0</v>
      </c>
    </row>
    <row r="28" spans="1:36" s="44" customFormat="1" ht="12.75" customHeight="1" x14ac:dyDescent="0.2">
      <c r="A28" s="560" t="s">
        <v>71</v>
      </c>
      <c r="B28" s="1119" t="s">
        <v>155</v>
      </c>
      <c r="C28" s="1104"/>
      <c r="D28" s="635">
        <f t="shared" si="1"/>
        <v>607</v>
      </c>
      <c r="E28" s="89">
        <f t="shared" si="2"/>
        <v>3465</v>
      </c>
      <c r="F28" s="637">
        <f t="shared" si="3"/>
        <v>4072</v>
      </c>
      <c r="G28" s="634">
        <v>390</v>
      </c>
      <c r="H28" s="57">
        <f t="shared" ref="H28:AF28" si="22">SUM(H26:H27)</f>
        <v>0</v>
      </c>
      <c r="I28" s="57">
        <f t="shared" si="4"/>
        <v>390</v>
      </c>
      <c r="J28" s="57">
        <v>0</v>
      </c>
      <c r="K28" s="57">
        <f t="shared" si="22"/>
        <v>0</v>
      </c>
      <c r="L28" s="57">
        <f t="shared" si="5"/>
        <v>0</v>
      </c>
      <c r="M28" s="57">
        <f t="shared" si="22"/>
        <v>100</v>
      </c>
      <c r="N28" s="57">
        <f t="shared" si="22"/>
        <v>0</v>
      </c>
      <c r="O28" s="57">
        <f t="shared" si="6"/>
        <v>100</v>
      </c>
      <c r="P28" s="57">
        <v>0</v>
      </c>
      <c r="Q28" s="57">
        <f t="shared" si="22"/>
        <v>3465</v>
      </c>
      <c r="R28" s="57">
        <f t="shared" si="7"/>
        <v>3465</v>
      </c>
      <c r="S28" s="57">
        <f t="shared" si="22"/>
        <v>0</v>
      </c>
      <c r="T28" s="57">
        <f t="shared" si="22"/>
        <v>0</v>
      </c>
      <c r="U28" s="57">
        <f t="shared" si="8"/>
        <v>0</v>
      </c>
      <c r="V28" s="57">
        <v>117</v>
      </c>
      <c r="W28" s="57">
        <f t="shared" si="22"/>
        <v>0</v>
      </c>
      <c r="X28" s="57">
        <f t="shared" si="9"/>
        <v>117</v>
      </c>
      <c r="Y28" s="57">
        <v>0</v>
      </c>
      <c r="Z28" s="57">
        <f t="shared" si="22"/>
        <v>0</v>
      </c>
      <c r="AA28" s="57">
        <f t="shared" si="10"/>
        <v>0</v>
      </c>
      <c r="AB28" s="57"/>
      <c r="AC28" s="57"/>
      <c r="AD28" s="57">
        <f t="shared" si="11"/>
        <v>0</v>
      </c>
      <c r="AE28" s="57">
        <f t="shared" si="22"/>
        <v>0</v>
      </c>
      <c r="AF28" s="57">
        <f t="shared" si="22"/>
        <v>0</v>
      </c>
      <c r="AG28" s="57">
        <f t="shared" si="12"/>
        <v>0</v>
      </c>
      <c r="AH28" s="57">
        <f>SUM(AH26:AH27)</f>
        <v>0</v>
      </c>
      <c r="AI28" s="57">
        <f>SUM(AI26:AI27)</f>
        <v>0</v>
      </c>
      <c r="AJ28" s="561">
        <f t="shared" si="13"/>
        <v>0</v>
      </c>
    </row>
    <row r="29" spans="1:36" ht="12.75" customHeight="1" x14ac:dyDescent="0.25">
      <c r="A29" s="563" t="s">
        <v>73</v>
      </c>
      <c r="B29" s="1115" t="s">
        <v>72</v>
      </c>
      <c r="C29" s="1114"/>
      <c r="D29" s="635">
        <f t="shared" si="1"/>
        <v>3225</v>
      </c>
      <c r="E29" s="89">
        <f t="shared" si="2"/>
        <v>2072</v>
      </c>
      <c r="F29" s="637">
        <f t="shared" si="3"/>
        <v>5297</v>
      </c>
      <c r="G29" s="31">
        <v>1890</v>
      </c>
      <c r="H29" s="29"/>
      <c r="I29" s="57">
        <f t="shared" si="4"/>
        <v>1890</v>
      </c>
      <c r="J29" s="29">
        <v>213</v>
      </c>
      <c r="K29" s="29"/>
      <c r="L29" s="57">
        <f t="shared" si="5"/>
        <v>213</v>
      </c>
      <c r="M29" s="29">
        <f>545-132</f>
        <v>413</v>
      </c>
      <c r="N29" s="29"/>
      <c r="O29" s="57">
        <f t="shared" si="6"/>
        <v>413</v>
      </c>
      <c r="P29" s="29">
        <v>0</v>
      </c>
      <c r="Q29" s="29">
        <v>1376</v>
      </c>
      <c r="R29" s="57">
        <f t="shared" si="7"/>
        <v>1376</v>
      </c>
      <c r="S29" s="29"/>
      <c r="T29" s="29"/>
      <c r="U29" s="57">
        <f t="shared" si="8"/>
        <v>0</v>
      </c>
      <c r="V29" s="29">
        <v>303</v>
      </c>
      <c r="W29" s="29"/>
      <c r="X29" s="57">
        <f t="shared" si="9"/>
        <v>303</v>
      </c>
      <c r="Y29" s="29">
        <v>406</v>
      </c>
      <c r="Z29" s="29"/>
      <c r="AA29" s="57">
        <f t="shared" si="10"/>
        <v>406</v>
      </c>
      <c r="AB29" s="57"/>
      <c r="AC29" s="57">
        <v>696</v>
      </c>
      <c r="AD29" s="57">
        <f t="shared" si="11"/>
        <v>696</v>
      </c>
      <c r="AE29" s="29"/>
      <c r="AF29" s="29"/>
      <c r="AG29" s="57">
        <f t="shared" si="12"/>
        <v>0</v>
      </c>
      <c r="AH29" s="29"/>
      <c r="AI29" s="29"/>
      <c r="AJ29" s="561">
        <f t="shared" si="13"/>
        <v>0</v>
      </c>
    </row>
    <row r="30" spans="1:36" ht="12.75" customHeight="1" x14ac:dyDescent="0.25">
      <c r="A30" s="563" t="s">
        <v>75</v>
      </c>
      <c r="B30" s="1115" t="s">
        <v>74</v>
      </c>
      <c r="C30" s="1114"/>
      <c r="D30" s="635">
        <f t="shared" si="1"/>
        <v>189540</v>
      </c>
      <c r="E30" s="89">
        <f t="shared" si="2"/>
        <v>0</v>
      </c>
      <c r="F30" s="637">
        <f t="shared" si="3"/>
        <v>189540</v>
      </c>
      <c r="G30" s="31">
        <v>16000</v>
      </c>
      <c r="H30" s="29"/>
      <c r="I30" s="57">
        <f t="shared" si="4"/>
        <v>16000</v>
      </c>
      <c r="J30" s="29">
        <v>19132</v>
      </c>
      <c r="K30" s="29"/>
      <c r="L30" s="57">
        <f t="shared" si="5"/>
        <v>19132</v>
      </c>
      <c r="M30" s="29"/>
      <c r="N30" s="29"/>
      <c r="O30" s="57">
        <f t="shared" si="6"/>
        <v>0</v>
      </c>
      <c r="P30" s="29">
        <v>0</v>
      </c>
      <c r="Q30" s="29"/>
      <c r="R30" s="57">
        <f t="shared" si="7"/>
        <v>0</v>
      </c>
      <c r="S30" s="29"/>
      <c r="T30" s="29"/>
      <c r="U30" s="57">
        <f t="shared" si="8"/>
        <v>0</v>
      </c>
      <c r="V30" s="29">
        <v>0</v>
      </c>
      <c r="W30" s="29"/>
      <c r="X30" s="57">
        <f t="shared" si="9"/>
        <v>0</v>
      </c>
      <c r="Y30" s="29">
        <v>0</v>
      </c>
      <c r="Z30" s="29"/>
      <c r="AA30" s="57">
        <f t="shared" si="10"/>
        <v>0</v>
      </c>
      <c r="AB30" s="57"/>
      <c r="AC30" s="57"/>
      <c r="AD30" s="57">
        <f t="shared" si="11"/>
        <v>0</v>
      </c>
      <c r="AE30" s="29">
        <v>121992</v>
      </c>
      <c r="AF30" s="29"/>
      <c r="AG30" s="57">
        <f t="shared" si="12"/>
        <v>121992</v>
      </c>
      <c r="AH30" s="29">
        <v>32416</v>
      </c>
      <c r="AI30" s="29"/>
      <c r="AJ30" s="561">
        <f t="shared" si="13"/>
        <v>32416</v>
      </c>
    </row>
    <row r="31" spans="1:36" ht="12.75" customHeight="1" x14ac:dyDescent="0.25">
      <c r="A31" s="563" t="s">
        <v>76</v>
      </c>
      <c r="B31" s="1115" t="s">
        <v>154</v>
      </c>
      <c r="C31" s="1114"/>
      <c r="D31" s="635">
        <f t="shared" si="1"/>
        <v>0</v>
      </c>
      <c r="E31" s="89">
        <f t="shared" si="2"/>
        <v>0</v>
      </c>
      <c r="F31" s="637">
        <f t="shared" si="3"/>
        <v>0</v>
      </c>
      <c r="G31" s="31">
        <v>0</v>
      </c>
      <c r="H31" s="29"/>
      <c r="I31" s="57">
        <f t="shared" si="4"/>
        <v>0</v>
      </c>
      <c r="J31" s="29">
        <v>0</v>
      </c>
      <c r="K31" s="29"/>
      <c r="L31" s="57">
        <f t="shared" si="5"/>
        <v>0</v>
      </c>
      <c r="M31" s="29"/>
      <c r="N31" s="29"/>
      <c r="O31" s="57">
        <f t="shared" si="6"/>
        <v>0</v>
      </c>
      <c r="P31" s="29">
        <v>0</v>
      </c>
      <c r="Q31" s="29"/>
      <c r="R31" s="57">
        <f t="shared" si="7"/>
        <v>0</v>
      </c>
      <c r="S31" s="29"/>
      <c r="T31" s="29"/>
      <c r="U31" s="57">
        <f t="shared" si="8"/>
        <v>0</v>
      </c>
      <c r="V31" s="29">
        <v>0</v>
      </c>
      <c r="W31" s="29"/>
      <c r="X31" s="57">
        <f t="shared" si="9"/>
        <v>0</v>
      </c>
      <c r="Y31" s="29">
        <v>0</v>
      </c>
      <c r="Z31" s="29"/>
      <c r="AA31" s="57">
        <f t="shared" si="10"/>
        <v>0</v>
      </c>
      <c r="AB31" s="57"/>
      <c r="AC31" s="57"/>
      <c r="AD31" s="57">
        <f t="shared" si="11"/>
        <v>0</v>
      </c>
      <c r="AE31" s="29"/>
      <c r="AF31" s="29"/>
      <c r="AG31" s="57">
        <f t="shared" si="12"/>
        <v>0</v>
      </c>
      <c r="AH31" s="29"/>
      <c r="AI31" s="29"/>
      <c r="AJ31" s="561">
        <f t="shared" si="13"/>
        <v>0</v>
      </c>
    </row>
    <row r="32" spans="1:36" ht="12.75" customHeight="1" x14ac:dyDescent="0.25">
      <c r="A32" s="563" t="s">
        <v>77</v>
      </c>
      <c r="B32" s="1115" t="s">
        <v>153</v>
      </c>
      <c r="C32" s="1114"/>
      <c r="D32" s="635">
        <f t="shared" si="1"/>
        <v>0</v>
      </c>
      <c r="E32" s="89">
        <f t="shared" si="2"/>
        <v>0</v>
      </c>
      <c r="F32" s="637">
        <f t="shared" si="3"/>
        <v>0</v>
      </c>
      <c r="G32" s="31">
        <v>0</v>
      </c>
      <c r="H32" s="29"/>
      <c r="I32" s="57">
        <f t="shared" si="4"/>
        <v>0</v>
      </c>
      <c r="J32" s="29">
        <v>0</v>
      </c>
      <c r="K32" s="29"/>
      <c r="L32" s="57">
        <f t="shared" si="5"/>
        <v>0</v>
      </c>
      <c r="M32" s="29"/>
      <c r="N32" s="29"/>
      <c r="O32" s="57">
        <f t="shared" si="6"/>
        <v>0</v>
      </c>
      <c r="P32" s="29">
        <v>0</v>
      </c>
      <c r="Q32" s="29"/>
      <c r="R32" s="57">
        <f t="shared" si="7"/>
        <v>0</v>
      </c>
      <c r="S32" s="29"/>
      <c r="T32" s="29"/>
      <c r="U32" s="57">
        <f t="shared" si="8"/>
        <v>0</v>
      </c>
      <c r="V32" s="29">
        <v>0</v>
      </c>
      <c r="W32" s="29"/>
      <c r="X32" s="57">
        <f t="shared" si="9"/>
        <v>0</v>
      </c>
      <c r="Y32" s="29">
        <v>0</v>
      </c>
      <c r="Z32" s="29"/>
      <c r="AA32" s="57">
        <f t="shared" si="10"/>
        <v>0</v>
      </c>
      <c r="AB32" s="57"/>
      <c r="AC32" s="57"/>
      <c r="AD32" s="57">
        <f t="shared" si="11"/>
        <v>0</v>
      </c>
      <c r="AE32" s="29"/>
      <c r="AF32" s="29"/>
      <c r="AG32" s="57">
        <f t="shared" si="12"/>
        <v>0</v>
      </c>
      <c r="AH32" s="29"/>
      <c r="AI32" s="29"/>
      <c r="AJ32" s="561">
        <f t="shared" si="13"/>
        <v>0</v>
      </c>
    </row>
    <row r="33" spans="1:36" ht="12.75" customHeight="1" x14ac:dyDescent="0.25">
      <c r="A33" s="563" t="s">
        <v>79</v>
      </c>
      <c r="B33" s="1115" t="s">
        <v>78</v>
      </c>
      <c r="C33" s="1114"/>
      <c r="D33" s="635">
        <f t="shared" si="1"/>
        <v>4557</v>
      </c>
      <c r="E33" s="89">
        <f t="shared" si="2"/>
        <v>0</v>
      </c>
      <c r="F33" s="637">
        <f t="shared" si="3"/>
        <v>4557</v>
      </c>
      <c r="G33" s="31">
        <v>3150</v>
      </c>
      <c r="H33" s="29"/>
      <c r="I33" s="57">
        <f t="shared" si="4"/>
        <v>3150</v>
      </c>
      <c r="J33" s="29">
        <v>787</v>
      </c>
      <c r="K33" s="29"/>
      <c r="L33" s="57">
        <f t="shared" si="5"/>
        <v>787</v>
      </c>
      <c r="M33" s="29">
        <v>620</v>
      </c>
      <c r="N33" s="29"/>
      <c r="O33" s="57">
        <f t="shared" si="6"/>
        <v>620</v>
      </c>
      <c r="P33" s="29">
        <v>0</v>
      </c>
      <c r="Q33" s="29"/>
      <c r="R33" s="57">
        <f t="shared" si="7"/>
        <v>0</v>
      </c>
      <c r="S33" s="29"/>
      <c r="T33" s="29"/>
      <c r="U33" s="57">
        <f t="shared" si="8"/>
        <v>0</v>
      </c>
      <c r="V33" s="29">
        <v>0</v>
      </c>
      <c r="W33" s="29"/>
      <c r="X33" s="57">
        <f t="shared" si="9"/>
        <v>0</v>
      </c>
      <c r="Y33" s="29">
        <v>0</v>
      </c>
      <c r="Z33" s="29"/>
      <c r="AA33" s="57">
        <f t="shared" si="10"/>
        <v>0</v>
      </c>
      <c r="AB33" s="57"/>
      <c r="AC33" s="57"/>
      <c r="AD33" s="57">
        <f t="shared" si="11"/>
        <v>0</v>
      </c>
      <c r="AE33" s="29"/>
      <c r="AF33" s="29"/>
      <c r="AG33" s="57">
        <f t="shared" si="12"/>
        <v>0</v>
      </c>
      <c r="AH33" s="29"/>
      <c r="AI33" s="29"/>
      <c r="AJ33" s="561">
        <f t="shared" si="13"/>
        <v>0</v>
      </c>
    </row>
    <row r="34" spans="1:36" s="44" customFormat="1" ht="12.75" customHeight="1" x14ac:dyDescent="0.2">
      <c r="A34" s="560" t="s">
        <v>80</v>
      </c>
      <c r="B34" s="1119" t="s">
        <v>152</v>
      </c>
      <c r="C34" s="1104"/>
      <c r="D34" s="635">
        <f t="shared" si="1"/>
        <v>197322</v>
      </c>
      <c r="E34" s="89">
        <f t="shared" si="2"/>
        <v>2072</v>
      </c>
      <c r="F34" s="637">
        <f t="shared" si="3"/>
        <v>199394</v>
      </c>
      <c r="G34" s="634">
        <v>21040</v>
      </c>
      <c r="H34" s="57">
        <f t="shared" ref="H34:AF34" si="23">SUM(H29:H33)</f>
        <v>0</v>
      </c>
      <c r="I34" s="57">
        <f t="shared" si="4"/>
        <v>21040</v>
      </c>
      <c r="J34" s="57">
        <v>20132</v>
      </c>
      <c r="K34" s="57">
        <f t="shared" si="23"/>
        <v>0</v>
      </c>
      <c r="L34" s="57">
        <f t="shared" si="5"/>
        <v>20132</v>
      </c>
      <c r="M34" s="57">
        <f t="shared" ref="M34:N34" si="24">SUM(M29:M33)</f>
        <v>1033</v>
      </c>
      <c r="N34" s="57">
        <f t="shared" si="24"/>
        <v>0</v>
      </c>
      <c r="O34" s="57">
        <f t="shared" si="6"/>
        <v>1033</v>
      </c>
      <c r="P34" s="57">
        <v>0</v>
      </c>
      <c r="Q34" s="57">
        <f t="shared" ref="Q34" si="25">SUM(Q29:Q33)</f>
        <v>1376</v>
      </c>
      <c r="R34" s="57">
        <f t="shared" si="7"/>
        <v>1376</v>
      </c>
      <c r="S34" s="57">
        <f t="shared" ref="S34:T34" si="26">SUM(S29:S33)</f>
        <v>0</v>
      </c>
      <c r="T34" s="57">
        <f t="shared" si="26"/>
        <v>0</v>
      </c>
      <c r="U34" s="57">
        <f t="shared" si="8"/>
        <v>0</v>
      </c>
      <c r="V34" s="57">
        <v>303</v>
      </c>
      <c r="W34" s="57">
        <f t="shared" ref="W34" si="27">SUM(W29:W33)</f>
        <v>0</v>
      </c>
      <c r="X34" s="57">
        <f t="shared" si="9"/>
        <v>303</v>
      </c>
      <c r="Y34" s="57">
        <v>406</v>
      </c>
      <c r="Z34" s="57">
        <f t="shared" ref="Z34" si="28">SUM(Z29:Z33)</f>
        <v>0</v>
      </c>
      <c r="AA34" s="57">
        <f t="shared" si="10"/>
        <v>406</v>
      </c>
      <c r="AB34" s="57">
        <f>SUM(AB29:AB33)</f>
        <v>0</v>
      </c>
      <c r="AC34" s="57">
        <f t="shared" ref="AC34:AD34" si="29">SUM(AC29:AC33)</f>
        <v>696</v>
      </c>
      <c r="AD34" s="57">
        <f t="shared" si="29"/>
        <v>696</v>
      </c>
      <c r="AE34" s="57">
        <f t="shared" si="23"/>
        <v>121992</v>
      </c>
      <c r="AF34" s="57">
        <f t="shared" si="23"/>
        <v>0</v>
      </c>
      <c r="AG34" s="57">
        <f t="shared" si="12"/>
        <v>121992</v>
      </c>
      <c r="AH34" s="57">
        <f>SUM(AH29:AH33)</f>
        <v>32416</v>
      </c>
      <c r="AI34" s="57">
        <f>SUM(AI29:AI33)</f>
        <v>0</v>
      </c>
      <c r="AJ34" s="561">
        <f t="shared" si="13"/>
        <v>32416</v>
      </c>
    </row>
    <row r="35" spans="1:36" s="44" customFormat="1" ht="12.75" customHeight="1" x14ac:dyDescent="0.2">
      <c r="A35" s="560" t="s">
        <v>81</v>
      </c>
      <c r="B35" s="1119" t="s">
        <v>151</v>
      </c>
      <c r="C35" s="1104"/>
      <c r="D35" s="635">
        <f t="shared" si="1"/>
        <v>268510</v>
      </c>
      <c r="E35" s="89">
        <f t="shared" si="2"/>
        <v>9997</v>
      </c>
      <c r="F35" s="637">
        <f t="shared" si="3"/>
        <v>278507</v>
      </c>
      <c r="G35" s="634">
        <v>24888</v>
      </c>
      <c r="H35" s="57">
        <f t="shared" ref="H35:AI35" si="30">+H34+H28+H25+H17+H14</f>
        <v>0</v>
      </c>
      <c r="I35" s="57">
        <f t="shared" si="4"/>
        <v>24888</v>
      </c>
      <c r="J35" s="57">
        <v>20132</v>
      </c>
      <c r="K35" s="57">
        <f t="shared" si="30"/>
        <v>0</v>
      </c>
      <c r="L35" s="57">
        <f t="shared" si="5"/>
        <v>20132</v>
      </c>
      <c r="M35" s="57">
        <f t="shared" si="30"/>
        <v>1943</v>
      </c>
      <c r="N35" s="57">
        <f t="shared" si="30"/>
        <v>0</v>
      </c>
      <c r="O35" s="57">
        <f t="shared" si="6"/>
        <v>1943</v>
      </c>
      <c r="P35" s="57">
        <v>0</v>
      </c>
      <c r="Q35" s="57">
        <f t="shared" ref="Q35" si="31">+Q34+Q28+Q25+Q17+Q14</f>
        <v>6471</v>
      </c>
      <c r="R35" s="57">
        <f t="shared" si="7"/>
        <v>6471</v>
      </c>
      <c r="S35" s="57">
        <f t="shared" ref="S35:T35" si="32">+S34+S28+S25+S17+S14</f>
        <v>0</v>
      </c>
      <c r="T35" s="57">
        <f t="shared" si="32"/>
        <v>0</v>
      </c>
      <c r="U35" s="57">
        <f t="shared" si="8"/>
        <v>0</v>
      </c>
      <c r="V35" s="57">
        <v>1578</v>
      </c>
      <c r="W35" s="57">
        <f t="shared" ref="W35" si="33">+W34+W28+W25+W17+W14</f>
        <v>0</v>
      </c>
      <c r="X35" s="57">
        <f t="shared" si="9"/>
        <v>1578</v>
      </c>
      <c r="Y35" s="57">
        <v>65561</v>
      </c>
      <c r="Z35" s="57">
        <f t="shared" ref="Z35" si="34">+Z34+Z28+Z25+Z17+Z14</f>
        <v>-127</v>
      </c>
      <c r="AA35" s="57">
        <f t="shared" si="10"/>
        <v>65434</v>
      </c>
      <c r="AB35" s="57">
        <f>+AB34+AB25+AB14</f>
        <v>0</v>
      </c>
      <c r="AC35" s="57">
        <f t="shared" ref="AC35:AD35" si="35">+AC34+AC25+AC14</f>
        <v>3653</v>
      </c>
      <c r="AD35" s="57">
        <f t="shared" si="35"/>
        <v>3653</v>
      </c>
      <c r="AE35" s="57">
        <f t="shared" si="30"/>
        <v>121992</v>
      </c>
      <c r="AF35" s="57">
        <f t="shared" si="30"/>
        <v>0</v>
      </c>
      <c r="AG35" s="57">
        <f t="shared" si="12"/>
        <v>121992</v>
      </c>
      <c r="AH35" s="57">
        <f t="shared" si="30"/>
        <v>32416</v>
      </c>
      <c r="AI35" s="57">
        <f t="shared" si="30"/>
        <v>0</v>
      </c>
      <c r="AJ35" s="561">
        <f t="shared" si="13"/>
        <v>32416</v>
      </c>
    </row>
    <row r="36" spans="1:36" ht="12" customHeight="1" x14ac:dyDescent="0.25">
      <c r="A36" s="562"/>
      <c r="B36" s="1151"/>
      <c r="C36" s="1157"/>
      <c r="D36" s="854"/>
      <c r="E36" s="839"/>
      <c r="F36" s="855"/>
      <c r="G36" s="60"/>
      <c r="H36" s="60"/>
      <c r="I36" s="244"/>
      <c r="J36" s="60"/>
      <c r="K36" s="60"/>
      <c r="L36" s="244"/>
      <c r="M36" s="60"/>
      <c r="N36" s="60"/>
      <c r="O36" s="244"/>
      <c r="P36" s="60"/>
      <c r="Q36" s="60"/>
      <c r="R36" s="244"/>
      <c r="S36" s="60"/>
      <c r="T36" s="60"/>
      <c r="U36" s="244"/>
      <c r="V36" s="60"/>
      <c r="W36" s="60"/>
      <c r="X36" s="244"/>
      <c r="Y36" s="60"/>
      <c r="Z36" s="60"/>
      <c r="AA36" s="244"/>
      <c r="AB36" s="244"/>
      <c r="AC36" s="244"/>
      <c r="AD36" s="244"/>
      <c r="AE36" s="60"/>
      <c r="AF36" s="60"/>
      <c r="AG36" s="244"/>
      <c r="AH36" s="60"/>
      <c r="AI36" s="60"/>
      <c r="AJ36" s="636"/>
    </row>
    <row r="37" spans="1:36" ht="12.75" customHeight="1" x14ac:dyDescent="0.25">
      <c r="A37" s="563" t="s">
        <v>96</v>
      </c>
      <c r="B37" s="1124" t="s">
        <v>95</v>
      </c>
      <c r="C37" s="1153"/>
      <c r="D37" s="635">
        <f t="shared" si="1"/>
        <v>0</v>
      </c>
      <c r="E37" s="89">
        <f t="shared" si="2"/>
        <v>0</v>
      </c>
      <c r="F37" s="637">
        <f t="shared" si="3"/>
        <v>0</v>
      </c>
      <c r="G37" s="31">
        <v>0</v>
      </c>
      <c r="H37" s="29"/>
      <c r="I37" s="57">
        <f t="shared" si="4"/>
        <v>0</v>
      </c>
      <c r="J37" s="29">
        <v>0</v>
      </c>
      <c r="K37" s="29"/>
      <c r="L37" s="57">
        <f t="shared" si="5"/>
        <v>0</v>
      </c>
      <c r="M37" s="29"/>
      <c r="N37" s="29"/>
      <c r="O37" s="57">
        <f t="shared" si="6"/>
        <v>0</v>
      </c>
      <c r="P37" s="29">
        <v>0</v>
      </c>
      <c r="Q37" s="29"/>
      <c r="R37" s="57">
        <f t="shared" si="7"/>
        <v>0</v>
      </c>
      <c r="S37" s="29"/>
      <c r="T37" s="29"/>
      <c r="U37" s="57">
        <f t="shared" si="8"/>
        <v>0</v>
      </c>
      <c r="V37" s="29">
        <v>0</v>
      </c>
      <c r="W37" s="29"/>
      <c r="X37" s="57">
        <f t="shared" si="9"/>
        <v>0</v>
      </c>
      <c r="Y37" s="29">
        <v>0</v>
      </c>
      <c r="Z37" s="29"/>
      <c r="AA37" s="57">
        <f t="shared" si="10"/>
        <v>0</v>
      </c>
      <c r="AB37" s="57"/>
      <c r="AC37" s="57"/>
      <c r="AD37" s="57">
        <f t="shared" si="11"/>
        <v>0</v>
      </c>
      <c r="AE37" s="29"/>
      <c r="AF37" s="29"/>
      <c r="AG37" s="57">
        <f t="shared" si="12"/>
        <v>0</v>
      </c>
      <c r="AH37" s="29"/>
      <c r="AI37" s="29"/>
      <c r="AJ37" s="561">
        <f t="shared" si="13"/>
        <v>0</v>
      </c>
    </row>
    <row r="38" spans="1:36" ht="12.75" customHeight="1" x14ac:dyDescent="0.25">
      <c r="A38" s="563" t="s">
        <v>98</v>
      </c>
      <c r="B38" s="1124" t="s">
        <v>97</v>
      </c>
      <c r="C38" s="1153"/>
      <c r="D38" s="635">
        <f t="shared" si="1"/>
        <v>0</v>
      </c>
      <c r="E38" s="89">
        <f t="shared" si="2"/>
        <v>0</v>
      </c>
      <c r="F38" s="637">
        <f t="shared" si="3"/>
        <v>0</v>
      </c>
      <c r="G38" s="31">
        <v>0</v>
      </c>
      <c r="H38" s="29"/>
      <c r="I38" s="57">
        <f t="shared" si="4"/>
        <v>0</v>
      </c>
      <c r="J38" s="29">
        <v>0</v>
      </c>
      <c r="K38" s="29"/>
      <c r="L38" s="57">
        <f t="shared" si="5"/>
        <v>0</v>
      </c>
      <c r="M38" s="29"/>
      <c r="N38" s="29"/>
      <c r="O38" s="57">
        <f t="shared" si="6"/>
        <v>0</v>
      </c>
      <c r="P38" s="29">
        <v>0</v>
      </c>
      <c r="Q38" s="29"/>
      <c r="R38" s="57">
        <f t="shared" si="7"/>
        <v>0</v>
      </c>
      <c r="S38" s="29"/>
      <c r="T38" s="29"/>
      <c r="U38" s="57">
        <f t="shared" si="8"/>
        <v>0</v>
      </c>
      <c r="V38" s="29">
        <v>0</v>
      </c>
      <c r="W38" s="29"/>
      <c r="X38" s="57">
        <f t="shared" si="9"/>
        <v>0</v>
      </c>
      <c r="Y38" s="29">
        <v>0</v>
      </c>
      <c r="Z38" s="29"/>
      <c r="AA38" s="57">
        <f t="shared" si="10"/>
        <v>0</v>
      </c>
      <c r="AB38" s="57"/>
      <c r="AC38" s="57"/>
      <c r="AD38" s="57">
        <f t="shared" si="11"/>
        <v>0</v>
      </c>
      <c r="AE38" s="29"/>
      <c r="AF38" s="29"/>
      <c r="AG38" s="57">
        <f t="shared" si="12"/>
        <v>0</v>
      </c>
      <c r="AH38" s="29"/>
      <c r="AI38" s="29"/>
      <c r="AJ38" s="561">
        <f t="shared" si="13"/>
        <v>0</v>
      </c>
    </row>
    <row r="39" spans="1:36" ht="23.25" customHeight="1" x14ac:dyDescent="0.25">
      <c r="A39" s="563" t="s">
        <v>101</v>
      </c>
      <c r="B39" s="1124" t="s">
        <v>165</v>
      </c>
      <c r="C39" s="1153"/>
      <c r="D39" s="635">
        <f t="shared" si="1"/>
        <v>0</v>
      </c>
      <c r="E39" s="89">
        <f t="shared" si="2"/>
        <v>0</v>
      </c>
      <c r="F39" s="637">
        <f t="shared" si="3"/>
        <v>0</v>
      </c>
      <c r="G39" s="31">
        <v>0</v>
      </c>
      <c r="H39" s="29"/>
      <c r="I39" s="57">
        <f t="shared" si="4"/>
        <v>0</v>
      </c>
      <c r="J39" s="29">
        <v>0</v>
      </c>
      <c r="K39" s="29"/>
      <c r="L39" s="57">
        <f t="shared" si="5"/>
        <v>0</v>
      </c>
      <c r="M39" s="29"/>
      <c r="N39" s="29"/>
      <c r="O39" s="57">
        <f t="shared" si="6"/>
        <v>0</v>
      </c>
      <c r="P39" s="29">
        <v>0</v>
      </c>
      <c r="Q39" s="29"/>
      <c r="R39" s="57">
        <f t="shared" si="7"/>
        <v>0</v>
      </c>
      <c r="S39" s="29"/>
      <c r="T39" s="29"/>
      <c r="U39" s="57">
        <f t="shared" si="8"/>
        <v>0</v>
      </c>
      <c r="V39" s="29">
        <v>0</v>
      </c>
      <c r="W39" s="29"/>
      <c r="X39" s="57">
        <f t="shared" si="9"/>
        <v>0</v>
      </c>
      <c r="Y39" s="29">
        <v>0</v>
      </c>
      <c r="Z39" s="29"/>
      <c r="AA39" s="57">
        <f t="shared" si="10"/>
        <v>0</v>
      </c>
      <c r="AB39" s="57"/>
      <c r="AC39" s="57"/>
      <c r="AD39" s="57">
        <f t="shared" si="11"/>
        <v>0</v>
      </c>
      <c r="AE39" s="29"/>
      <c r="AF39" s="29"/>
      <c r="AG39" s="57">
        <f t="shared" si="12"/>
        <v>0</v>
      </c>
      <c r="AH39" s="29"/>
      <c r="AI39" s="29"/>
      <c r="AJ39" s="561">
        <f t="shared" si="13"/>
        <v>0</v>
      </c>
    </row>
    <row r="40" spans="1:36" ht="25.5" customHeight="1" x14ac:dyDescent="0.25">
      <c r="A40" s="563" t="s">
        <v>103</v>
      </c>
      <c r="B40" s="1124" t="s">
        <v>102</v>
      </c>
      <c r="C40" s="1153"/>
      <c r="D40" s="635">
        <f t="shared" si="1"/>
        <v>0</v>
      </c>
      <c r="E40" s="89">
        <f t="shared" si="2"/>
        <v>0</v>
      </c>
      <c r="F40" s="637">
        <f t="shared" si="3"/>
        <v>0</v>
      </c>
      <c r="G40" s="31">
        <v>0</v>
      </c>
      <c r="H40" s="29"/>
      <c r="I40" s="57">
        <f t="shared" si="4"/>
        <v>0</v>
      </c>
      <c r="J40" s="29">
        <v>0</v>
      </c>
      <c r="K40" s="29"/>
      <c r="L40" s="57">
        <f t="shared" si="5"/>
        <v>0</v>
      </c>
      <c r="M40" s="29"/>
      <c r="N40" s="29"/>
      <c r="O40" s="57">
        <f t="shared" si="6"/>
        <v>0</v>
      </c>
      <c r="P40" s="29">
        <v>0</v>
      </c>
      <c r="Q40" s="29"/>
      <c r="R40" s="57">
        <f t="shared" si="7"/>
        <v>0</v>
      </c>
      <c r="S40" s="29"/>
      <c r="T40" s="29"/>
      <c r="U40" s="57">
        <f t="shared" si="8"/>
        <v>0</v>
      </c>
      <c r="V40" s="29">
        <v>0</v>
      </c>
      <c r="W40" s="29"/>
      <c r="X40" s="57">
        <f t="shared" si="9"/>
        <v>0</v>
      </c>
      <c r="Y40" s="29">
        <v>0</v>
      </c>
      <c r="Z40" s="29"/>
      <c r="AA40" s="57">
        <f t="shared" si="10"/>
        <v>0</v>
      </c>
      <c r="AB40" s="57"/>
      <c r="AC40" s="57"/>
      <c r="AD40" s="57">
        <f t="shared" si="11"/>
        <v>0</v>
      </c>
      <c r="AE40" s="29"/>
      <c r="AF40" s="29"/>
      <c r="AG40" s="57">
        <f t="shared" si="12"/>
        <v>0</v>
      </c>
      <c r="AH40" s="29"/>
      <c r="AI40" s="29"/>
      <c r="AJ40" s="561">
        <f t="shared" si="13"/>
        <v>0</v>
      </c>
    </row>
    <row r="41" spans="1:36" ht="27" customHeight="1" x14ac:dyDescent="0.25">
      <c r="A41" s="563" t="s">
        <v>107</v>
      </c>
      <c r="B41" s="1124" t="s">
        <v>164</v>
      </c>
      <c r="C41" s="1153"/>
      <c r="D41" s="635">
        <f t="shared" si="1"/>
        <v>0</v>
      </c>
      <c r="E41" s="89">
        <f t="shared" si="2"/>
        <v>0</v>
      </c>
      <c r="F41" s="637">
        <f t="shared" si="3"/>
        <v>0</v>
      </c>
      <c r="G41" s="31">
        <v>0</v>
      </c>
      <c r="H41" s="29"/>
      <c r="I41" s="57">
        <f t="shared" si="4"/>
        <v>0</v>
      </c>
      <c r="J41" s="29">
        <v>0</v>
      </c>
      <c r="K41" s="29"/>
      <c r="L41" s="57">
        <f t="shared" si="5"/>
        <v>0</v>
      </c>
      <c r="M41" s="29"/>
      <c r="N41" s="29"/>
      <c r="O41" s="57">
        <f t="shared" si="6"/>
        <v>0</v>
      </c>
      <c r="P41" s="29">
        <v>0</v>
      </c>
      <c r="Q41" s="29"/>
      <c r="R41" s="57">
        <f t="shared" si="7"/>
        <v>0</v>
      </c>
      <c r="S41" s="29"/>
      <c r="T41" s="29"/>
      <c r="U41" s="57">
        <f t="shared" si="8"/>
        <v>0</v>
      </c>
      <c r="V41" s="29">
        <v>0</v>
      </c>
      <c r="W41" s="29"/>
      <c r="X41" s="57">
        <f t="shared" si="9"/>
        <v>0</v>
      </c>
      <c r="Y41" s="29">
        <v>0</v>
      </c>
      <c r="Z41" s="29"/>
      <c r="AA41" s="57">
        <f t="shared" si="10"/>
        <v>0</v>
      </c>
      <c r="AB41" s="57"/>
      <c r="AC41" s="57"/>
      <c r="AD41" s="57">
        <f t="shared" si="11"/>
        <v>0</v>
      </c>
      <c r="AE41" s="29"/>
      <c r="AF41" s="29"/>
      <c r="AG41" s="57">
        <f t="shared" si="12"/>
        <v>0</v>
      </c>
      <c r="AH41" s="29"/>
      <c r="AI41" s="29"/>
      <c r="AJ41" s="561">
        <f t="shared" si="13"/>
        <v>0</v>
      </c>
    </row>
    <row r="42" spans="1:36" ht="12.75" customHeight="1" x14ac:dyDescent="0.25">
      <c r="A42" s="563" t="s">
        <v>629</v>
      </c>
      <c r="B42" s="1115" t="s">
        <v>106</v>
      </c>
      <c r="C42" s="1114"/>
      <c r="D42" s="635">
        <f t="shared" si="1"/>
        <v>0</v>
      </c>
      <c r="E42" s="89">
        <f t="shared" si="2"/>
        <v>0</v>
      </c>
      <c r="F42" s="637">
        <f t="shared" si="3"/>
        <v>0</v>
      </c>
      <c r="G42" s="31">
        <v>0</v>
      </c>
      <c r="H42" s="29"/>
      <c r="I42" s="57">
        <f t="shared" si="4"/>
        <v>0</v>
      </c>
      <c r="J42" s="29">
        <v>0</v>
      </c>
      <c r="K42" s="29"/>
      <c r="L42" s="57">
        <f t="shared" si="5"/>
        <v>0</v>
      </c>
      <c r="M42" s="29"/>
      <c r="N42" s="29"/>
      <c r="O42" s="57">
        <f t="shared" si="6"/>
        <v>0</v>
      </c>
      <c r="P42" s="29">
        <v>0</v>
      </c>
      <c r="Q42" s="29"/>
      <c r="R42" s="57">
        <f t="shared" si="7"/>
        <v>0</v>
      </c>
      <c r="S42" s="29"/>
      <c r="T42" s="29"/>
      <c r="U42" s="57">
        <f t="shared" si="8"/>
        <v>0</v>
      </c>
      <c r="V42" s="29">
        <v>0</v>
      </c>
      <c r="W42" s="29"/>
      <c r="X42" s="57">
        <f t="shared" si="9"/>
        <v>0</v>
      </c>
      <c r="Y42" s="29">
        <v>0</v>
      </c>
      <c r="Z42" s="29"/>
      <c r="AA42" s="57">
        <f t="shared" si="10"/>
        <v>0</v>
      </c>
      <c r="AB42" s="57"/>
      <c r="AC42" s="57"/>
      <c r="AD42" s="57">
        <f t="shared" si="11"/>
        <v>0</v>
      </c>
      <c r="AE42" s="29"/>
      <c r="AF42" s="29"/>
      <c r="AG42" s="57">
        <f t="shared" si="12"/>
        <v>0</v>
      </c>
      <c r="AH42" s="29"/>
      <c r="AI42" s="29"/>
      <c r="AJ42" s="561">
        <f t="shared" si="13"/>
        <v>0</v>
      </c>
    </row>
    <row r="43" spans="1:36" s="44" customFormat="1" ht="12.75" customHeight="1" x14ac:dyDescent="0.2">
      <c r="A43" s="560" t="s">
        <v>108</v>
      </c>
      <c r="B43" s="1119" t="s">
        <v>163</v>
      </c>
      <c r="C43" s="1104"/>
      <c r="D43" s="635">
        <f t="shared" si="1"/>
        <v>0</v>
      </c>
      <c r="E43" s="89">
        <f t="shared" si="2"/>
        <v>0</v>
      </c>
      <c r="F43" s="637">
        <f t="shared" si="3"/>
        <v>0</v>
      </c>
      <c r="G43" s="634">
        <v>0</v>
      </c>
      <c r="H43" s="57"/>
      <c r="I43" s="57">
        <f t="shared" si="4"/>
        <v>0</v>
      </c>
      <c r="J43" s="57">
        <v>0</v>
      </c>
      <c r="K43" s="57"/>
      <c r="L43" s="57">
        <f t="shared" si="5"/>
        <v>0</v>
      </c>
      <c r="M43" s="57"/>
      <c r="N43" s="57"/>
      <c r="O43" s="57">
        <f t="shared" si="6"/>
        <v>0</v>
      </c>
      <c r="P43" s="57">
        <v>0</v>
      </c>
      <c r="Q43" s="57"/>
      <c r="R43" s="57">
        <f t="shared" si="7"/>
        <v>0</v>
      </c>
      <c r="S43" s="57"/>
      <c r="T43" s="57"/>
      <c r="U43" s="57">
        <f t="shared" si="8"/>
        <v>0</v>
      </c>
      <c r="V43" s="57">
        <v>0</v>
      </c>
      <c r="W43" s="57"/>
      <c r="X43" s="57">
        <f t="shared" si="9"/>
        <v>0</v>
      </c>
      <c r="Y43" s="57">
        <v>0</v>
      </c>
      <c r="Z43" s="57"/>
      <c r="AA43" s="57">
        <f t="shared" si="10"/>
        <v>0</v>
      </c>
      <c r="AB43" s="57"/>
      <c r="AC43" s="57"/>
      <c r="AD43" s="57">
        <f t="shared" si="11"/>
        <v>0</v>
      </c>
      <c r="AE43" s="57"/>
      <c r="AF43" s="57"/>
      <c r="AG43" s="57">
        <f t="shared" si="12"/>
        <v>0</v>
      </c>
      <c r="AH43" s="57"/>
      <c r="AI43" s="57"/>
      <c r="AJ43" s="561">
        <f t="shared" si="13"/>
        <v>0</v>
      </c>
    </row>
    <row r="44" spans="1:36" ht="12" customHeight="1" x14ac:dyDescent="0.25">
      <c r="A44" s="562"/>
      <c r="B44" s="1044"/>
      <c r="C44" s="1045"/>
      <c r="D44" s="854">
        <f t="shared" si="1"/>
        <v>0</v>
      </c>
      <c r="E44" s="839">
        <f t="shared" si="2"/>
        <v>0</v>
      </c>
      <c r="F44" s="855">
        <f t="shared" si="3"/>
        <v>0</v>
      </c>
      <c r="G44" s="60">
        <v>0</v>
      </c>
      <c r="H44" s="60"/>
      <c r="I44" s="244">
        <f t="shared" si="4"/>
        <v>0</v>
      </c>
      <c r="J44" s="60">
        <v>0</v>
      </c>
      <c r="K44" s="60"/>
      <c r="L44" s="244">
        <f t="shared" si="5"/>
        <v>0</v>
      </c>
      <c r="M44" s="60"/>
      <c r="N44" s="60"/>
      <c r="O44" s="244">
        <f t="shared" si="6"/>
        <v>0</v>
      </c>
      <c r="P44" s="60">
        <v>0</v>
      </c>
      <c r="Q44" s="60"/>
      <c r="R44" s="244">
        <f t="shared" si="7"/>
        <v>0</v>
      </c>
      <c r="S44" s="60"/>
      <c r="T44" s="60"/>
      <c r="U44" s="244">
        <f t="shared" si="8"/>
        <v>0</v>
      </c>
      <c r="V44" s="60">
        <v>0</v>
      </c>
      <c r="W44" s="60"/>
      <c r="X44" s="244">
        <f t="shared" si="9"/>
        <v>0</v>
      </c>
      <c r="Y44" s="60">
        <v>0</v>
      </c>
      <c r="Z44" s="60"/>
      <c r="AA44" s="244">
        <f t="shared" si="10"/>
        <v>0</v>
      </c>
      <c r="AB44" s="244"/>
      <c r="AC44" s="244"/>
      <c r="AD44" s="244"/>
      <c r="AE44" s="60"/>
      <c r="AF44" s="60"/>
      <c r="AG44" s="244">
        <f t="shared" si="12"/>
        <v>0</v>
      </c>
      <c r="AH44" s="60"/>
      <c r="AI44" s="60"/>
      <c r="AJ44" s="636">
        <f t="shared" si="13"/>
        <v>0</v>
      </c>
    </row>
    <row r="45" spans="1:36" ht="12.75" customHeight="1" x14ac:dyDescent="0.25">
      <c r="A45" s="563" t="s">
        <v>110</v>
      </c>
      <c r="B45" s="1115" t="s">
        <v>109</v>
      </c>
      <c r="C45" s="1114"/>
      <c r="D45" s="635">
        <f t="shared" si="1"/>
        <v>4571</v>
      </c>
      <c r="E45" s="89">
        <f t="shared" si="2"/>
        <v>2362</v>
      </c>
      <c r="F45" s="637">
        <f t="shared" si="3"/>
        <v>6933</v>
      </c>
      <c r="G45" s="31">
        <v>2658</v>
      </c>
      <c r="H45" s="29"/>
      <c r="I45" s="57">
        <f t="shared" si="4"/>
        <v>2658</v>
      </c>
      <c r="J45" s="29">
        <v>0</v>
      </c>
      <c r="K45" s="29"/>
      <c r="L45" s="57">
        <f t="shared" si="5"/>
        <v>0</v>
      </c>
      <c r="M45" s="29"/>
      <c r="N45" s="29"/>
      <c r="O45" s="57">
        <f t="shared" si="6"/>
        <v>0</v>
      </c>
      <c r="P45" s="29">
        <v>1913</v>
      </c>
      <c r="Q45" s="29">
        <v>2362</v>
      </c>
      <c r="R45" s="57">
        <f t="shared" si="7"/>
        <v>4275</v>
      </c>
      <c r="S45" s="29"/>
      <c r="T45" s="29"/>
      <c r="U45" s="57">
        <f t="shared" si="8"/>
        <v>0</v>
      </c>
      <c r="V45" s="29">
        <v>0</v>
      </c>
      <c r="W45" s="29"/>
      <c r="X45" s="57">
        <f t="shared" si="9"/>
        <v>0</v>
      </c>
      <c r="Y45" s="29">
        <v>0</v>
      </c>
      <c r="Z45" s="29"/>
      <c r="AA45" s="57">
        <f t="shared" si="10"/>
        <v>0</v>
      </c>
      <c r="AB45" s="57"/>
      <c r="AC45" s="57"/>
      <c r="AD45" s="57">
        <f t="shared" si="11"/>
        <v>0</v>
      </c>
      <c r="AE45" s="29"/>
      <c r="AF45" s="29"/>
      <c r="AG45" s="57">
        <f t="shared" si="12"/>
        <v>0</v>
      </c>
      <c r="AH45" s="29"/>
      <c r="AI45" s="29"/>
      <c r="AJ45" s="561">
        <f t="shared" si="13"/>
        <v>0</v>
      </c>
    </row>
    <row r="46" spans="1:36" ht="12.75" customHeight="1" x14ac:dyDescent="0.25">
      <c r="A46" s="563" t="s">
        <v>111</v>
      </c>
      <c r="B46" s="1115" t="s">
        <v>162</v>
      </c>
      <c r="C46" s="1114"/>
      <c r="D46" s="635">
        <f t="shared" si="1"/>
        <v>888819</v>
      </c>
      <c r="E46" s="89">
        <f t="shared" si="2"/>
        <v>0</v>
      </c>
      <c r="F46" s="637">
        <f t="shared" si="3"/>
        <v>888819</v>
      </c>
      <c r="G46" s="31">
        <v>152384</v>
      </c>
      <c r="H46" s="29"/>
      <c r="I46" s="57">
        <f t="shared" si="4"/>
        <v>152384</v>
      </c>
      <c r="J46" s="29">
        <v>103614</v>
      </c>
      <c r="K46" s="29"/>
      <c r="L46" s="57">
        <f t="shared" si="5"/>
        <v>103614</v>
      </c>
      <c r="M46" s="29">
        <f>59255-490</f>
        <v>58765</v>
      </c>
      <c r="N46" s="29"/>
      <c r="O46" s="57">
        <f t="shared" si="6"/>
        <v>58765</v>
      </c>
      <c r="P46" s="29">
        <v>0</v>
      </c>
      <c r="Q46" s="29"/>
      <c r="R46" s="57">
        <f t="shared" si="7"/>
        <v>0</v>
      </c>
      <c r="S46" s="29"/>
      <c r="T46" s="29"/>
      <c r="U46" s="57">
        <f t="shared" si="8"/>
        <v>0</v>
      </c>
      <c r="V46" s="29">
        <v>0</v>
      </c>
      <c r="W46" s="29"/>
      <c r="X46" s="57">
        <f t="shared" si="9"/>
        <v>0</v>
      </c>
      <c r="Y46" s="29">
        <v>0</v>
      </c>
      <c r="Z46" s="29"/>
      <c r="AA46" s="57">
        <f t="shared" si="10"/>
        <v>0</v>
      </c>
      <c r="AB46" s="57"/>
      <c r="AC46" s="57"/>
      <c r="AD46" s="57">
        <f t="shared" si="11"/>
        <v>0</v>
      </c>
      <c r="AE46" s="29">
        <v>451823</v>
      </c>
      <c r="AF46" s="29"/>
      <c r="AG46" s="57">
        <f t="shared" si="12"/>
        <v>451823</v>
      </c>
      <c r="AH46" s="29">
        <f>120060+2173</f>
        <v>122233</v>
      </c>
      <c r="AI46" s="29"/>
      <c r="AJ46" s="561">
        <f t="shared" si="13"/>
        <v>122233</v>
      </c>
    </row>
    <row r="47" spans="1:36" ht="12.75" customHeight="1" x14ac:dyDescent="0.25">
      <c r="A47" s="563" t="s">
        <v>114</v>
      </c>
      <c r="B47" s="1115" t="s">
        <v>113</v>
      </c>
      <c r="C47" s="1114"/>
      <c r="D47" s="635">
        <f t="shared" si="1"/>
        <v>0</v>
      </c>
      <c r="E47" s="89">
        <f t="shared" si="2"/>
        <v>0</v>
      </c>
      <c r="F47" s="637">
        <f t="shared" si="3"/>
        <v>0</v>
      </c>
      <c r="G47" s="31">
        <v>0</v>
      </c>
      <c r="H47" s="29"/>
      <c r="I47" s="57">
        <f t="shared" si="4"/>
        <v>0</v>
      </c>
      <c r="J47" s="29">
        <v>0</v>
      </c>
      <c r="K47" s="29"/>
      <c r="L47" s="57">
        <f t="shared" si="5"/>
        <v>0</v>
      </c>
      <c r="M47" s="29"/>
      <c r="N47" s="29"/>
      <c r="O47" s="57">
        <f t="shared" si="6"/>
        <v>0</v>
      </c>
      <c r="P47" s="29">
        <v>0</v>
      </c>
      <c r="Q47" s="29"/>
      <c r="R47" s="57">
        <f t="shared" si="7"/>
        <v>0</v>
      </c>
      <c r="S47" s="29"/>
      <c r="T47" s="29"/>
      <c r="U47" s="57">
        <f t="shared" si="8"/>
        <v>0</v>
      </c>
      <c r="V47" s="29">
        <v>0</v>
      </c>
      <c r="W47" s="29"/>
      <c r="X47" s="57">
        <f t="shared" si="9"/>
        <v>0</v>
      </c>
      <c r="Y47" s="29">
        <v>0</v>
      </c>
      <c r="Z47" s="29"/>
      <c r="AA47" s="57">
        <f t="shared" si="10"/>
        <v>0</v>
      </c>
      <c r="AB47" s="57"/>
      <c r="AC47" s="57"/>
      <c r="AD47" s="57">
        <f t="shared" si="11"/>
        <v>0</v>
      </c>
      <c r="AE47" s="29"/>
      <c r="AF47" s="29"/>
      <c r="AG47" s="57">
        <f t="shared" si="12"/>
        <v>0</v>
      </c>
      <c r="AH47" s="29"/>
      <c r="AI47" s="29"/>
      <c r="AJ47" s="561">
        <f t="shared" si="13"/>
        <v>0</v>
      </c>
    </row>
    <row r="48" spans="1:36" ht="12.75" customHeight="1" x14ac:dyDescent="0.25">
      <c r="A48" s="563" t="s">
        <v>116</v>
      </c>
      <c r="B48" s="1115" t="s">
        <v>115</v>
      </c>
      <c r="C48" s="1114"/>
      <c r="D48" s="635">
        <f t="shared" si="1"/>
        <v>796</v>
      </c>
      <c r="E48" s="89">
        <f t="shared" si="2"/>
        <v>4222</v>
      </c>
      <c r="F48" s="637">
        <f t="shared" si="3"/>
        <v>5018</v>
      </c>
      <c r="G48" s="31">
        <v>0</v>
      </c>
      <c r="H48" s="29"/>
      <c r="I48" s="57">
        <f t="shared" si="4"/>
        <v>0</v>
      </c>
      <c r="J48" s="29">
        <v>796</v>
      </c>
      <c r="K48" s="29"/>
      <c r="L48" s="57">
        <f t="shared" si="5"/>
        <v>796</v>
      </c>
      <c r="M48" s="29"/>
      <c r="N48" s="29"/>
      <c r="O48" s="57">
        <f t="shared" si="6"/>
        <v>0</v>
      </c>
      <c r="P48" s="29">
        <v>0</v>
      </c>
      <c r="Q48" s="29">
        <v>2362</v>
      </c>
      <c r="R48" s="57">
        <f t="shared" si="7"/>
        <v>2362</v>
      </c>
      <c r="S48" s="29"/>
      <c r="T48" s="29"/>
      <c r="U48" s="57">
        <f t="shared" si="8"/>
        <v>0</v>
      </c>
      <c r="V48" s="29">
        <v>0</v>
      </c>
      <c r="W48" s="29"/>
      <c r="X48" s="57">
        <f t="shared" si="9"/>
        <v>0</v>
      </c>
      <c r="Y48" s="29">
        <v>0</v>
      </c>
      <c r="Z48" s="29"/>
      <c r="AA48" s="57">
        <f t="shared" si="10"/>
        <v>0</v>
      </c>
      <c r="AB48" s="57"/>
      <c r="AC48" s="57">
        <v>1860</v>
      </c>
      <c r="AD48" s="57">
        <f t="shared" si="11"/>
        <v>1860</v>
      </c>
      <c r="AE48" s="29"/>
      <c r="AF48" s="29"/>
      <c r="AG48" s="57">
        <f t="shared" si="12"/>
        <v>0</v>
      </c>
      <c r="AH48" s="29"/>
      <c r="AI48" s="29"/>
      <c r="AJ48" s="561">
        <f t="shared" si="13"/>
        <v>0</v>
      </c>
    </row>
    <row r="49" spans="1:38" ht="12.75" customHeight="1" x14ac:dyDescent="0.25">
      <c r="A49" s="563" t="s">
        <v>118</v>
      </c>
      <c r="B49" s="1115" t="s">
        <v>117</v>
      </c>
      <c r="C49" s="1114"/>
      <c r="D49" s="635">
        <f t="shared" si="1"/>
        <v>0</v>
      </c>
      <c r="E49" s="89">
        <f t="shared" si="2"/>
        <v>0</v>
      </c>
      <c r="F49" s="637">
        <f t="shared" si="3"/>
        <v>0</v>
      </c>
      <c r="G49" s="31">
        <v>0</v>
      </c>
      <c r="H49" s="29"/>
      <c r="I49" s="57">
        <f t="shared" si="4"/>
        <v>0</v>
      </c>
      <c r="J49" s="29">
        <v>0</v>
      </c>
      <c r="K49" s="29"/>
      <c r="L49" s="57">
        <f t="shared" si="5"/>
        <v>0</v>
      </c>
      <c r="M49" s="29"/>
      <c r="N49" s="29"/>
      <c r="O49" s="57">
        <f t="shared" si="6"/>
        <v>0</v>
      </c>
      <c r="P49" s="29">
        <v>0</v>
      </c>
      <c r="Q49" s="29"/>
      <c r="R49" s="57">
        <f t="shared" si="7"/>
        <v>0</v>
      </c>
      <c r="S49" s="29"/>
      <c r="T49" s="29"/>
      <c r="U49" s="57">
        <f t="shared" si="8"/>
        <v>0</v>
      </c>
      <c r="V49" s="29">
        <v>0</v>
      </c>
      <c r="W49" s="29"/>
      <c r="X49" s="57">
        <f t="shared" si="9"/>
        <v>0</v>
      </c>
      <c r="Y49" s="29">
        <v>0</v>
      </c>
      <c r="Z49" s="29"/>
      <c r="AA49" s="57">
        <f t="shared" si="10"/>
        <v>0</v>
      </c>
      <c r="AB49" s="57"/>
      <c r="AC49" s="57"/>
      <c r="AD49" s="57">
        <f t="shared" si="11"/>
        <v>0</v>
      </c>
      <c r="AE49" s="29"/>
      <c r="AF49" s="29"/>
      <c r="AG49" s="57">
        <f t="shared" si="12"/>
        <v>0</v>
      </c>
      <c r="AH49" s="29"/>
      <c r="AI49" s="29"/>
      <c r="AJ49" s="561">
        <f t="shared" si="13"/>
        <v>0</v>
      </c>
    </row>
    <row r="50" spans="1:38" ht="12.75" customHeight="1" x14ac:dyDescent="0.25">
      <c r="A50" s="563" t="s">
        <v>120</v>
      </c>
      <c r="B50" s="1115" t="s">
        <v>119</v>
      </c>
      <c r="C50" s="1114"/>
      <c r="D50" s="635">
        <f t="shared" si="1"/>
        <v>0</v>
      </c>
      <c r="E50" s="89">
        <f t="shared" si="2"/>
        <v>0</v>
      </c>
      <c r="F50" s="637">
        <f t="shared" si="3"/>
        <v>0</v>
      </c>
      <c r="G50" s="31">
        <v>0</v>
      </c>
      <c r="H50" s="29"/>
      <c r="I50" s="57">
        <f t="shared" si="4"/>
        <v>0</v>
      </c>
      <c r="J50" s="29">
        <v>0</v>
      </c>
      <c r="K50" s="29"/>
      <c r="L50" s="57">
        <f t="shared" si="5"/>
        <v>0</v>
      </c>
      <c r="M50" s="29"/>
      <c r="N50" s="29"/>
      <c r="O50" s="57">
        <f t="shared" si="6"/>
        <v>0</v>
      </c>
      <c r="P50" s="29">
        <v>0</v>
      </c>
      <c r="Q50" s="29"/>
      <c r="R50" s="57">
        <f t="shared" si="7"/>
        <v>0</v>
      </c>
      <c r="S50" s="29"/>
      <c r="T50" s="29"/>
      <c r="U50" s="57">
        <f t="shared" si="8"/>
        <v>0</v>
      </c>
      <c r="V50" s="29">
        <v>0</v>
      </c>
      <c r="W50" s="29"/>
      <c r="X50" s="57">
        <f t="shared" si="9"/>
        <v>0</v>
      </c>
      <c r="Y50" s="29">
        <v>0</v>
      </c>
      <c r="Z50" s="29"/>
      <c r="AA50" s="57">
        <f t="shared" si="10"/>
        <v>0</v>
      </c>
      <c r="AB50" s="57"/>
      <c r="AC50" s="57"/>
      <c r="AD50" s="57">
        <f t="shared" si="11"/>
        <v>0</v>
      </c>
      <c r="AE50" s="29"/>
      <c r="AF50" s="29"/>
      <c r="AG50" s="57">
        <f t="shared" si="12"/>
        <v>0</v>
      </c>
      <c r="AH50" s="29"/>
      <c r="AI50" s="29"/>
      <c r="AJ50" s="561">
        <f t="shared" si="13"/>
        <v>0</v>
      </c>
    </row>
    <row r="51" spans="1:38" ht="12.75" customHeight="1" x14ac:dyDescent="0.25">
      <c r="A51" s="563" t="s">
        <v>122</v>
      </c>
      <c r="B51" s="1115" t="s">
        <v>121</v>
      </c>
      <c r="C51" s="1114"/>
      <c r="D51" s="635">
        <f t="shared" si="1"/>
        <v>44055</v>
      </c>
      <c r="E51" s="89">
        <f t="shared" si="2"/>
        <v>1778</v>
      </c>
      <c r="F51" s="637">
        <f t="shared" si="3"/>
        <v>45833</v>
      </c>
      <c r="G51" s="31">
        <v>25860</v>
      </c>
      <c r="H51" s="29"/>
      <c r="I51" s="57">
        <f t="shared" si="4"/>
        <v>25860</v>
      </c>
      <c r="J51" s="29">
        <v>1226</v>
      </c>
      <c r="K51" s="29"/>
      <c r="L51" s="57">
        <f t="shared" si="5"/>
        <v>1226</v>
      </c>
      <c r="M51" s="29">
        <f>15999-133</f>
        <v>15866</v>
      </c>
      <c r="N51" s="29"/>
      <c r="O51" s="57">
        <f t="shared" si="6"/>
        <v>15866</v>
      </c>
      <c r="P51" s="29">
        <v>516</v>
      </c>
      <c r="Q51" s="29">
        <v>1276</v>
      </c>
      <c r="R51" s="57">
        <f t="shared" si="7"/>
        <v>1792</v>
      </c>
      <c r="S51" s="29"/>
      <c r="T51" s="29"/>
      <c r="U51" s="57">
        <f t="shared" si="8"/>
        <v>0</v>
      </c>
      <c r="V51" s="29">
        <v>0</v>
      </c>
      <c r="W51" s="29"/>
      <c r="X51" s="57">
        <f t="shared" si="9"/>
        <v>0</v>
      </c>
      <c r="Y51" s="29">
        <v>0</v>
      </c>
      <c r="Z51" s="29"/>
      <c r="AA51" s="57">
        <f t="shared" si="10"/>
        <v>0</v>
      </c>
      <c r="AB51" s="57"/>
      <c r="AC51" s="57">
        <v>502</v>
      </c>
      <c r="AD51" s="57">
        <f t="shared" si="11"/>
        <v>502</v>
      </c>
      <c r="AE51" s="29"/>
      <c r="AF51" s="29"/>
      <c r="AG51" s="57">
        <f t="shared" si="12"/>
        <v>0</v>
      </c>
      <c r="AH51" s="29">
        <v>587</v>
      </c>
      <c r="AI51" s="29"/>
      <c r="AJ51" s="561">
        <f t="shared" si="13"/>
        <v>587</v>
      </c>
    </row>
    <row r="52" spans="1:38" s="44" customFormat="1" ht="12.75" customHeight="1" x14ac:dyDescent="0.2">
      <c r="A52" s="560" t="s">
        <v>123</v>
      </c>
      <c r="B52" s="1119" t="s">
        <v>161</v>
      </c>
      <c r="C52" s="1104"/>
      <c r="D52" s="635">
        <f t="shared" si="1"/>
        <v>938241</v>
      </c>
      <c r="E52" s="89">
        <f t="shared" si="2"/>
        <v>8362</v>
      </c>
      <c r="F52" s="637">
        <f t="shared" si="3"/>
        <v>946603</v>
      </c>
      <c r="G52" s="634">
        <v>180902</v>
      </c>
      <c r="H52" s="57">
        <f t="shared" ref="H52:AI52" si="36">+H51+H50+H49+H48+H47+H46+H45</f>
        <v>0</v>
      </c>
      <c r="I52" s="57">
        <f t="shared" si="4"/>
        <v>180902</v>
      </c>
      <c r="J52" s="57">
        <v>105636</v>
      </c>
      <c r="K52" s="57">
        <f t="shared" si="36"/>
        <v>0</v>
      </c>
      <c r="L52" s="57">
        <f t="shared" si="5"/>
        <v>105636</v>
      </c>
      <c r="M52" s="57">
        <f t="shared" si="36"/>
        <v>74631</v>
      </c>
      <c r="N52" s="57">
        <f t="shared" si="36"/>
        <v>0</v>
      </c>
      <c r="O52" s="57">
        <f t="shared" si="6"/>
        <v>74631</v>
      </c>
      <c r="P52" s="57">
        <v>2429</v>
      </c>
      <c r="Q52" s="57">
        <f t="shared" si="36"/>
        <v>6000</v>
      </c>
      <c r="R52" s="57">
        <f t="shared" si="7"/>
        <v>8429</v>
      </c>
      <c r="S52" s="57">
        <f t="shared" si="36"/>
        <v>0</v>
      </c>
      <c r="T52" s="57">
        <f t="shared" si="36"/>
        <v>0</v>
      </c>
      <c r="U52" s="57">
        <f t="shared" si="8"/>
        <v>0</v>
      </c>
      <c r="V52" s="57">
        <v>0</v>
      </c>
      <c r="W52" s="57">
        <f t="shared" si="36"/>
        <v>0</v>
      </c>
      <c r="X52" s="57">
        <f t="shared" si="9"/>
        <v>0</v>
      </c>
      <c r="Y52" s="57">
        <v>0</v>
      </c>
      <c r="Z52" s="57">
        <f t="shared" si="36"/>
        <v>0</v>
      </c>
      <c r="AA52" s="57">
        <f t="shared" si="10"/>
        <v>0</v>
      </c>
      <c r="AB52" s="57">
        <f>SUM(AB45:AB51)</f>
        <v>0</v>
      </c>
      <c r="AC52" s="57">
        <f t="shared" ref="AC52:AD52" si="37">SUM(AC45:AC51)</f>
        <v>2362</v>
      </c>
      <c r="AD52" s="57">
        <f t="shared" si="37"/>
        <v>2362</v>
      </c>
      <c r="AE52" s="57">
        <f t="shared" si="36"/>
        <v>451823</v>
      </c>
      <c r="AF52" s="57">
        <f t="shared" si="36"/>
        <v>0</v>
      </c>
      <c r="AG52" s="57">
        <f t="shared" si="12"/>
        <v>451823</v>
      </c>
      <c r="AH52" s="57">
        <f t="shared" si="36"/>
        <v>122820</v>
      </c>
      <c r="AI52" s="57">
        <f t="shared" si="36"/>
        <v>0</v>
      </c>
      <c r="AJ52" s="561">
        <f t="shared" si="13"/>
        <v>122820</v>
      </c>
    </row>
    <row r="53" spans="1:38" x14ac:dyDescent="0.25">
      <c r="A53" s="562"/>
      <c r="B53" s="1044"/>
      <c r="C53" s="1045"/>
      <c r="D53" s="854"/>
      <c r="E53" s="839"/>
      <c r="F53" s="855"/>
      <c r="G53" s="60"/>
      <c r="H53" s="60"/>
      <c r="I53" s="244"/>
      <c r="J53" s="60"/>
      <c r="K53" s="60"/>
      <c r="L53" s="244"/>
      <c r="M53" s="60"/>
      <c r="N53" s="60"/>
      <c r="O53" s="244"/>
      <c r="P53" s="60"/>
      <c r="Q53" s="60"/>
      <c r="R53" s="244"/>
      <c r="S53" s="60"/>
      <c r="T53" s="60"/>
      <c r="U53" s="244"/>
      <c r="V53" s="60"/>
      <c r="W53" s="60"/>
      <c r="X53" s="244"/>
      <c r="Y53" s="60"/>
      <c r="Z53" s="60"/>
      <c r="AA53" s="244"/>
      <c r="AB53" s="244"/>
      <c r="AC53" s="244"/>
      <c r="AD53" s="244"/>
      <c r="AE53" s="60"/>
      <c r="AF53" s="60"/>
      <c r="AG53" s="244"/>
      <c r="AH53" s="60"/>
      <c r="AI53" s="60"/>
      <c r="AJ53" s="636"/>
    </row>
    <row r="54" spans="1:38" ht="12.75" customHeight="1" x14ac:dyDescent="0.25">
      <c r="A54" s="563" t="s">
        <v>125</v>
      </c>
      <c r="B54" s="1115" t="s">
        <v>124</v>
      </c>
      <c r="C54" s="1114"/>
      <c r="D54" s="635">
        <f t="shared" si="1"/>
        <v>24745</v>
      </c>
      <c r="E54" s="89">
        <f t="shared" si="2"/>
        <v>14070</v>
      </c>
      <c r="F54" s="637">
        <f t="shared" si="3"/>
        <v>38815</v>
      </c>
      <c r="G54" s="31">
        <v>0</v>
      </c>
      <c r="H54" s="29"/>
      <c r="I54" s="57">
        <f t="shared" si="4"/>
        <v>0</v>
      </c>
      <c r="J54" s="29">
        <v>0</v>
      </c>
      <c r="K54" s="29"/>
      <c r="L54" s="57">
        <f t="shared" si="5"/>
        <v>0</v>
      </c>
      <c r="M54" s="29"/>
      <c r="N54" s="29"/>
      <c r="O54" s="57">
        <f t="shared" si="6"/>
        <v>0</v>
      </c>
      <c r="P54" s="29">
        <v>0</v>
      </c>
      <c r="Q54" s="29"/>
      <c r="R54" s="57">
        <f t="shared" si="7"/>
        <v>0</v>
      </c>
      <c r="S54" s="29">
        <v>24745</v>
      </c>
      <c r="T54" s="29"/>
      <c r="U54" s="57">
        <f t="shared" si="8"/>
        <v>24745</v>
      </c>
      <c r="V54" s="29">
        <v>0</v>
      </c>
      <c r="W54" s="29"/>
      <c r="X54" s="57">
        <f t="shared" si="9"/>
        <v>0</v>
      </c>
      <c r="Y54" s="29">
        <v>0</v>
      </c>
      <c r="Z54" s="29"/>
      <c r="AA54" s="57">
        <f t="shared" si="10"/>
        <v>0</v>
      </c>
      <c r="AB54" s="57"/>
      <c r="AC54" s="57">
        <v>14070</v>
      </c>
      <c r="AD54" s="57">
        <f t="shared" si="11"/>
        <v>14070</v>
      </c>
      <c r="AE54" s="29"/>
      <c r="AF54" s="29"/>
      <c r="AG54" s="57">
        <f t="shared" si="12"/>
        <v>0</v>
      </c>
      <c r="AH54" s="29"/>
      <c r="AI54" s="29"/>
      <c r="AJ54" s="561">
        <f t="shared" si="13"/>
        <v>0</v>
      </c>
    </row>
    <row r="55" spans="1:38" ht="12.75" customHeight="1" x14ac:dyDescent="0.25">
      <c r="A55" s="563" t="s">
        <v>127</v>
      </c>
      <c r="B55" s="1115" t="s">
        <v>126</v>
      </c>
      <c r="C55" s="1114"/>
      <c r="D55" s="635">
        <f t="shared" si="1"/>
        <v>0</v>
      </c>
      <c r="E55" s="89">
        <f t="shared" si="2"/>
        <v>0</v>
      </c>
      <c r="F55" s="637">
        <f t="shared" si="3"/>
        <v>0</v>
      </c>
      <c r="G55" s="31">
        <v>0</v>
      </c>
      <c r="H55" s="29"/>
      <c r="I55" s="57">
        <f t="shared" si="4"/>
        <v>0</v>
      </c>
      <c r="J55" s="29">
        <v>0</v>
      </c>
      <c r="K55" s="29"/>
      <c r="L55" s="57">
        <f t="shared" si="5"/>
        <v>0</v>
      </c>
      <c r="M55" s="29"/>
      <c r="N55" s="29"/>
      <c r="O55" s="57">
        <f t="shared" si="6"/>
        <v>0</v>
      </c>
      <c r="P55" s="29">
        <v>0</v>
      </c>
      <c r="Q55" s="29"/>
      <c r="R55" s="57">
        <f t="shared" si="7"/>
        <v>0</v>
      </c>
      <c r="S55" s="29"/>
      <c r="T55" s="29"/>
      <c r="U55" s="57">
        <f t="shared" si="8"/>
        <v>0</v>
      </c>
      <c r="V55" s="29">
        <v>0</v>
      </c>
      <c r="W55" s="29"/>
      <c r="X55" s="57">
        <f t="shared" si="9"/>
        <v>0</v>
      </c>
      <c r="Y55" s="29">
        <v>0</v>
      </c>
      <c r="Z55" s="29"/>
      <c r="AA55" s="57">
        <f t="shared" si="10"/>
        <v>0</v>
      </c>
      <c r="AB55" s="57"/>
      <c r="AC55" s="57"/>
      <c r="AD55" s="57">
        <f t="shared" si="11"/>
        <v>0</v>
      </c>
      <c r="AE55" s="29"/>
      <c r="AF55" s="29"/>
      <c r="AG55" s="57">
        <f t="shared" si="12"/>
        <v>0</v>
      </c>
      <c r="AH55" s="29"/>
      <c r="AI55" s="29"/>
      <c r="AJ55" s="561">
        <f t="shared" si="13"/>
        <v>0</v>
      </c>
    </row>
    <row r="56" spans="1:38" ht="12.75" customHeight="1" x14ac:dyDescent="0.25">
      <c r="A56" s="563" t="s">
        <v>129</v>
      </c>
      <c r="B56" s="1115" t="s">
        <v>128</v>
      </c>
      <c r="C56" s="1114"/>
      <c r="D56" s="635">
        <f t="shared" si="1"/>
        <v>0</v>
      </c>
      <c r="E56" s="89">
        <f t="shared" si="2"/>
        <v>0</v>
      </c>
      <c r="F56" s="637">
        <f t="shared" si="3"/>
        <v>0</v>
      </c>
      <c r="G56" s="31">
        <v>0</v>
      </c>
      <c r="H56" s="29"/>
      <c r="I56" s="57">
        <f t="shared" si="4"/>
        <v>0</v>
      </c>
      <c r="J56" s="29">
        <v>0</v>
      </c>
      <c r="K56" s="29"/>
      <c r="L56" s="57">
        <f t="shared" si="5"/>
        <v>0</v>
      </c>
      <c r="M56" s="29"/>
      <c r="N56" s="29"/>
      <c r="O56" s="57">
        <f t="shared" si="6"/>
        <v>0</v>
      </c>
      <c r="P56" s="29">
        <v>0</v>
      </c>
      <c r="Q56" s="29"/>
      <c r="R56" s="57">
        <f t="shared" si="7"/>
        <v>0</v>
      </c>
      <c r="S56" s="29"/>
      <c r="T56" s="29"/>
      <c r="U56" s="57">
        <f t="shared" si="8"/>
        <v>0</v>
      </c>
      <c r="V56" s="29">
        <v>0</v>
      </c>
      <c r="W56" s="29"/>
      <c r="X56" s="57">
        <f t="shared" si="9"/>
        <v>0</v>
      </c>
      <c r="Y56" s="29">
        <v>0</v>
      </c>
      <c r="Z56" s="29"/>
      <c r="AA56" s="57">
        <f t="shared" si="10"/>
        <v>0</v>
      </c>
      <c r="AB56" s="57"/>
      <c r="AC56" s="57"/>
      <c r="AD56" s="57">
        <f t="shared" si="11"/>
        <v>0</v>
      </c>
      <c r="AE56" s="29"/>
      <c r="AF56" s="29"/>
      <c r="AG56" s="57">
        <f t="shared" si="12"/>
        <v>0</v>
      </c>
      <c r="AH56" s="29"/>
      <c r="AI56" s="29"/>
      <c r="AJ56" s="561">
        <f t="shared" si="13"/>
        <v>0</v>
      </c>
    </row>
    <row r="57" spans="1:38" ht="12.75" customHeight="1" x14ac:dyDescent="0.25">
      <c r="A57" s="563" t="s">
        <v>131</v>
      </c>
      <c r="B57" s="1115" t="s">
        <v>130</v>
      </c>
      <c r="C57" s="1114"/>
      <c r="D57" s="635">
        <f t="shared" si="1"/>
        <v>0</v>
      </c>
      <c r="E57" s="89">
        <f t="shared" si="2"/>
        <v>3799</v>
      </c>
      <c r="F57" s="637">
        <f t="shared" si="3"/>
        <v>3799</v>
      </c>
      <c r="G57" s="31">
        <v>0</v>
      </c>
      <c r="H57" s="29"/>
      <c r="I57" s="57">
        <f t="shared" si="4"/>
        <v>0</v>
      </c>
      <c r="J57" s="29">
        <v>0</v>
      </c>
      <c r="K57" s="29"/>
      <c r="L57" s="57">
        <f t="shared" si="5"/>
        <v>0</v>
      </c>
      <c r="M57" s="29"/>
      <c r="N57" s="29"/>
      <c r="O57" s="57">
        <f t="shared" si="6"/>
        <v>0</v>
      </c>
      <c r="P57" s="29">
        <v>0</v>
      </c>
      <c r="Q57" s="29"/>
      <c r="R57" s="57">
        <f t="shared" si="7"/>
        <v>0</v>
      </c>
      <c r="S57" s="29"/>
      <c r="T57" s="29"/>
      <c r="U57" s="57">
        <f t="shared" si="8"/>
        <v>0</v>
      </c>
      <c r="V57" s="29">
        <v>0</v>
      </c>
      <c r="W57" s="29"/>
      <c r="X57" s="57">
        <f t="shared" si="9"/>
        <v>0</v>
      </c>
      <c r="Y57" s="29">
        <v>0</v>
      </c>
      <c r="Z57" s="29"/>
      <c r="AA57" s="57">
        <f t="shared" si="10"/>
        <v>0</v>
      </c>
      <c r="AB57" s="57"/>
      <c r="AC57" s="57">
        <v>3799</v>
      </c>
      <c r="AD57" s="57">
        <f t="shared" si="11"/>
        <v>3799</v>
      </c>
      <c r="AE57" s="29"/>
      <c r="AF57" s="29"/>
      <c r="AG57" s="57">
        <f t="shared" si="12"/>
        <v>0</v>
      </c>
      <c r="AH57" s="29"/>
      <c r="AI57" s="29"/>
      <c r="AJ57" s="561">
        <f t="shared" si="13"/>
        <v>0</v>
      </c>
    </row>
    <row r="58" spans="1:38" s="44" customFormat="1" ht="12.75" customHeight="1" x14ac:dyDescent="0.2">
      <c r="A58" s="560" t="s">
        <v>132</v>
      </c>
      <c r="B58" s="1119" t="s">
        <v>160</v>
      </c>
      <c r="C58" s="1104"/>
      <c r="D58" s="635">
        <f t="shared" si="1"/>
        <v>24745</v>
      </c>
      <c r="E58" s="89">
        <f t="shared" si="2"/>
        <v>17869</v>
      </c>
      <c r="F58" s="637">
        <f t="shared" si="3"/>
        <v>42614</v>
      </c>
      <c r="G58" s="634">
        <v>0</v>
      </c>
      <c r="H58" s="57">
        <f t="shared" ref="H58:AI58" si="38">SUM(H54:H57)</f>
        <v>0</v>
      </c>
      <c r="I58" s="57">
        <f t="shared" si="4"/>
        <v>0</v>
      </c>
      <c r="J58" s="57">
        <v>0</v>
      </c>
      <c r="K58" s="57">
        <f t="shared" si="38"/>
        <v>0</v>
      </c>
      <c r="L58" s="57">
        <f t="shared" si="5"/>
        <v>0</v>
      </c>
      <c r="M58" s="57">
        <f t="shared" si="38"/>
        <v>0</v>
      </c>
      <c r="N58" s="57">
        <f t="shared" si="38"/>
        <v>0</v>
      </c>
      <c r="O58" s="57">
        <f t="shared" si="6"/>
        <v>0</v>
      </c>
      <c r="P58" s="57">
        <v>0</v>
      </c>
      <c r="Q58" s="57">
        <f t="shared" si="38"/>
        <v>0</v>
      </c>
      <c r="R58" s="57">
        <f t="shared" si="7"/>
        <v>0</v>
      </c>
      <c r="S58" s="57">
        <f t="shared" si="38"/>
        <v>24745</v>
      </c>
      <c r="T58" s="57">
        <f t="shared" si="38"/>
        <v>0</v>
      </c>
      <c r="U58" s="57">
        <f t="shared" si="8"/>
        <v>24745</v>
      </c>
      <c r="V58" s="57">
        <v>0</v>
      </c>
      <c r="W58" s="57">
        <f t="shared" si="38"/>
        <v>0</v>
      </c>
      <c r="X58" s="57">
        <f t="shared" si="9"/>
        <v>0</v>
      </c>
      <c r="Y58" s="57">
        <v>0</v>
      </c>
      <c r="Z58" s="57">
        <f t="shared" si="38"/>
        <v>0</v>
      </c>
      <c r="AA58" s="57">
        <f t="shared" si="10"/>
        <v>0</v>
      </c>
      <c r="AB58" s="57">
        <f>SUM(AB54:AB57)</f>
        <v>0</v>
      </c>
      <c r="AC58" s="57">
        <f t="shared" ref="AC58:AD58" si="39">SUM(AC54:AC57)</f>
        <v>17869</v>
      </c>
      <c r="AD58" s="57">
        <f t="shared" si="39"/>
        <v>17869</v>
      </c>
      <c r="AE58" s="57">
        <f t="shared" si="38"/>
        <v>0</v>
      </c>
      <c r="AF58" s="57">
        <f t="shared" si="38"/>
        <v>0</v>
      </c>
      <c r="AG58" s="57">
        <f t="shared" si="12"/>
        <v>0</v>
      </c>
      <c r="AH58" s="57">
        <f t="shared" si="38"/>
        <v>0</v>
      </c>
      <c r="AI58" s="57">
        <f t="shared" si="38"/>
        <v>0</v>
      </c>
      <c r="AJ58" s="561">
        <f t="shared" si="13"/>
        <v>0</v>
      </c>
    </row>
    <row r="59" spans="1:38" x14ac:dyDescent="0.25">
      <c r="A59" s="562"/>
      <c r="B59" s="1044"/>
      <c r="C59" s="1045"/>
      <c r="D59" s="854"/>
      <c r="E59" s="839"/>
      <c r="F59" s="855"/>
      <c r="G59" s="60">
        <v>0</v>
      </c>
      <c r="H59" s="60"/>
      <c r="I59" s="244">
        <f t="shared" si="4"/>
        <v>0</v>
      </c>
      <c r="J59" s="60">
        <v>0</v>
      </c>
      <c r="K59" s="60"/>
      <c r="L59" s="244">
        <f t="shared" si="5"/>
        <v>0</v>
      </c>
      <c r="M59" s="60"/>
      <c r="N59" s="60"/>
      <c r="O59" s="244">
        <f t="shared" si="6"/>
        <v>0</v>
      </c>
      <c r="P59" s="60">
        <v>0</v>
      </c>
      <c r="Q59" s="60"/>
      <c r="R59" s="244">
        <f t="shared" si="7"/>
        <v>0</v>
      </c>
      <c r="S59" s="60"/>
      <c r="T59" s="60"/>
      <c r="U59" s="244">
        <f t="shared" si="8"/>
        <v>0</v>
      </c>
      <c r="V59" s="60">
        <v>0</v>
      </c>
      <c r="W59" s="60"/>
      <c r="X59" s="244">
        <f t="shared" si="9"/>
        <v>0</v>
      </c>
      <c r="Y59" s="60">
        <v>0</v>
      </c>
      <c r="Z59" s="60"/>
      <c r="AA59" s="244">
        <f t="shared" si="10"/>
        <v>0</v>
      </c>
      <c r="AB59" s="244"/>
      <c r="AC59" s="244"/>
      <c r="AD59" s="244"/>
      <c r="AE59" s="60"/>
      <c r="AF59" s="60"/>
      <c r="AG59" s="244">
        <f t="shared" si="12"/>
        <v>0</v>
      </c>
      <c r="AH59" s="60"/>
      <c r="AI59" s="60"/>
      <c r="AJ59" s="636">
        <f t="shared" si="13"/>
        <v>0</v>
      </c>
      <c r="AL59" s="352"/>
    </row>
    <row r="60" spans="1:38" x14ac:dyDescent="0.25">
      <c r="A60" s="563" t="s">
        <v>378</v>
      </c>
      <c r="B60" s="1155" t="s">
        <v>379</v>
      </c>
      <c r="C60" s="1156"/>
      <c r="D60" s="635">
        <f t="shared" si="1"/>
        <v>0</v>
      </c>
      <c r="E60" s="89">
        <f t="shared" si="2"/>
        <v>0</v>
      </c>
      <c r="F60" s="637">
        <f t="shared" si="3"/>
        <v>0</v>
      </c>
      <c r="G60" s="31">
        <v>0</v>
      </c>
      <c r="H60" s="29"/>
      <c r="I60" s="57">
        <f t="shared" si="4"/>
        <v>0</v>
      </c>
      <c r="J60" s="29">
        <v>0</v>
      </c>
      <c r="K60" s="29"/>
      <c r="L60" s="57">
        <f t="shared" si="5"/>
        <v>0</v>
      </c>
      <c r="M60" s="29"/>
      <c r="N60" s="29"/>
      <c r="O60" s="57">
        <f t="shared" si="6"/>
        <v>0</v>
      </c>
      <c r="P60" s="29">
        <v>0</v>
      </c>
      <c r="Q60" s="29"/>
      <c r="R60" s="57">
        <f t="shared" si="7"/>
        <v>0</v>
      </c>
      <c r="S60" s="29"/>
      <c r="T60" s="29"/>
      <c r="U60" s="57">
        <f t="shared" si="8"/>
        <v>0</v>
      </c>
      <c r="V60" s="29">
        <v>0</v>
      </c>
      <c r="W60" s="29"/>
      <c r="X60" s="57">
        <f t="shared" si="9"/>
        <v>0</v>
      </c>
      <c r="Y60" s="29">
        <v>0</v>
      </c>
      <c r="Z60" s="29"/>
      <c r="AA60" s="57">
        <f t="shared" si="10"/>
        <v>0</v>
      </c>
      <c r="AB60" s="57"/>
      <c r="AC60" s="57"/>
      <c r="AD60" s="57">
        <f t="shared" si="11"/>
        <v>0</v>
      </c>
      <c r="AE60" s="29"/>
      <c r="AF60" s="29"/>
      <c r="AG60" s="57">
        <f t="shared" si="12"/>
        <v>0</v>
      </c>
      <c r="AH60" s="29"/>
      <c r="AI60" s="29"/>
      <c r="AJ60" s="561">
        <f t="shared" si="13"/>
        <v>0</v>
      </c>
    </row>
    <row r="61" spans="1:38" x14ac:dyDescent="0.25">
      <c r="A61" s="563" t="s">
        <v>391</v>
      </c>
      <c r="B61" s="1115" t="s">
        <v>392</v>
      </c>
      <c r="C61" s="1114"/>
      <c r="D61" s="635">
        <f t="shared" si="1"/>
        <v>0</v>
      </c>
      <c r="E61" s="89">
        <f t="shared" si="2"/>
        <v>0</v>
      </c>
      <c r="F61" s="637">
        <f t="shared" si="3"/>
        <v>0</v>
      </c>
      <c r="G61" s="31">
        <v>0</v>
      </c>
      <c r="H61" s="29"/>
      <c r="I61" s="57">
        <f t="shared" si="4"/>
        <v>0</v>
      </c>
      <c r="J61" s="29">
        <v>0</v>
      </c>
      <c r="K61" s="29"/>
      <c r="L61" s="57">
        <f t="shared" si="5"/>
        <v>0</v>
      </c>
      <c r="M61" s="29"/>
      <c r="N61" s="29"/>
      <c r="O61" s="57">
        <f t="shared" si="6"/>
        <v>0</v>
      </c>
      <c r="P61" s="29">
        <v>0</v>
      </c>
      <c r="Q61" s="29"/>
      <c r="R61" s="57">
        <f t="shared" si="7"/>
        <v>0</v>
      </c>
      <c r="S61" s="29"/>
      <c r="T61" s="29"/>
      <c r="U61" s="57">
        <f t="shared" si="8"/>
        <v>0</v>
      </c>
      <c r="V61" s="29">
        <v>0</v>
      </c>
      <c r="W61" s="29"/>
      <c r="X61" s="57">
        <f t="shared" si="9"/>
        <v>0</v>
      </c>
      <c r="Y61" s="29">
        <v>0</v>
      </c>
      <c r="Z61" s="29"/>
      <c r="AA61" s="57">
        <f t="shared" si="10"/>
        <v>0</v>
      </c>
      <c r="AB61" s="57"/>
      <c r="AC61" s="57"/>
      <c r="AD61" s="57">
        <f t="shared" si="11"/>
        <v>0</v>
      </c>
      <c r="AE61" s="29"/>
      <c r="AF61" s="29"/>
      <c r="AG61" s="57">
        <f t="shared" si="12"/>
        <v>0</v>
      </c>
      <c r="AH61" s="29"/>
      <c r="AI61" s="29"/>
      <c r="AJ61" s="561">
        <f t="shared" si="13"/>
        <v>0</v>
      </c>
    </row>
    <row r="62" spans="1:38" ht="12.75" customHeight="1" x14ac:dyDescent="0.25">
      <c r="A62" s="563" t="s">
        <v>133</v>
      </c>
      <c r="B62" s="1115" t="s">
        <v>393</v>
      </c>
      <c r="C62" s="1114"/>
      <c r="D62" s="635">
        <f t="shared" si="1"/>
        <v>0</v>
      </c>
      <c r="E62" s="89">
        <f t="shared" si="2"/>
        <v>0</v>
      </c>
      <c r="F62" s="637">
        <f t="shared" si="3"/>
        <v>0</v>
      </c>
      <c r="G62" s="31">
        <v>0</v>
      </c>
      <c r="H62" s="29"/>
      <c r="I62" s="57">
        <f t="shared" si="4"/>
        <v>0</v>
      </c>
      <c r="J62" s="29">
        <v>0</v>
      </c>
      <c r="K62" s="29"/>
      <c r="L62" s="57">
        <f t="shared" si="5"/>
        <v>0</v>
      </c>
      <c r="M62" s="29"/>
      <c r="N62" s="29"/>
      <c r="O62" s="57">
        <f t="shared" si="6"/>
        <v>0</v>
      </c>
      <c r="P62" s="29">
        <v>0</v>
      </c>
      <c r="Q62" s="29"/>
      <c r="R62" s="57">
        <f t="shared" si="7"/>
        <v>0</v>
      </c>
      <c r="S62" s="29"/>
      <c r="T62" s="29"/>
      <c r="U62" s="57">
        <f t="shared" si="8"/>
        <v>0</v>
      </c>
      <c r="V62" s="29">
        <v>0</v>
      </c>
      <c r="W62" s="29"/>
      <c r="X62" s="57">
        <f t="shared" si="9"/>
        <v>0</v>
      </c>
      <c r="Y62" s="29">
        <v>0</v>
      </c>
      <c r="Z62" s="29"/>
      <c r="AA62" s="57">
        <f t="shared" si="10"/>
        <v>0</v>
      </c>
      <c r="AB62" s="57"/>
      <c r="AC62" s="57"/>
      <c r="AD62" s="57">
        <f t="shared" si="11"/>
        <v>0</v>
      </c>
      <c r="AE62" s="29"/>
      <c r="AF62" s="29"/>
      <c r="AG62" s="57">
        <f t="shared" si="12"/>
        <v>0</v>
      </c>
      <c r="AH62" s="29"/>
      <c r="AI62" s="29"/>
      <c r="AJ62" s="561">
        <f t="shared" si="13"/>
        <v>0</v>
      </c>
    </row>
    <row r="63" spans="1:38" s="44" customFormat="1" ht="12.75" customHeight="1" x14ac:dyDescent="0.2">
      <c r="A63" s="560" t="s">
        <v>134</v>
      </c>
      <c r="B63" s="1119" t="s">
        <v>158</v>
      </c>
      <c r="C63" s="1104"/>
      <c r="D63" s="635">
        <f t="shared" si="1"/>
        <v>0</v>
      </c>
      <c r="E63" s="89">
        <f t="shared" si="2"/>
        <v>0</v>
      </c>
      <c r="F63" s="637">
        <f t="shared" si="3"/>
        <v>0</v>
      </c>
      <c r="G63" s="634">
        <v>0</v>
      </c>
      <c r="H63" s="57">
        <f t="shared" ref="H63:AI63" si="40">SUM(H60:H62)</f>
        <v>0</v>
      </c>
      <c r="I63" s="57">
        <f t="shared" si="4"/>
        <v>0</v>
      </c>
      <c r="J63" s="57">
        <v>0</v>
      </c>
      <c r="K63" s="57">
        <f t="shared" si="40"/>
        <v>0</v>
      </c>
      <c r="L63" s="57">
        <f t="shared" si="5"/>
        <v>0</v>
      </c>
      <c r="M63" s="57">
        <f t="shared" si="40"/>
        <v>0</v>
      </c>
      <c r="N63" s="57">
        <f t="shared" si="40"/>
        <v>0</v>
      </c>
      <c r="O63" s="57">
        <f t="shared" si="6"/>
        <v>0</v>
      </c>
      <c r="P63" s="57">
        <v>0</v>
      </c>
      <c r="Q63" s="57">
        <f t="shared" si="40"/>
        <v>0</v>
      </c>
      <c r="R63" s="57">
        <f t="shared" si="7"/>
        <v>0</v>
      </c>
      <c r="S63" s="57">
        <f t="shared" si="40"/>
        <v>0</v>
      </c>
      <c r="T63" s="57">
        <f t="shared" si="40"/>
        <v>0</v>
      </c>
      <c r="U63" s="57">
        <f t="shared" si="8"/>
        <v>0</v>
      </c>
      <c r="V63" s="57">
        <v>0</v>
      </c>
      <c r="W63" s="57">
        <f t="shared" si="40"/>
        <v>0</v>
      </c>
      <c r="X63" s="57">
        <f t="shared" si="9"/>
        <v>0</v>
      </c>
      <c r="Y63" s="57">
        <v>0</v>
      </c>
      <c r="Z63" s="57">
        <f t="shared" si="40"/>
        <v>0</v>
      </c>
      <c r="AA63" s="57">
        <f t="shared" si="10"/>
        <v>0</v>
      </c>
      <c r="AB63" s="57"/>
      <c r="AC63" s="57"/>
      <c r="AD63" s="57">
        <f t="shared" si="11"/>
        <v>0</v>
      </c>
      <c r="AE63" s="57">
        <f t="shared" si="40"/>
        <v>0</v>
      </c>
      <c r="AF63" s="57">
        <f t="shared" si="40"/>
        <v>0</v>
      </c>
      <c r="AG63" s="57">
        <f t="shared" si="12"/>
        <v>0</v>
      </c>
      <c r="AH63" s="57">
        <f t="shared" si="40"/>
        <v>0</v>
      </c>
      <c r="AI63" s="57">
        <f t="shared" si="40"/>
        <v>0</v>
      </c>
      <c r="AJ63" s="561">
        <f t="shared" si="13"/>
        <v>0</v>
      </c>
    </row>
    <row r="64" spans="1:38" x14ac:dyDescent="0.25">
      <c r="A64" s="562"/>
      <c r="B64" s="1047"/>
      <c r="C64" s="1048"/>
      <c r="D64" s="854"/>
      <c r="E64" s="839"/>
      <c r="F64" s="855"/>
      <c r="G64" s="60"/>
      <c r="H64" s="60"/>
      <c r="I64" s="244"/>
      <c r="J64" s="60"/>
      <c r="K64" s="60"/>
      <c r="L64" s="244"/>
      <c r="M64" s="60"/>
      <c r="N64" s="60"/>
      <c r="O64" s="244"/>
      <c r="P64" s="60"/>
      <c r="Q64" s="60"/>
      <c r="R64" s="244"/>
      <c r="S64" s="60"/>
      <c r="T64" s="60"/>
      <c r="U64" s="244"/>
      <c r="V64" s="60"/>
      <c r="W64" s="60"/>
      <c r="X64" s="244"/>
      <c r="Y64" s="60"/>
      <c r="Z64" s="60"/>
      <c r="AA64" s="244"/>
      <c r="AB64" s="244"/>
      <c r="AC64" s="244"/>
      <c r="AD64" s="244"/>
      <c r="AE64" s="60"/>
      <c r="AF64" s="60"/>
      <c r="AG64" s="244"/>
      <c r="AH64" s="60"/>
      <c r="AI64" s="60"/>
      <c r="AJ64" s="636"/>
    </row>
    <row r="65" spans="1:36" s="44" customFormat="1" ht="12.75" customHeight="1" thickBot="1" x14ac:dyDescent="0.25">
      <c r="A65" s="846" t="s">
        <v>135</v>
      </c>
      <c r="B65" s="1130" t="s">
        <v>157</v>
      </c>
      <c r="C65" s="1154"/>
      <c r="D65" s="856">
        <f t="shared" si="1"/>
        <v>1232879</v>
      </c>
      <c r="E65" s="847">
        <f t="shared" si="2"/>
        <v>48298</v>
      </c>
      <c r="F65" s="857">
        <f t="shared" si="3"/>
        <v>1281177</v>
      </c>
      <c r="G65" s="852">
        <v>205790</v>
      </c>
      <c r="H65" s="848">
        <f t="shared" ref="H65:AI65" si="41">+H63+H58+H52+H43+H35+H9+H7</f>
        <v>0</v>
      </c>
      <c r="I65" s="848">
        <f t="shared" si="4"/>
        <v>205790</v>
      </c>
      <c r="J65" s="848">
        <v>125768</v>
      </c>
      <c r="K65" s="848">
        <f t="shared" si="41"/>
        <v>0</v>
      </c>
      <c r="L65" s="848">
        <f t="shared" si="5"/>
        <v>125768</v>
      </c>
      <c r="M65" s="848">
        <f t="shared" si="41"/>
        <v>76574</v>
      </c>
      <c r="N65" s="848">
        <f t="shared" si="41"/>
        <v>0</v>
      </c>
      <c r="O65" s="848">
        <f t="shared" si="6"/>
        <v>76574</v>
      </c>
      <c r="P65" s="848">
        <v>2429</v>
      </c>
      <c r="Q65" s="848">
        <f t="shared" si="41"/>
        <v>19867</v>
      </c>
      <c r="R65" s="848">
        <f t="shared" si="7"/>
        <v>22296</v>
      </c>
      <c r="S65" s="848">
        <f t="shared" si="41"/>
        <v>24745</v>
      </c>
      <c r="T65" s="848">
        <f t="shared" si="41"/>
        <v>0</v>
      </c>
      <c r="U65" s="848">
        <f t="shared" si="8"/>
        <v>24745</v>
      </c>
      <c r="V65" s="848">
        <v>2961</v>
      </c>
      <c r="W65" s="848">
        <f>+W63+W58+W52+W43+W35+W9+W7</f>
        <v>879</v>
      </c>
      <c r="X65" s="848">
        <f t="shared" si="9"/>
        <v>3840</v>
      </c>
      <c r="Y65" s="848">
        <v>65561</v>
      </c>
      <c r="Z65" s="848">
        <f t="shared" si="41"/>
        <v>-127</v>
      </c>
      <c r="AA65" s="848">
        <f t="shared" si="10"/>
        <v>65434</v>
      </c>
      <c r="AB65" s="848">
        <f>+AB63+AB58+AB52+AB43+AB35+AB9+AB7</f>
        <v>0</v>
      </c>
      <c r="AC65" s="848">
        <f t="shared" ref="AC65:AD65" si="42">+AC63+AC58+AC52+AC43+AC35+AC9+AC7</f>
        <v>27679</v>
      </c>
      <c r="AD65" s="848">
        <f t="shared" si="42"/>
        <v>27679</v>
      </c>
      <c r="AE65" s="848">
        <f t="shared" si="41"/>
        <v>573815</v>
      </c>
      <c r="AF65" s="848">
        <f t="shared" si="41"/>
        <v>0</v>
      </c>
      <c r="AG65" s="848">
        <f t="shared" si="12"/>
        <v>573815</v>
      </c>
      <c r="AH65" s="848">
        <f t="shared" si="41"/>
        <v>155236</v>
      </c>
      <c r="AI65" s="848">
        <f t="shared" si="41"/>
        <v>0</v>
      </c>
      <c r="AJ65" s="850">
        <f t="shared" si="13"/>
        <v>155236</v>
      </c>
    </row>
  </sheetData>
  <mergeCells count="79">
    <mergeCell ref="AB2:AD2"/>
    <mergeCell ref="AB3:AD3"/>
    <mergeCell ref="D2:F2"/>
    <mergeCell ref="A2:A4"/>
    <mergeCell ref="B2:C4"/>
    <mergeCell ref="G2:I2"/>
    <mergeCell ref="J2:L2"/>
    <mergeCell ref="D3:F3"/>
    <mergeCell ref="AE2:AG2"/>
    <mergeCell ref="AH2:AJ2"/>
    <mergeCell ref="G3:I3"/>
    <mergeCell ref="J3:L3"/>
    <mergeCell ref="AE3:AG3"/>
    <mergeCell ref="AH3:AJ3"/>
    <mergeCell ref="M2:O2"/>
    <mergeCell ref="M3:O3"/>
    <mergeCell ref="V2:X2"/>
    <mergeCell ref="V3:X3"/>
    <mergeCell ref="Y2:AA2"/>
    <mergeCell ref="Y3:AA3"/>
    <mergeCell ref="P2:R2"/>
    <mergeCell ref="P3:R3"/>
    <mergeCell ref="S2:U2"/>
    <mergeCell ref="S3:U3"/>
    <mergeCell ref="B13:C13"/>
    <mergeCell ref="B5:C5"/>
    <mergeCell ref="B6:C6"/>
    <mergeCell ref="B7:C7"/>
    <mergeCell ref="B9:C9"/>
    <mergeCell ref="B11:C11"/>
    <mergeCell ref="B12:C12"/>
    <mergeCell ref="B35:C35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6:C26"/>
    <mergeCell ref="B27:C27"/>
    <mergeCell ref="B24:C24"/>
    <mergeCell ref="B28:C28"/>
    <mergeCell ref="B36:C36"/>
    <mergeCell ref="B51:C51"/>
    <mergeCell ref="B52:C52"/>
    <mergeCell ref="B40:C40"/>
    <mergeCell ref="B48:C48"/>
    <mergeCell ref="B49:C49"/>
    <mergeCell ref="B50:C50"/>
    <mergeCell ref="B37:C37"/>
    <mergeCell ref="B38:C38"/>
    <mergeCell ref="B39:C39"/>
    <mergeCell ref="B29:C29"/>
    <mergeCell ref="B32:C32"/>
    <mergeCell ref="B33:C33"/>
    <mergeCell ref="B34:C34"/>
    <mergeCell ref="B30:C30"/>
    <mergeCell ref="B31:C31"/>
    <mergeCell ref="B65:C65"/>
    <mergeCell ref="B55:C55"/>
    <mergeCell ref="B56:C56"/>
    <mergeCell ref="B57:C57"/>
    <mergeCell ref="B58:C58"/>
    <mergeCell ref="B62:C62"/>
    <mergeCell ref="B63:C63"/>
    <mergeCell ref="B61:C61"/>
    <mergeCell ref="B60:C60"/>
    <mergeCell ref="B54:C54"/>
    <mergeCell ref="B41:C41"/>
    <mergeCell ref="B42:C42"/>
    <mergeCell ref="B43:C43"/>
    <mergeCell ref="B45:C45"/>
    <mergeCell ref="B46:C46"/>
    <mergeCell ref="B47:C47"/>
  </mergeCells>
  <printOptions horizontalCentered="1"/>
  <pageMargins left="0.31496062992125984" right="0.31496062992125984" top="0.74803149606299213" bottom="0.55118110236220474" header="0.31496062992125984" footer="0.31496062992125984"/>
  <pageSetup paperSize="9" scale="53" orientation="landscape" cellComments="asDisplayed" r:id="rId1"/>
  <headerFooter>
    <oddHeader>&amp;C&amp;"Times New Roman,Félkövér"&amp;12Martonvásár Város Önkormányzatának kiadásai 2017.
Városfejlesztési feladatok EU forrásból&amp;R&amp;"Times New Roman,Félkövér"&amp;12 5/c. 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Normal="100" workbookViewId="0">
      <selection activeCell="G6" sqref="G6"/>
    </sheetView>
  </sheetViews>
  <sheetFormatPr defaultColWidth="9.140625" defaultRowHeight="12.75" x14ac:dyDescent="0.2"/>
  <cols>
    <col min="1" max="1" width="7.28515625" style="26" customWidth="1"/>
    <col min="2" max="2" width="7.140625" style="27" customWidth="1"/>
    <col min="3" max="3" width="32" style="27" customWidth="1"/>
    <col min="4" max="4" width="7.7109375" style="18" customWidth="1"/>
    <col min="5" max="5" width="9.42578125" style="18" customWidth="1"/>
    <col min="6" max="6" width="9.5703125" style="18" customWidth="1"/>
    <col min="7" max="7" width="7.7109375" style="18" customWidth="1"/>
    <col min="8" max="8" width="6.7109375" style="18" customWidth="1"/>
    <col min="9" max="9" width="7.42578125" style="18" customWidth="1"/>
    <col min="10" max="10" width="7.28515625" style="18" customWidth="1"/>
    <col min="11" max="11" width="7.7109375" style="18" customWidth="1"/>
    <col min="12" max="12" width="7" style="18" customWidth="1"/>
    <col min="13" max="13" width="7.7109375" style="18" customWidth="1"/>
    <col min="14" max="14" width="7.42578125" style="18" customWidth="1"/>
    <col min="15" max="15" width="7.7109375" style="18" customWidth="1"/>
    <col min="16" max="16" width="7.7109375" style="18" hidden="1" customWidth="1"/>
    <col min="17" max="17" width="6.7109375" style="18" hidden="1" customWidth="1"/>
    <col min="18" max="19" width="7.7109375" style="18" hidden="1" customWidth="1"/>
    <col min="20" max="20" width="6.85546875" style="18" hidden="1" customWidth="1"/>
    <col min="21" max="21" width="7.140625" style="18" hidden="1" customWidth="1"/>
    <col min="22" max="16384" width="9.140625" style="18"/>
  </cols>
  <sheetData>
    <row r="1" spans="1:21" s="1" customFormat="1" ht="15.75" thickBot="1" x14ac:dyDescent="0.3">
      <c r="A1" s="26"/>
      <c r="B1" s="27"/>
      <c r="C1" s="27"/>
      <c r="S1" s="1173" t="s">
        <v>390</v>
      </c>
      <c r="T1" s="1173"/>
      <c r="U1" s="1173"/>
    </row>
    <row r="2" spans="1:21" s="33" customFormat="1" ht="33.75" customHeight="1" x14ac:dyDescent="0.25">
      <c r="A2" s="1138" t="s">
        <v>0</v>
      </c>
      <c r="B2" s="1140" t="s">
        <v>182</v>
      </c>
      <c r="C2" s="1159"/>
      <c r="D2" s="1167" t="s">
        <v>180</v>
      </c>
      <c r="E2" s="1168"/>
      <c r="F2" s="1169"/>
      <c r="G2" s="1146" t="s">
        <v>186</v>
      </c>
      <c r="H2" s="1134"/>
      <c r="I2" s="1134"/>
      <c r="J2" s="1134" t="s">
        <v>187</v>
      </c>
      <c r="K2" s="1134"/>
      <c r="L2" s="1134"/>
      <c r="M2" s="1164" t="s">
        <v>188</v>
      </c>
      <c r="N2" s="1164"/>
      <c r="O2" s="1165"/>
      <c r="P2" s="1166" t="s">
        <v>191</v>
      </c>
      <c r="Q2" s="1163"/>
      <c r="R2" s="1163"/>
      <c r="S2" s="1163" t="s">
        <v>192</v>
      </c>
      <c r="T2" s="1163"/>
      <c r="U2" s="1163"/>
    </row>
    <row r="3" spans="1:21" s="33" customFormat="1" x14ac:dyDescent="0.25">
      <c r="A3" s="1139"/>
      <c r="B3" s="1125"/>
      <c r="C3" s="1160"/>
      <c r="D3" s="1170"/>
      <c r="E3" s="1171"/>
      <c r="F3" s="1172"/>
      <c r="G3" s="1150" t="s">
        <v>189</v>
      </c>
      <c r="H3" s="1136"/>
      <c r="I3" s="1136"/>
      <c r="J3" s="1136" t="s">
        <v>189</v>
      </c>
      <c r="K3" s="1136"/>
      <c r="L3" s="1136"/>
      <c r="M3" s="1136" t="s">
        <v>190</v>
      </c>
      <c r="N3" s="1136"/>
      <c r="O3" s="1137"/>
      <c r="P3" s="1150" t="s">
        <v>190</v>
      </c>
      <c r="Q3" s="1136"/>
      <c r="R3" s="1136"/>
      <c r="S3" s="1136" t="s">
        <v>190</v>
      </c>
      <c r="T3" s="1136"/>
      <c r="U3" s="1136"/>
    </row>
    <row r="4" spans="1:21" s="17" customFormat="1" ht="25.5" x14ac:dyDescent="0.25">
      <c r="A4" s="1139"/>
      <c r="B4" s="1125"/>
      <c r="C4" s="1160"/>
      <c r="D4" s="853" t="s">
        <v>954</v>
      </c>
      <c r="E4" s="974" t="s">
        <v>786</v>
      </c>
      <c r="F4" s="844" t="s">
        <v>955</v>
      </c>
      <c r="G4" s="853" t="s">
        <v>954</v>
      </c>
      <c r="H4" s="974" t="s">
        <v>786</v>
      </c>
      <c r="I4" s="844" t="s">
        <v>955</v>
      </c>
      <c r="J4" s="853" t="s">
        <v>954</v>
      </c>
      <c r="K4" s="974" t="s">
        <v>786</v>
      </c>
      <c r="L4" s="844" t="s">
        <v>955</v>
      </c>
      <c r="M4" s="853" t="s">
        <v>954</v>
      </c>
      <c r="N4" s="974" t="s">
        <v>786</v>
      </c>
      <c r="O4" s="844" t="s">
        <v>955</v>
      </c>
      <c r="P4" s="851" t="s">
        <v>177</v>
      </c>
      <c r="Q4" s="3" t="s">
        <v>178</v>
      </c>
      <c r="R4" s="3" t="s">
        <v>179</v>
      </c>
      <c r="S4" s="3" t="s">
        <v>177</v>
      </c>
      <c r="T4" s="3" t="s">
        <v>178</v>
      </c>
      <c r="U4" s="3" t="s">
        <v>179</v>
      </c>
    </row>
    <row r="5" spans="1:21" s="44" customFormat="1" ht="12" customHeight="1" x14ac:dyDescent="0.2">
      <c r="A5" s="560" t="s">
        <v>27</v>
      </c>
      <c r="B5" s="1119" t="s">
        <v>174</v>
      </c>
      <c r="C5" s="1104"/>
      <c r="D5" s="638">
        <f>+G5+J5+M5+P5+S5</f>
        <v>10435</v>
      </c>
      <c r="E5" s="57">
        <f t="shared" ref="E5:F6" si="0">+H5+K5+N5+Q5+T5</f>
        <v>-1229</v>
      </c>
      <c r="F5" s="561">
        <f t="shared" si="0"/>
        <v>9206</v>
      </c>
      <c r="G5" s="634">
        <v>7956</v>
      </c>
      <c r="H5" s="57"/>
      <c r="I5" s="57">
        <f>+H5+G5</f>
        <v>7956</v>
      </c>
      <c r="J5" s="57">
        <v>2479</v>
      </c>
      <c r="K5" s="57">
        <v>-1229</v>
      </c>
      <c r="L5" s="57">
        <f>+K5+J5</f>
        <v>1250</v>
      </c>
      <c r="M5" s="57"/>
      <c r="N5" s="57"/>
      <c r="O5" s="561">
        <f>+N5+M5</f>
        <v>0</v>
      </c>
      <c r="P5" s="634"/>
      <c r="Q5" s="57"/>
      <c r="R5" s="57"/>
      <c r="S5" s="57"/>
      <c r="T5" s="57"/>
      <c r="U5" s="57"/>
    </row>
    <row r="6" spans="1:21" s="44" customFormat="1" ht="12" customHeight="1" x14ac:dyDescent="0.2">
      <c r="A6" s="560" t="s">
        <v>33</v>
      </c>
      <c r="B6" s="1119" t="s">
        <v>173</v>
      </c>
      <c r="C6" s="1104"/>
      <c r="D6" s="638">
        <f>+G6+J6+M6+P6+S6</f>
        <v>1861</v>
      </c>
      <c r="E6" s="57">
        <f t="shared" si="0"/>
        <v>1229</v>
      </c>
      <c r="F6" s="561">
        <f t="shared" si="0"/>
        <v>3090</v>
      </c>
      <c r="G6" s="634">
        <v>0</v>
      </c>
      <c r="H6" s="57"/>
      <c r="I6" s="57">
        <f>+H6+G6</f>
        <v>0</v>
      </c>
      <c r="J6" s="57">
        <v>1008</v>
      </c>
      <c r="K6" s="57">
        <v>1229</v>
      </c>
      <c r="L6" s="57">
        <f>+K6+J6</f>
        <v>2237</v>
      </c>
      <c r="M6" s="57">
        <v>853</v>
      </c>
      <c r="N6" s="57"/>
      <c r="O6" s="561">
        <f>+N6+M6</f>
        <v>853</v>
      </c>
      <c r="P6" s="634"/>
      <c r="Q6" s="57"/>
      <c r="R6" s="57"/>
      <c r="S6" s="57"/>
      <c r="T6" s="57"/>
      <c r="U6" s="57"/>
    </row>
    <row r="7" spans="1:21" s="44" customFormat="1" ht="12" customHeight="1" x14ac:dyDescent="0.2">
      <c r="A7" s="864" t="s">
        <v>34</v>
      </c>
      <c r="B7" s="1118" t="s">
        <v>172</v>
      </c>
      <c r="C7" s="1174"/>
      <c r="D7" s="885">
        <f>+D6+D5</f>
        <v>12296</v>
      </c>
      <c r="E7" s="55">
        <f t="shared" ref="E7:F7" si="1">+E6+E5</f>
        <v>0</v>
      </c>
      <c r="F7" s="865">
        <f t="shared" si="1"/>
        <v>12296</v>
      </c>
      <c r="G7" s="861">
        <f>+G5+G6</f>
        <v>7956</v>
      </c>
      <c r="H7" s="55">
        <f t="shared" ref="H7:I7" si="2">+H5+H6</f>
        <v>0</v>
      </c>
      <c r="I7" s="55">
        <f t="shared" si="2"/>
        <v>7956</v>
      </c>
      <c r="J7" s="55">
        <v>3487</v>
      </c>
      <c r="K7" s="55">
        <f t="shared" ref="K7:L7" si="3">K5+K6</f>
        <v>0</v>
      </c>
      <c r="L7" s="55">
        <f t="shared" si="3"/>
        <v>3487</v>
      </c>
      <c r="M7" s="55">
        <f>SUM(M6)</f>
        <v>853</v>
      </c>
      <c r="N7" s="55">
        <f t="shared" ref="N7:O7" si="4">SUM(N6)</f>
        <v>0</v>
      </c>
      <c r="O7" s="865">
        <f t="shared" si="4"/>
        <v>853</v>
      </c>
      <c r="P7" s="861"/>
      <c r="Q7" s="55"/>
      <c r="R7" s="55"/>
      <c r="S7" s="55"/>
      <c r="T7" s="55"/>
      <c r="U7" s="55"/>
    </row>
    <row r="8" spans="1:21" ht="12" customHeight="1" x14ac:dyDescent="0.2">
      <c r="A8" s="462"/>
      <c r="B8" s="9"/>
      <c r="C8" s="1046"/>
      <c r="D8" s="886"/>
      <c r="E8" s="30"/>
      <c r="F8" s="866"/>
      <c r="G8" s="30"/>
      <c r="H8" s="30"/>
      <c r="I8" s="30"/>
      <c r="J8" s="30"/>
      <c r="K8" s="30"/>
      <c r="L8" s="30"/>
      <c r="M8" s="30"/>
      <c r="N8" s="30"/>
      <c r="O8" s="866"/>
      <c r="P8" s="30"/>
      <c r="Q8" s="30"/>
      <c r="R8" s="31"/>
      <c r="S8" s="30"/>
      <c r="T8" s="30"/>
      <c r="U8" s="31"/>
    </row>
    <row r="9" spans="1:21" s="44" customFormat="1" ht="12" customHeight="1" x14ac:dyDescent="0.2">
      <c r="A9" s="867" t="s">
        <v>35</v>
      </c>
      <c r="B9" s="1118" t="s">
        <v>171</v>
      </c>
      <c r="C9" s="1174"/>
      <c r="D9" s="887">
        <f>+G9+J9+M9+P9+S9</f>
        <v>2438</v>
      </c>
      <c r="E9" s="28">
        <f t="shared" ref="E9:F9" si="5">+H9+K9+N9+Q9+T9</f>
        <v>0</v>
      </c>
      <c r="F9" s="888">
        <f t="shared" si="5"/>
        <v>2438</v>
      </c>
      <c r="G9" s="862">
        <v>1590</v>
      </c>
      <c r="H9" s="54"/>
      <c r="I9" s="54">
        <f>+H9+G9</f>
        <v>1590</v>
      </c>
      <c r="J9" s="54">
        <v>680</v>
      </c>
      <c r="K9" s="54"/>
      <c r="L9" s="54">
        <f>+K9+J9</f>
        <v>680</v>
      </c>
      <c r="M9" s="54">
        <v>168</v>
      </c>
      <c r="N9" s="54"/>
      <c r="O9" s="868">
        <f>+N9+M9</f>
        <v>168</v>
      </c>
      <c r="P9" s="862"/>
      <c r="Q9" s="54"/>
      <c r="R9" s="54"/>
      <c r="S9" s="54"/>
      <c r="T9" s="54"/>
      <c r="U9" s="54"/>
    </row>
    <row r="10" spans="1:21" s="40" customFormat="1" ht="11.25" customHeight="1" x14ac:dyDescent="0.2">
      <c r="A10" s="869"/>
      <c r="B10" s="247"/>
      <c r="C10" s="882"/>
      <c r="D10" s="886"/>
      <c r="E10" s="577"/>
      <c r="F10" s="889"/>
      <c r="G10" s="577"/>
      <c r="H10" s="577"/>
      <c r="I10" s="577"/>
      <c r="J10" s="246"/>
      <c r="K10" s="246"/>
      <c r="L10" s="246"/>
      <c r="M10" s="246"/>
      <c r="N10" s="246"/>
      <c r="O10" s="870"/>
      <c r="P10" s="246"/>
      <c r="Q10" s="246"/>
      <c r="R10" s="246"/>
      <c r="S10" s="246"/>
      <c r="T10" s="246"/>
      <c r="U10" s="246"/>
    </row>
    <row r="11" spans="1:21" ht="12" customHeight="1" x14ac:dyDescent="0.2">
      <c r="A11" s="563" t="s">
        <v>42</v>
      </c>
      <c r="B11" s="1115" t="s">
        <v>41</v>
      </c>
      <c r="C11" s="1114"/>
      <c r="D11" s="639">
        <f t="shared" ref="D11:D34" si="6">+G11+J11+M11+P11+S11</f>
        <v>170</v>
      </c>
      <c r="E11" s="29">
        <f t="shared" ref="E11" si="7">+H11+K11+N11+Q11+T11</f>
        <v>0</v>
      </c>
      <c r="F11" s="564">
        <f t="shared" ref="F11" si="8">+I11+L11+O11+R11+U11</f>
        <v>170</v>
      </c>
      <c r="G11" s="31">
        <v>170</v>
      </c>
      <c r="H11" s="29"/>
      <c r="I11" s="29">
        <f>+H11+G11</f>
        <v>170</v>
      </c>
      <c r="J11" s="29"/>
      <c r="K11" s="29"/>
      <c r="L11" s="29">
        <f>+K11+J11</f>
        <v>0</v>
      </c>
      <c r="M11" s="29"/>
      <c r="N11" s="29"/>
      <c r="O11" s="564">
        <f>+N11+M11</f>
        <v>0</v>
      </c>
      <c r="P11" s="31"/>
      <c r="Q11" s="29"/>
      <c r="R11" s="29"/>
      <c r="S11" s="29"/>
      <c r="T11" s="29"/>
      <c r="U11" s="29"/>
    </row>
    <row r="12" spans="1:21" ht="12" customHeight="1" x14ac:dyDescent="0.2">
      <c r="A12" s="563" t="s">
        <v>44</v>
      </c>
      <c r="B12" s="1115" t="s">
        <v>43</v>
      </c>
      <c r="C12" s="1114"/>
      <c r="D12" s="639">
        <f t="shared" ref="D12:D13" si="9">+G12+J12+M12+P12+S12</f>
        <v>150</v>
      </c>
      <c r="E12" s="29">
        <f t="shared" ref="E12:E13" si="10">+H12+K12+N12+Q12+T12</f>
        <v>0</v>
      </c>
      <c r="F12" s="564">
        <f t="shared" ref="F12:F13" si="11">+I12+L12+O12+R12+U12</f>
        <v>150</v>
      </c>
      <c r="G12" s="31">
        <v>110</v>
      </c>
      <c r="H12" s="29"/>
      <c r="I12" s="29">
        <f t="shared" ref="I12:I13" si="12">+H12+G12</f>
        <v>110</v>
      </c>
      <c r="J12" s="29"/>
      <c r="K12" s="29"/>
      <c r="L12" s="29">
        <f t="shared" ref="L12:L13" si="13">+K12+J12</f>
        <v>0</v>
      </c>
      <c r="M12" s="29">
        <v>40</v>
      </c>
      <c r="N12" s="29"/>
      <c r="O12" s="564">
        <f t="shared" ref="O12:O13" si="14">+N12+M12</f>
        <v>40</v>
      </c>
      <c r="P12" s="31"/>
      <c r="Q12" s="29"/>
      <c r="R12" s="29"/>
      <c r="S12" s="29"/>
      <c r="T12" s="29"/>
      <c r="U12" s="29"/>
    </row>
    <row r="13" spans="1:21" ht="12" customHeight="1" x14ac:dyDescent="0.2">
      <c r="A13" s="563" t="s">
        <v>46</v>
      </c>
      <c r="B13" s="1115" t="s">
        <v>45</v>
      </c>
      <c r="C13" s="1114"/>
      <c r="D13" s="639">
        <f t="shared" si="9"/>
        <v>0</v>
      </c>
      <c r="E13" s="29">
        <f t="shared" si="10"/>
        <v>0</v>
      </c>
      <c r="F13" s="564">
        <f t="shared" si="11"/>
        <v>0</v>
      </c>
      <c r="G13" s="31"/>
      <c r="H13" s="29"/>
      <c r="I13" s="29">
        <f t="shared" si="12"/>
        <v>0</v>
      </c>
      <c r="J13" s="29"/>
      <c r="K13" s="29"/>
      <c r="L13" s="29">
        <f t="shared" si="13"/>
        <v>0</v>
      </c>
      <c r="M13" s="29"/>
      <c r="N13" s="29"/>
      <c r="O13" s="564">
        <f t="shared" si="14"/>
        <v>0</v>
      </c>
      <c r="P13" s="31"/>
      <c r="Q13" s="29"/>
      <c r="R13" s="29"/>
      <c r="S13" s="29"/>
      <c r="T13" s="29"/>
      <c r="U13" s="29"/>
    </row>
    <row r="14" spans="1:21" s="44" customFormat="1" ht="12" customHeight="1" x14ac:dyDescent="0.2">
      <c r="A14" s="560" t="s">
        <v>47</v>
      </c>
      <c r="B14" s="1119" t="s">
        <v>170</v>
      </c>
      <c r="C14" s="1104"/>
      <c r="D14" s="890">
        <f t="shared" si="6"/>
        <v>320</v>
      </c>
      <c r="E14" s="57">
        <f>SUM(E11:E13)</f>
        <v>0</v>
      </c>
      <c r="F14" s="561">
        <f>SUM(F11:F13)</f>
        <v>320</v>
      </c>
      <c r="G14" s="634">
        <f>SUM(G11:G13)</f>
        <v>280</v>
      </c>
      <c r="H14" s="57">
        <f t="shared" ref="H14:U14" si="15">SUM(H11:H13)</f>
        <v>0</v>
      </c>
      <c r="I14" s="57">
        <f t="shared" si="15"/>
        <v>280</v>
      </c>
      <c r="J14" s="57">
        <f t="shared" si="15"/>
        <v>0</v>
      </c>
      <c r="K14" s="57">
        <f t="shared" si="15"/>
        <v>0</v>
      </c>
      <c r="L14" s="57">
        <f t="shared" si="15"/>
        <v>0</v>
      </c>
      <c r="M14" s="57">
        <f t="shared" si="15"/>
        <v>40</v>
      </c>
      <c r="N14" s="57">
        <f t="shared" si="15"/>
        <v>0</v>
      </c>
      <c r="O14" s="561">
        <f t="shared" si="15"/>
        <v>40</v>
      </c>
      <c r="P14" s="634">
        <f t="shared" si="15"/>
        <v>0</v>
      </c>
      <c r="Q14" s="57">
        <f t="shared" si="15"/>
        <v>0</v>
      </c>
      <c r="R14" s="57">
        <f t="shared" si="15"/>
        <v>0</v>
      </c>
      <c r="S14" s="57">
        <f t="shared" si="15"/>
        <v>0</v>
      </c>
      <c r="T14" s="57">
        <f t="shared" si="15"/>
        <v>0</v>
      </c>
      <c r="U14" s="57">
        <f t="shared" si="15"/>
        <v>0</v>
      </c>
    </row>
    <row r="15" spans="1:21" ht="12" customHeight="1" x14ac:dyDescent="0.2">
      <c r="A15" s="563" t="s">
        <v>49</v>
      </c>
      <c r="B15" s="1115" t="s">
        <v>48</v>
      </c>
      <c r="C15" s="1114"/>
      <c r="D15" s="891">
        <f t="shared" si="6"/>
        <v>75</v>
      </c>
      <c r="E15" s="32">
        <f t="shared" ref="E15" si="16">+H15+K15+N15+Q15+T15</f>
        <v>0</v>
      </c>
      <c r="F15" s="872">
        <f t="shared" ref="F15" si="17">+I15+L15+O15+R15+U15</f>
        <v>75</v>
      </c>
      <c r="G15" s="31"/>
      <c r="H15" s="29"/>
      <c r="I15" s="29">
        <f>+H15+G15</f>
        <v>0</v>
      </c>
      <c r="J15" s="29"/>
      <c r="K15" s="29"/>
      <c r="L15" s="29">
        <f>+K15+J15</f>
        <v>0</v>
      </c>
      <c r="M15" s="29">
        <v>75</v>
      </c>
      <c r="N15" s="29"/>
      <c r="O15" s="564">
        <f>+N15+M15</f>
        <v>75</v>
      </c>
      <c r="P15" s="31"/>
      <c r="Q15" s="29"/>
      <c r="R15" s="29"/>
      <c r="S15" s="29"/>
      <c r="T15" s="29"/>
      <c r="U15" s="29"/>
    </row>
    <row r="16" spans="1:21" ht="12" customHeight="1" x14ac:dyDescent="0.2">
      <c r="A16" s="563" t="s">
        <v>51</v>
      </c>
      <c r="B16" s="1115" t="s">
        <v>50</v>
      </c>
      <c r="C16" s="1114"/>
      <c r="D16" s="891">
        <f t="shared" ref="D16" si="18">+G16+J16+M16+P16+S16</f>
        <v>145</v>
      </c>
      <c r="E16" s="32">
        <f t="shared" ref="E16" si="19">+H16+K16+N16+Q16+T16</f>
        <v>0</v>
      </c>
      <c r="F16" s="872">
        <f t="shared" ref="F16" si="20">+I16+L16+O16+R16+U16</f>
        <v>145</v>
      </c>
      <c r="G16" s="31">
        <v>100</v>
      </c>
      <c r="H16" s="29"/>
      <c r="I16" s="29">
        <f>+H16+G16</f>
        <v>100</v>
      </c>
      <c r="J16" s="29"/>
      <c r="K16" s="29"/>
      <c r="L16" s="29">
        <f>+K16+J16</f>
        <v>0</v>
      </c>
      <c r="M16" s="29">
        <v>45</v>
      </c>
      <c r="N16" s="29"/>
      <c r="O16" s="564">
        <f>+N16+M16</f>
        <v>45</v>
      </c>
      <c r="P16" s="31"/>
      <c r="Q16" s="29"/>
      <c r="R16" s="29"/>
      <c r="S16" s="29"/>
      <c r="T16" s="29"/>
      <c r="U16" s="29"/>
    </row>
    <row r="17" spans="1:21" s="44" customFormat="1" ht="12" customHeight="1" x14ac:dyDescent="0.2">
      <c r="A17" s="560" t="s">
        <v>52</v>
      </c>
      <c r="B17" s="1119" t="s">
        <v>169</v>
      </c>
      <c r="C17" s="1104"/>
      <c r="D17" s="890">
        <f t="shared" si="6"/>
        <v>220</v>
      </c>
      <c r="E17" s="57">
        <f>+E15+E16</f>
        <v>0</v>
      </c>
      <c r="F17" s="561">
        <f>+F15+F16</f>
        <v>220</v>
      </c>
      <c r="G17" s="634">
        <f>+G15+G16</f>
        <v>100</v>
      </c>
      <c r="H17" s="57">
        <f t="shared" ref="H17:U17" si="21">+H15+H16</f>
        <v>0</v>
      </c>
      <c r="I17" s="57">
        <f t="shared" si="21"/>
        <v>100</v>
      </c>
      <c r="J17" s="57">
        <f t="shared" si="21"/>
        <v>0</v>
      </c>
      <c r="K17" s="57">
        <f t="shared" si="21"/>
        <v>0</v>
      </c>
      <c r="L17" s="57">
        <f t="shared" si="21"/>
        <v>0</v>
      </c>
      <c r="M17" s="57">
        <f t="shared" si="21"/>
        <v>120</v>
      </c>
      <c r="N17" s="57">
        <f t="shared" si="21"/>
        <v>0</v>
      </c>
      <c r="O17" s="561">
        <f t="shared" si="21"/>
        <v>120</v>
      </c>
      <c r="P17" s="634">
        <f t="shared" si="21"/>
        <v>0</v>
      </c>
      <c r="Q17" s="57">
        <f t="shared" si="21"/>
        <v>0</v>
      </c>
      <c r="R17" s="57">
        <f t="shared" si="21"/>
        <v>0</v>
      </c>
      <c r="S17" s="57">
        <f t="shared" si="21"/>
        <v>0</v>
      </c>
      <c r="T17" s="57">
        <f t="shared" si="21"/>
        <v>0</v>
      </c>
      <c r="U17" s="57">
        <f t="shared" si="21"/>
        <v>0</v>
      </c>
    </row>
    <row r="18" spans="1:21" ht="12" customHeight="1" x14ac:dyDescent="0.2">
      <c r="A18" s="563" t="s">
        <v>54</v>
      </c>
      <c r="B18" s="1115" t="s">
        <v>53</v>
      </c>
      <c r="C18" s="1114"/>
      <c r="D18" s="891">
        <f t="shared" si="6"/>
        <v>0</v>
      </c>
      <c r="E18" s="32">
        <f t="shared" ref="E18" si="22">+H18+K18+N18+Q18+T18</f>
        <v>0</v>
      </c>
      <c r="F18" s="872">
        <f t="shared" ref="F18" si="23">+I18+L18+O18+R18+U18</f>
        <v>0</v>
      </c>
      <c r="G18" s="31"/>
      <c r="H18" s="29"/>
      <c r="I18" s="29">
        <f>+H18+G18</f>
        <v>0</v>
      </c>
      <c r="J18" s="29"/>
      <c r="K18" s="29"/>
      <c r="L18" s="29">
        <f>+K18+J18</f>
        <v>0</v>
      </c>
      <c r="M18" s="29"/>
      <c r="N18" s="29"/>
      <c r="O18" s="564">
        <f>+N18+M18</f>
        <v>0</v>
      </c>
      <c r="P18" s="31"/>
      <c r="Q18" s="29"/>
      <c r="R18" s="29"/>
      <c r="S18" s="29"/>
      <c r="T18" s="29"/>
      <c r="U18" s="29"/>
    </row>
    <row r="19" spans="1:21" ht="12" customHeight="1" x14ac:dyDescent="0.2">
      <c r="A19" s="563" t="s">
        <v>56</v>
      </c>
      <c r="B19" s="1115" t="s">
        <v>55</v>
      </c>
      <c r="C19" s="1114"/>
      <c r="D19" s="891">
        <f t="shared" ref="D19:D24" si="24">+G19+J19+M19+P19+S19</f>
        <v>0</v>
      </c>
      <c r="E19" s="32">
        <f t="shared" ref="E19:E24" si="25">+H19+K19+N19+Q19+T19</f>
        <v>0</v>
      </c>
      <c r="F19" s="872">
        <f t="shared" ref="F19:F24" si="26">+I19+L19+O19+R19+U19</f>
        <v>0</v>
      </c>
      <c r="G19" s="31"/>
      <c r="H19" s="29"/>
      <c r="I19" s="29">
        <f t="shared" ref="I19:I24" si="27">+H19+G19</f>
        <v>0</v>
      </c>
      <c r="J19" s="29"/>
      <c r="K19" s="29"/>
      <c r="L19" s="29">
        <f t="shared" ref="L19:L24" si="28">+K19+J19</f>
        <v>0</v>
      </c>
      <c r="M19" s="29"/>
      <c r="N19" s="29"/>
      <c r="O19" s="564">
        <f t="shared" ref="O19:O24" si="29">+N19+M19</f>
        <v>0</v>
      </c>
      <c r="P19" s="31"/>
      <c r="Q19" s="29"/>
      <c r="R19" s="29"/>
      <c r="S19" s="29"/>
      <c r="T19" s="29"/>
      <c r="U19" s="29"/>
    </row>
    <row r="20" spans="1:21" ht="12" customHeight="1" x14ac:dyDescent="0.2">
      <c r="A20" s="563" t="s">
        <v>57</v>
      </c>
      <c r="B20" s="1115" t="s">
        <v>167</v>
      </c>
      <c r="C20" s="1114"/>
      <c r="D20" s="891">
        <f t="shared" si="24"/>
        <v>0</v>
      </c>
      <c r="E20" s="32">
        <f t="shared" si="25"/>
        <v>0</v>
      </c>
      <c r="F20" s="872">
        <f t="shared" si="26"/>
        <v>0</v>
      </c>
      <c r="G20" s="31"/>
      <c r="H20" s="29"/>
      <c r="I20" s="29">
        <f t="shared" si="27"/>
        <v>0</v>
      </c>
      <c r="J20" s="29"/>
      <c r="K20" s="29"/>
      <c r="L20" s="29">
        <f t="shared" si="28"/>
        <v>0</v>
      </c>
      <c r="M20" s="29"/>
      <c r="N20" s="29"/>
      <c r="O20" s="564">
        <f t="shared" si="29"/>
        <v>0</v>
      </c>
      <c r="P20" s="31"/>
      <c r="Q20" s="29"/>
      <c r="R20" s="29"/>
      <c r="S20" s="29"/>
      <c r="T20" s="29"/>
      <c r="U20" s="29"/>
    </row>
    <row r="21" spans="1:21" ht="12" customHeight="1" x14ac:dyDescent="0.2">
      <c r="A21" s="563" t="s">
        <v>59</v>
      </c>
      <c r="B21" s="1115" t="s">
        <v>58</v>
      </c>
      <c r="C21" s="1114"/>
      <c r="D21" s="891">
        <f t="shared" si="24"/>
        <v>0</v>
      </c>
      <c r="E21" s="32">
        <f t="shared" si="25"/>
        <v>0</v>
      </c>
      <c r="F21" s="872">
        <f t="shared" si="26"/>
        <v>0</v>
      </c>
      <c r="G21" s="31"/>
      <c r="H21" s="29"/>
      <c r="I21" s="29">
        <f t="shared" si="27"/>
        <v>0</v>
      </c>
      <c r="J21" s="29"/>
      <c r="K21" s="29"/>
      <c r="L21" s="29">
        <f t="shared" si="28"/>
        <v>0</v>
      </c>
      <c r="M21" s="29"/>
      <c r="N21" s="29"/>
      <c r="O21" s="564">
        <f t="shared" si="29"/>
        <v>0</v>
      </c>
      <c r="P21" s="31"/>
      <c r="Q21" s="29"/>
      <c r="R21" s="29"/>
      <c r="S21" s="29"/>
      <c r="T21" s="29"/>
      <c r="U21" s="29"/>
    </row>
    <row r="22" spans="1:21" ht="12" customHeight="1" x14ac:dyDescent="0.2">
      <c r="A22" s="563" t="s">
        <v>60</v>
      </c>
      <c r="B22" s="1115" t="s">
        <v>166</v>
      </c>
      <c r="C22" s="1114"/>
      <c r="D22" s="891">
        <f t="shared" si="24"/>
        <v>0</v>
      </c>
      <c r="E22" s="32">
        <f t="shared" si="25"/>
        <v>0</v>
      </c>
      <c r="F22" s="872">
        <f t="shared" si="26"/>
        <v>0</v>
      </c>
      <c r="G22" s="31"/>
      <c r="H22" s="29"/>
      <c r="I22" s="29">
        <f t="shared" si="27"/>
        <v>0</v>
      </c>
      <c r="J22" s="29"/>
      <c r="K22" s="29"/>
      <c r="L22" s="29">
        <f t="shared" si="28"/>
        <v>0</v>
      </c>
      <c r="M22" s="29"/>
      <c r="N22" s="29"/>
      <c r="O22" s="564">
        <f t="shared" si="29"/>
        <v>0</v>
      </c>
      <c r="P22" s="31"/>
      <c r="Q22" s="29"/>
      <c r="R22" s="29"/>
      <c r="S22" s="29"/>
      <c r="T22" s="29"/>
      <c r="U22" s="29"/>
    </row>
    <row r="23" spans="1:21" ht="12" customHeight="1" x14ac:dyDescent="0.2">
      <c r="A23" s="563" t="s">
        <v>63</v>
      </c>
      <c r="B23" s="1115" t="s">
        <v>62</v>
      </c>
      <c r="C23" s="1114"/>
      <c r="D23" s="891">
        <f t="shared" si="24"/>
        <v>0</v>
      </c>
      <c r="E23" s="32">
        <f t="shared" si="25"/>
        <v>45</v>
      </c>
      <c r="F23" s="872">
        <f t="shared" si="26"/>
        <v>45</v>
      </c>
      <c r="G23" s="31"/>
      <c r="H23" s="29">
        <v>45</v>
      </c>
      <c r="I23" s="29">
        <f t="shared" si="27"/>
        <v>45</v>
      </c>
      <c r="J23" s="29"/>
      <c r="K23" s="29"/>
      <c r="L23" s="29">
        <f t="shared" si="28"/>
        <v>0</v>
      </c>
      <c r="M23" s="29"/>
      <c r="N23" s="29"/>
      <c r="O23" s="564">
        <f t="shared" si="29"/>
        <v>0</v>
      </c>
      <c r="P23" s="31"/>
      <c r="Q23" s="29"/>
      <c r="R23" s="29"/>
      <c r="S23" s="29"/>
      <c r="T23" s="29"/>
      <c r="U23" s="29"/>
    </row>
    <row r="24" spans="1:21" ht="12" customHeight="1" x14ac:dyDescent="0.2">
      <c r="A24" s="563" t="s">
        <v>65</v>
      </c>
      <c r="B24" s="1115" t="s">
        <v>64</v>
      </c>
      <c r="C24" s="1114"/>
      <c r="D24" s="891">
        <f t="shared" si="24"/>
        <v>997</v>
      </c>
      <c r="E24" s="32">
        <f t="shared" si="25"/>
        <v>0</v>
      </c>
      <c r="F24" s="872">
        <f t="shared" si="26"/>
        <v>997</v>
      </c>
      <c r="G24" s="31">
        <v>200</v>
      </c>
      <c r="H24" s="29"/>
      <c r="I24" s="29">
        <f t="shared" si="27"/>
        <v>200</v>
      </c>
      <c r="J24" s="29">
        <v>497</v>
      </c>
      <c r="K24" s="29"/>
      <c r="L24" s="29">
        <f t="shared" si="28"/>
        <v>497</v>
      </c>
      <c r="M24" s="29">
        <v>300</v>
      </c>
      <c r="N24" s="29"/>
      <c r="O24" s="564">
        <f t="shared" si="29"/>
        <v>300</v>
      </c>
      <c r="P24" s="31"/>
      <c r="Q24" s="29"/>
      <c r="R24" s="29"/>
      <c r="S24" s="29"/>
      <c r="T24" s="29"/>
      <c r="U24" s="29"/>
    </row>
    <row r="25" spans="1:21" s="44" customFormat="1" ht="12" customHeight="1" x14ac:dyDescent="0.2">
      <c r="A25" s="560" t="s">
        <v>66</v>
      </c>
      <c r="B25" s="1119" t="s">
        <v>156</v>
      </c>
      <c r="C25" s="1104"/>
      <c r="D25" s="890">
        <f t="shared" si="6"/>
        <v>997</v>
      </c>
      <c r="E25" s="57">
        <f t="shared" ref="E25:U25" si="30">+E24+E23+E22+E21+E20+E19+E18</f>
        <v>45</v>
      </c>
      <c r="F25" s="561">
        <f t="shared" si="30"/>
        <v>1042</v>
      </c>
      <c r="G25" s="634">
        <f t="shared" si="30"/>
        <v>200</v>
      </c>
      <c r="H25" s="57">
        <f t="shared" si="30"/>
        <v>45</v>
      </c>
      <c r="I25" s="57">
        <f t="shared" si="30"/>
        <v>245</v>
      </c>
      <c r="J25" s="57">
        <f t="shared" si="30"/>
        <v>497</v>
      </c>
      <c r="K25" s="57">
        <f t="shared" si="30"/>
        <v>0</v>
      </c>
      <c r="L25" s="57">
        <f t="shared" si="30"/>
        <v>497</v>
      </c>
      <c r="M25" s="57">
        <f t="shared" si="30"/>
        <v>300</v>
      </c>
      <c r="N25" s="57">
        <f t="shared" si="30"/>
        <v>0</v>
      </c>
      <c r="O25" s="561">
        <f t="shared" si="30"/>
        <v>300</v>
      </c>
      <c r="P25" s="634">
        <f t="shared" si="30"/>
        <v>0</v>
      </c>
      <c r="Q25" s="57">
        <f t="shared" si="30"/>
        <v>0</v>
      </c>
      <c r="R25" s="57">
        <f t="shared" si="30"/>
        <v>0</v>
      </c>
      <c r="S25" s="57">
        <f t="shared" si="30"/>
        <v>0</v>
      </c>
      <c r="T25" s="57">
        <f t="shared" si="30"/>
        <v>0</v>
      </c>
      <c r="U25" s="57">
        <f t="shared" si="30"/>
        <v>0</v>
      </c>
    </row>
    <row r="26" spans="1:21" ht="12" customHeight="1" x14ac:dyDescent="0.2">
      <c r="A26" s="563" t="s">
        <v>68</v>
      </c>
      <c r="B26" s="1115" t="s">
        <v>67</v>
      </c>
      <c r="C26" s="1114"/>
      <c r="D26" s="891">
        <f t="shared" si="6"/>
        <v>160</v>
      </c>
      <c r="E26" s="32">
        <f t="shared" ref="E26" si="31">+H26+K26+N26+Q26+T26</f>
        <v>0</v>
      </c>
      <c r="F26" s="872">
        <f t="shared" ref="F26" si="32">+I26+L26+O26+R26+U26</f>
        <v>160</v>
      </c>
      <c r="G26" s="31">
        <v>160</v>
      </c>
      <c r="H26" s="29"/>
      <c r="I26" s="29">
        <f>+H26+G26</f>
        <v>160</v>
      </c>
      <c r="J26" s="29"/>
      <c r="K26" s="29"/>
      <c r="L26" s="29">
        <f>+K26+J26</f>
        <v>0</v>
      </c>
      <c r="M26" s="29"/>
      <c r="N26" s="29"/>
      <c r="O26" s="564">
        <f>+N26+M26</f>
        <v>0</v>
      </c>
      <c r="P26" s="31"/>
      <c r="Q26" s="29"/>
      <c r="R26" s="29"/>
      <c r="S26" s="29"/>
      <c r="T26" s="29"/>
      <c r="U26" s="29"/>
    </row>
    <row r="27" spans="1:21" ht="12" customHeight="1" x14ac:dyDescent="0.2">
      <c r="A27" s="563" t="s">
        <v>70</v>
      </c>
      <c r="B27" s="1115" t="s">
        <v>69</v>
      </c>
      <c r="C27" s="1114"/>
      <c r="D27" s="891">
        <f t="shared" ref="D27" si="33">+G27+J27+M27+P27+S27</f>
        <v>0</v>
      </c>
      <c r="E27" s="32">
        <f t="shared" ref="E27:E29" si="34">+H27+K27+N27+Q27+T27</f>
        <v>0</v>
      </c>
      <c r="F27" s="872">
        <f t="shared" ref="F27:F29" si="35">+I27+L27+O27+R27+U27</f>
        <v>0</v>
      </c>
      <c r="G27" s="31"/>
      <c r="H27" s="29"/>
      <c r="I27" s="29">
        <f>+H27+G27</f>
        <v>0</v>
      </c>
      <c r="J27" s="29"/>
      <c r="K27" s="29"/>
      <c r="L27" s="29">
        <f>+K27+J27</f>
        <v>0</v>
      </c>
      <c r="M27" s="29"/>
      <c r="N27" s="29"/>
      <c r="O27" s="564">
        <f>+N27+M27</f>
        <v>0</v>
      </c>
      <c r="P27" s="31"/>
      <c r="Q27" s="29"/>
      <c r="R27" s="29"/>
      <c r="S27" s="29"/>
      <c r="T27" s="29"/>
      <c r="U27" s="29"/>
    </row>
    <row r="28" spans="1:21" s="44" customFormat="1" ht="12" customHeight="1" x14ac:dyDescent="0.2">
      <c r="A28" s="560" t="s">
        <v>71</v>
      </c>
      <c r="B28" s="1119" t="s">
        <v>155</v>
      </c>
      <c r="C28" s="1104"/>
      <c r="D28" s="890">
        <f t="shared" si="6"/>
        <v>160</v>
      </c>
      <c r="E28" s="54">
        <f t="shared" si="34"/>
        <v>0</v>
      </c>
      <c r="F28" s="868">
        <f t="shared" si="35"/>
        <v>160</v>
      </c>
      <c r="G28" s="634">
        <f>+G26+G27</f>
        <v>160</v>
      </c>
      <c r="H28" s="57">
        <f t="shared" ref="H28:U28" si="36">+H26+H27</f>
        <v>0</v>
      </c>
      <c r="I28" s="57">
        <f t="shared" si="36"/>
        <v>160</v>
      </c>
      <c r="J28" s="57">
        <f t="shared" si="36"/>
        <v>0</v>
      </c>
      <c r="K28" s="57">
        <f t="shared" si="36"/>
        <v>0</v>
      </c>
      <c r="L28" s="57">
        <f t="shared" si="36"/>
        <v>0</v>
      </c>
      <c r="M28" s="57">
        <f t="shared" si="36"/>
        <v>0</v>
      </c>
      <c r="N28" s="57">
        <f t="shared" si="36"/>
        <v>0</v>
      </c>
      <c r="O28" s="561">
        <f t="shared" si="36"/>
        <v>0</v>
      </c>
      <c r="P28" s="634">
        <f t="shared" si="36"/>
        <v>0</v>
      </c>
      <c r="Q28" s="57">
        <f t="shared" si="36"/>
        <v>0</v>
      </c>
      <c r="R28" s="57">
        <f t="shared" si="36"/>
        <v>0</v>
      </c>
      <c r="S28" s="57">
        <f t="shared" si="36"/>
        <v>0</v>
      </c>
      <c r="T28" s="57">
        <f t="shared" si="36"/>
        <v>0</v>
      </c>
      <c r="U28" s="57">
        <f t="shared" si="36"/>
        <v>0</v>
      </c>
    </row>
    <row r="29" spans="1:21" ht="12" customHeight="1" x14ac:dyDescent="0.2">
      <c r="A29" s="563" t="s">
        <v>73</v>
      </c>
      <c r="B29" s="1115" t="s">
        <v>72</v>
      </c>
      <c r="C29" s="1114"/>
      <c r="D29" s="891">
        <f t="shared" si="6"/>
        <v>158</v>
      </c>
      <c r="E29" s="32">
        <f t="shared" si="34"/>
        <v>0</v>
      </c>
      <c r="F29" s="872">
        <f t="shared" si="35"/>
        <v>158</v>
      </c>
      <c r="G29" s="31">
        <v>108</v>
      </c>
      <c r="H29" s="29"/>
      <c r="I29" s="29">
        <f>+H29+G29</f>
        <v>108</v>
      </c>
      <c r="J29" s="29"/>
      <c r="K29" s="29"/>
      <c r="L29" s="29">
        <f>+K29+J29</f>
        <v>0</v>
      </c>
      <c r="M29" s="29">
        <v>50</v>
      </c>
      <c r="N29" s="29"/>
      <c r="O29" s="564">
        <f>+N29+M29</f>
        <v>50</v>
      </c>
      <c r="P29" s="31"/>
      <c r="Q29" s="29"/>
      <c r="R29" s="29"/>
      <c r="S29" s="29"/>
      <c r="T29" s="29"/>
      <c r="U29" s="29"/>
    </row>
    <row r="30" spans="1:21" ht="12" customHeight="1" x14ac:dyDescent="0.2">
      <c r="A30" s="563" t="s">
        <v>75</v>
      </c>
      <c r="B30" s="1115" t="s">
        <v>74</v>
      </c>
      <c r="C30" s="1114"/>
      <c r="D30" s="891">
        <f t="shared" ref="D30:D33" si="37">+G30+J30+M30+P30+S30</f>
        <v>0</v>
      </c>
      <c r="E30" s="32">
        <f t="shared" ref="E30:E34" si="38">+H30+K30+N30+Q30+T30</f>
        <v>0</v>
      </c>
      <c r="F30" s="872">
        <f t="shared" ref="F30:F34" si="39">+I30+L30+O30+R30+U30</f>
        <v>0</v>
      </c>
      <c r="G30" s="31"/>
      <c r="H30" s="29"/>
      <c r="I30" s="29">
        <f t="shared" ref="I30:I33" si="40">+H30+G30</f>
        <v>0</v>
      </c>
      <c r="J30" s="29"/>
      <c r="K30" s="29"/>
      <c r="L30" s="29">
        <f t="shared" ref="L30:L33" si="41">+K30+J30</f>
        <v>0</v>
      </c>
      <c r="M30" s="29"/>
      <c r="N30" s="29"/>
      <c r="O30" s="564">
        <f t="shared" ref="O30:O33" si="42">+N30+M30</f>
        <v>0</v>
      </c>
      <c r="P30" s="31"/>
      <c r="Q30" s="29"/>
      <c r="R30" s="29"/>
      <c r="S30" s="29"/>
      <c r="T30" s="29"/>
      <c r="U30" s="29"/>
    </row>
    <row r="31" spans="1:21" ht="12" customHeight="1" x14ac:dyDescent="0.2">
      <c r="A31" s="563" t="s">
        <v>76</v>
      </c>
      <c r="B31" s="1115" t="s">
        <v>154</v>
      </c>
      <c r="C31" s="1114"/>
      <c r="D31" s="891">
        <f t="shared" si="37"/>
        <v>0</v>
      </c>
      <c r="E31" s="32">
        <f t="shared" si="38"/>
        <v>0</v>
      </c>
      <c r="F31" s="872">
        <f t="shared" si="39"/>
        <v>0</v>
      </c>
      <c r="G31" s="31"/>
      <c r="H31" s="29"/>
      <c r="I31" s="29">
        <f t="shared" si="40"/>
        <v>0</v>
      </c>
      <c r="J31" s="29"/>
      <c r="K31" s="29"/>
      <c r="L31" s="29">
        <f t="shared" si="41"/>
        <v>0</v>
      </c>
      <c r="M31" s="29"/>
      <c r="N31" s="29"/>
      <c r="O31" s="564">
        <f t="shared" si="42"/>
        <v>0</v>
      </c>
      <c r="P31" s="31"/>
      <c r="Q31" s="29"/>
      <c r="R31" s="29"/>
      <c r="S31" s="29"/>
      <c r="T31" s="29"/>
      <c r="U31" s="29"/>
    </row>
    <row r="32" spans="1:21" ht="12" customHeight="1" x14ac:dyDescent="0.2">
      <c r="A32" s="563" t="s">
        <v>77</v>
      </c>
      <c r="B32" s="1115" t="s">
        <v>153</v>
      </c>
      <c r="C32" s="1114"/>
      <c r="D32" s="891">
        <f t="shared" si="37"/>
        <v>0</v>
      </c>
      <c r="E32" s="32">
        <f t="shared" si="38"/>
        <v>0</v>
      </c>
      <c r="F32" s="872">
        <f t="shared" si="39"/>
        <v>0</v>
      </c>
      <c r="G32" s="31"/>
      <c r="H32" s="29"/>
      <c r="I32" s="29">
        <f t="shared" si="40"/>
        <v>0</v>
      </c>
      <c r="J32" s="29"/>
      <c r="K32" s="29"/>
      <c r="L32" s="29">
        <f t="shared" si="41"/>
        <v>0</v>
      </c>
      <c r="M32" s="29"/>
      <c r="N32" s="29"/>
      <c r="O32" s="564">
        <f t="shared" si="42"/>
        <v>0</v>
      </c>
      <c r="P32" s="31"/>
      <c r="Q32" s="29"/>
      <c r="R32" s="29"/>
      <c r="S32" s="29"/>
      <c r="T32" s="29"/>
      <c r="U32" s="29"/>
    </row>
    <row r="33" spans="1:21" ht="12" customHeight="1" x14ac:dyDescent="0.2">
      <c r="A33" s="563" t="s">
        <v>79</v>
      </c>
      <c r="B33" s="1115" t="s">
        <v>78</v>
      </c>
      <c r="C33" s="1114"/>
      <c r="D33" s="891">
        <f t="shared" si="37"/>
        <v>0</v>
      </c>
      <c r="E33" s="32">
        <f t="shared" si="38"/>
        <v>0</v>
      </c>
      <c r="F33" s="872">
        <f t="shared" si="39"/>
        <v>0</v>
      </c>
      <c r="G33" s="31"/>
      <c r="H33" s="29"/>
      <c r="I33" s="29">
        <f t="shared" si="40"/>
        <v>0</v>
      </c>
      <c r="J33" s="29"/>
      <c r="K33" s="29"/>
      <c r="L33" s="29">
        <f t="shared" si="41"/>
        <v>0</v>
      </c>
      <c r="M33" s="29"/>
      <c r="N33" s="29"/>
      <c r="O33" s="564">
        <f t="shared" si="42"/>
        <v>0</v>
      </c>
      <c r="P33" s="31"/>
      <c r="Q33" s="29"/>
      <c r="R33" s="29"/>
      <c r="S33" s="29"/>
      <c r="T33" s="29"/>
      <c r="U33" s="29"/>
    </row>
    <row r="34" spans="1:21" s="44" customFormat="1" ht="12" customHeight="1" x14ac:dyDescent="0.2">
      <c r="A34" s="560" t="s">
        <v>80</v>
      </c>
      <c r="B34" s="1119" t="s">
        <v>152</v>
      </c>
      <c r="C34" s="1104"/>
      <c r="D34" s="890">
        <f t="shared" si="6"/>
        <v>158</v>
      </c>
      <c r="E34" s="54">
        <f t="shared" si="38"/>
        <v>0</v>
      </c>
      <c r="F34" s="868">
        <f t="shared" si="39"/>
        <v>158</v>
      </c>
      <c r="G34" s="634">
        <f>SUM(G29:G33)</f>
        <v>108</v>
      </c>
      <c r="H34" s="57">
        <f t="shared" ref="H34:U34" si="43">SUM(H29:H33)</f>
        <v>0</v>
      </c>
      <c r="I34" s="57">
        <f t="shared" si="43"/>
        <v>108</v>
      </c>
      <c r="J34" s="57">
        <f t="shared" si="43"/>
        <v>0</v>
      </c>
      <c r="K34" s="57">
        <f t="shared" si="43"/>
        <v>0</v>
      </c>
      <c r="L34" s="57">
        <f t="shared" si="43"/>
        <v>0</v>
      </c>
      <c r="M34" s="57">
        <f t="shared" si="43"/>
        <v>50</v>
      </c>
      <c r="N34" s="57">
        <f t="shared" si="43"/>
        <v>0</v>
      </c>
      <c r="O34" s="561">
        <f t="shared" si="43"/>
        <v>50</v>
      </c>
      <c r="P34" s="634">
        <f t="shared" si="43"/>
        <v>0</v>
      </c>
      <c r="Q34" s="57">
        <f t="shared" si="43"/>
        <v>0</v>
      </c>
      <c r="R34" s="57">
        <f t="shared" si="43"/>
        <v>0</v>
      </c>
      <c r="S34" s="57">
        <f t="shared" si="43"/>
        <v>0</v>
      </c>
      <c r="T34" s="57">
        <f t="shared" si="43"/>
        <v>0</v>
      </c>
      <c r="U34" s="57">
        <f t="shared" si="43"/>
        <v>0</v>
      </c>
    </row>
    <row r="35" spans="1:21" s="44" customFormat="1" ht="12" customHeight="1" x14ac:dyDescent="0.2">
      <c r="A35" s="864" t="s">
        <v>81</v>
      </c>
      <c r="B35" s="1118" t="s">
        <v>151</v>
      </c>
      <c r="C35" s="1174"/>
      <c r="D35" s="885">
        <f t="shared" ref="D35:U35" si="44">+D34+D28+D25+D17+D14</f>
        <v>1855</v>
      </c>
      <c r="E35" s="55">
        <f t="shared" si="44"/>
        <v>45</v>
      </c>
      <c r="F35" s="865">
        <f t="shared" si="44"/>
        <v>1900</v>
      </c>
      <c r="G35" s="861">
        <f t="shared" si="44"/>
        <v>848</v>
      </c>
      <c r="H35" s="55">
        <f t="shared" si="44"/>
        <v>45</v>
      </c>
      <c r="I35" s="55">
        <f t="shared" si="44"/>
        <v>893</v>
      </c>
      <c r="J35" s="55">
        <f t="shared" si="44"/>
        <v>497</v>
      </c>
      <c r="K35" s="55">
        <f t="shared" si="44"/>
        <v>0</v>
      </c>
      <c r="L35" s="55">
        <f t="shared" si="44"/>
        <v>497</v>
      </c>
      <c r="M35" s="55">
        <f t="shared" si="44"/>
        <v>510</v>
      </c>
      <c r="N35" s="55">
        <f t="shared" si="44"/>
        <v>0</v>
      </c>
      <c r="O35" s="865">
        <f t="shared" si="44"/>
        <v>510</v>
      </c>
      <c r="P35" s="861">
        <f t="shared" si="44"/>
        <v>0</v>
      </c>
      <c r="Q35" s="55">
        <f t="shared" si="44"/>
        <v>0</v>
      </c>
      <c r="R35" s="55">
        <f t="shared" si="44"/>
        <v>0</v>
      </c>
      <c r="S35" s="55">
        <f t="shared" si="44"/>
        <v>0</v>
      </c>
      <c r="T35" s="55">
        <f t="shared" si="44"/>
        <v>0</v>
      </c>
      <c r="U35" s="55">
        <f t="shared" si="44"/>
        <v>0</v>
      </c>
    </row>
    <row r="36" spans="1:21" ht="9.75" customHeight="1" x14ac:dyDescent="0.2">
      <c r="A36" s="462"/>
      <c r="B36" s="9"/>
      <c r="C36" s="1046"/>
      <c r="D36" s="892"/>
      <c r="E36" s="30"/>
      <c r="F36" s="866"/>
      <c r="G36" s="30"/>
      <c r="H36" s="30"/>
      <c r="I36" s="31"/>
      <c r="J36" s="30"/>
      <c r="K36" s="30"/>
      <c r="L36" s="31"/>
      <c r="M36" s="30"/>
      <c r="N36" s="30"/>
      <c r="O36" s="866"/>
      <c r="P36" s="30"/>
      <c r="Q36" s="30"/>
      <c r="R36" s="31"/>
      <c r="S36" s="30"/>
      <c r="T36" s="30"/>
      <c r="U36" s="31"/>
    </row>
    <row r="37" spans="1:21" ht="12" customHeight="1" x14ac:dyDescent="0.2">
      <c r="A37" s="871" t="s">
        <v>110</v>
      </c>
      <c r="B37" s="1117" t="s">
        <v>109</v>
      </c>
      <c r="C37" s="1112"/>
      <c r="D37" s="891">
        <f t="shared" ref="D37" si="45">+G37+J37+M37+S37</f>
        <v>0</v>
      </c>
      <c r="E37" s="32">
        <f t="shared" ref="E37" si="46">+H37+K37+N37+T37</f>
        <v>0</v>
      </c>
      <c r="F37" s="872">
        <f t="shared" ref="F37" si="47">+I37+L37+O37+U37</f>
        <v>0</v>
      </c>
      <c r="G37" s="107"/>
      <c r="H37" s="32"/>
      <c r="I37" s="32">
        <f>+H37+G37</f>
        <v>0</v>
      </c>
      <c r="J37" s="32"/>
      <c r="K37" s="32"/>
      <c r="L37" s="32">
        <f>+K37+J37</f>
        <v>0</v>
      </c>
      <c r="M37" s="32"/>
      <c r="N37" s="32"/>
      <c r="O37" s="872"/>
      <c r="P37" s="107"/>
      <c r="Q37" s="32"/>
      <c r="R37" s="32"/>
      <c r="S37" s="32"/>
      <c r="T37" s="32"/>
      <c r="U37" s="32"/>
    </row>
    <row r="38" spans="1:21" ht="12" customHeight="1" x14ac:dyDescent="0.2">
      <c r="A38" s="563" t="s">
        <v>111</v>
      </c>
      <c r="B38" s="1115" t="s">
        <v>162</v>
      </c>
      <c r="C38" s="1114"/>
      <c r="D38" s="891">
        <f t="shared" ref="D38:D44" si="48">+G38+J38+M38+S38</f>
        <v>0</v>
      </c>
      <c r="E38" s="32">
        <f t="shared" ref="E38:E44" si="49">+H38+K38+N38+T38</f>
        <v>0</v>
      </c>
      <c r="F38" s="872">
        <f t="shared" ref="F38:F44" si="50">+I38+L38+O38+U38</f>
        <v>0</v>
      </c>
      <c r="G38" s="31"/>
      <c r="H38" s="29"/>
      <c r="I38" s="32">
        <f t="shared" ref="I38:I44" si="51">+H38+G38</f>
        <v>0</v>
      </c>
      <c r="J38" s="29"/>
      <c r="K38" s="29"/>
      <c r="L38" s="32">
        <f t="shared" ref="L38:L44" si="52">+K38+J38</f>
        <v>0</v>
      </c>
      <c r="M38" s="29"/>
      <c r="N38" s="29"/>
      <c r="O38" s="564"/>
      <c r="P38" s="31"/>
      <c r="Q38" s="29"/>
      <c r="R38" s="29"/>
      <c r="S38" s="29"/>
      <c r="T38" s="29"/>
      <c r="U38" s="29"/>
    </row>
    <row r="39" spans="1:21" s="40" customFormat="1" ht="12" customHeight="1" x14ac:dyDescent="0.2">
      <c r="A39" s="873" t="s">
        <v>111</v>
      </c>
      <c r="B39" s="39"/>
      <c r="C39" s="883" t="s">
        <v>112</v>
      </c>
      <c r="D39" s="891">
        <f t="shared" si="48"/>
        <v>0</v>
      </c>
      <c r="E39" s="32">
        <f t="shared" si="49"/>
        <v>0</v>
      </c>
      <c r="F39" s="872">
        <f t="shared" si="50"/>
        <v>0</v>
      </c>
      <c r="G39" s="56"/>
      <c r="H39" s="52"/>
      <c r="I39" s="32">
        <f t="shared" si="51"/>
        <v>0</v>
      </c>
      <c r="J39" s="52"/>
      <c r="K39" s="52"/>
      <c r="L39" s="32">
        <f t="shared" si="52"/>
        <v>0</v>
      </c>
      <c r="M39" s="52"/>
      <c r="N39" s="52"/>
      <c r="O39" s="874"/>
      <c r="P39" s="56"/>
      <c r="Q39" s="52"/>
      <c r="R39" s="52"/>
      <c r="S39" s="52"/>
      <c r="T39" s="52"/>
      <c r="U39" s="52"/>
    </row>
    <row r="40" spans="1:21" ht="12" customHeight="1" x14ac:dyDescent="0.2">
      <c r="A40" s="563" t="s">
        <v>114</v>
      </c>
      <c r="B40" s="1115" t="s">
        <v>113</v>
      </c>
      <c r="C40" s="1114"/>
      <c r="D40" s="891">
        <f t="shared" si="48"/>
        <v>0</v>
      </c>
      <c r="E40" s="32">
        <f t="shared" si="49"/>
        <v>0</v>
      </c>
      <c r="F40" s="872">
        <f t="shared" si="50"/>
        <v>0</v>
      </c>
      <c r="G40" s="31"/>
      <c r="H40" s="29"/>
      <c r="I40" s="32">
        <f t="shared" si="51"/>
        <v>0</v>
      </c>
      <c r="J40" s="29"/>
      <c r="K40" s="29"/>
      <c r="L40" s="32">
        <f t="shared" si="52"/>
        <v>0</v>
      </c>
      <c r="M40" s="29"/>
      <c r="N40" s="29"/>
      <c r="O40" s="564"/>
      <c r="P40" s="31"/>
      <c r="Q40" s="29"/>
      <c r="R40" s="29"/>
      <c r="S40" s="29"/>
      <c r="T40" s="29"/>
      <c r="U40" s="29"/>
    </row>
    <row r="41" spans="1:21" ht="12" customHeight="1" x14ac:dyDescent="0.2">
      <c r="A41" s="563" t="s">
        <v>116</v>
      </c>
      <c r="B41" s="1115" t="s">
        <v>115</v>
      </c>
      <c r="C41" s="1114"/>
      <c r="D41" s="891">
        <f t="shared" si="48"/>
        <v>126</v>
      </c>
      <c r="E41" s="32">
        <f t="shared" si="49"/>
        <v>0</v>
      </c>
      <c r="F41" s="872">
        <f t="shared" si="50"/>
        <v>126</v>
      </c>
      <c r="G41" s="31">
        <v>126</v>
      </c>
      <c r="H41" s="29"/>
      <c r="I41" s="32">
        <f t="shared" si="51"/>
        <v>126</v>
      </c>
      <c r="J41" s="29"/>
      <c r="K41" s="29"/>
      <c r="L41" s="32">
        <f t="shared" si="52"/>
        <v>0</v>
      </c>
      <c r="M41" s="29"/>
      <c r="N41" s="29"/>
      <c r="O41" s="564"/>
      <c r="P41" s="31"/>
      <c r="Q41" s="29"/>
      <c r="R41" s="29"/>
      <c r="S41" s="29"/>
      <c r="T41" s="29"/>
      <c r="U41" s="29"/>
    </row>
    <row r="42" spans="1:21" ht="12" customHeight="1" x14ac:dyDescent="0.2">
      <c r="A42" s="563" t="s">
        <v>118</v>
      </c>
      <c r="B42" s="1115" t="s">
        <v>117</v>
      </c>
      <c r="C42" s="1114"/>
      <c r="D42" s="891">
        <f t="shared" si="48"/>
        <v>34</v>
      </c>
      <c r="E42" s="32">
        <f t="shared" si="49"/>
        <v>0</v>
      </c>
      <c r="F42" s="872">
        <f t="shared" si="50"/>
        <v>34</v>
      </c>
      <c r="G42" s="31">
        <v>34</v>
      </c>
      <c r="H42" s="29"/>
      <c r="I42" s="32">
        <f t="shared" si="51"/>
        <v>34</v>
      </c>
      <c r="J42" s="29"/>
      <c r="K42" s="29"/>
      <c r="L42" s="32">
        <f t="shared" si="52"/>
        <v>0</v>
      </c>
      <c r="M42" s="29"/>
      <c r="N42" s="29"/>
      <c r="O42" s="564"/>
      <c r="P42" s="31"/>
      <c r="Q42" s="29"/>
      <c r="R42" s="29"/>
      <c r="S42" s="29"/>
      <c r="T42" s="29"/>
      <c r="U42" s="29"/>
    </row>
    <row r="43" spans="1:21" ht="12" customHeight="1" x14ac:dyDescent="0.2">
      <c r="A43" s="563" t="s">
        <v>120</v>
      </c>
      <c r="B43" s="1115" t="s">
        <v>119</v>
      </c>
      <c r="C43" s="1114"/>
      <c r="D43" s="891">
        <f t="shared" si="48"/>
        <v>0</v>
      </c>
      <c r="E43" s="32">
        <f t="shared" si="49"/>
        <v>0</v>
      </c>
      <c r="F43" s="872">
        <f t="shared" si="50"/>
        <v>0</v>
      </c>
      <c r="G43" s="31"/>
      <c r="H43" s="29"/>
      <c r="I43" s="32">
        <f t="shared" si="51"/>
        <v>0</v>
      </c>
      <c r="J43" s="29"/>
      <c r="K43" s="29"/>
      <c r="L43" s="32">
        <f t="shared" si="52"/>
        <v>0</v>
      </c>
      <c r="M43" s="29"/>
      <c r="N43" s="29"/>
      <c r="O43" s="564"/>
      <c r="P43" s="31"/>
      <c r="Q43" s="29"/>
      <c r="R43" s="29"/>
      <c r="S43" s="29"/>
      <c r="T43" s="29"/>
      <c r="U43" s="29"/>
    </row>
    <row r="44" spans="1:21" ht="12" customHeight="1" x14ac:dyDescent="0.2">
      <c r="A44" s="563" t="s">
        <v>122</v>
      </c>
      <c r="B44" s="1115" t="s">
        <v>121</v>
      </c>
      <c r="C44" s="1114"/>
      <c r="D44" s="891">
        <f t="shared" si="48"/>
        <v>0</v>
      </c>
      <c r="E44" s="32">
        <f t="shared" si="49"/>
        <v>0</v>
      </c>
      <c r="F44" s="872">
        <f t="shared" si="50"/>
        <v>0</v>
      </c>
      <c r="G44" s="31"/>
      <c r="H44" s="29"/>
      <c r="I44" s="32">
        <f t="shared" si="51"/>
        <v>0</v>
      </c>
      <c r="J44" s="29"/>
      <c r="K44" s="29"/>
      <c r="L44" s="32">
        <f t="shared" si="52"/>
        <v>0</v>
      </c>
      <c r="M44" s="29"/>
      <c r="N44" s="29"/>
      <c r="O44" s="564"/>
      <c r="P44" s="31"/>
      <c r="Q44" s="29"/>
      <c r="R44" s="29"/>
      <c r="S44" s="29"/>
      <c r="T44" s="29"/>
      <c r="U44" s="29"/>
    </row>
    <row r="45" spans="1:21" s="44" customFormat="1" ht="12" customHeight="1" x14ac:dyDescent="0.2">
      <c r="A45" s="864" t="s">
        <v>123</v>
      </c>
      <c r="B45" s="1118" t="s">
        <v>161</v>
      </c>
      <c r="C45" s="1174"/>
      <c r="D45" s="885">
        <f>+D44+D43+D42+D41+D40+D38+D37</f>
        <v>160</v>
      </c>
      <c r="E45" s="55">
        <f>+E44+E43+E42+E41+E40+E38+E37</f>
        <v>0</v>
      </c>
      <c r="F45" s="865">
        <f>+F44+F43+F42+F41+F40+F38+F37</f>
        <v>160</v>
      </c>
      <c r="G45" s="861">
        <f>+G44+G43+G42+G41+G40+G38+G37</f>
        <v>160</v>
      </c>
      <c r="H45" s="55">
        <f t="shared" ref="H45:U45" si="53">+H44+H43+H42+H41+H40+H38+H37</f>
        <v>0</v>
      </c>
      <c r="I45" s="55">
        <f t="shared" si="53"/>
        <v>160</v>
      </c>
      <c r="J45" s="55">
        <f t="shared" si="53"/>
        <v>0</v>
      </c>
      <c r="K45" s="55">
        <f t="shared" si="53"/>
        <v>0</v>
      </c>
      <c r="L45" s="55">
        <f t="shared" si="53"/>
        <v>0</v>
      </c>
      <c r="M45" s="55">
        <f t="shared" si="53"/>
        <v>0</v>
      </c>
      <c r="N45" s="55">
        <f t="shared" si="53"/>
        <v>0</v>
      </c>
      <c r="O45" s="865">
        <f t="shared" si="53"/>
        <v>0</v>
      </c>
      <c r="P45" s="861">
        <f t="shared" si="53"/>
        <v>0</v>
      </c>
      <c r="Q45" s="55">
        <f t="shared" si="53"/>
        <v>0</v>
      </c>
      <c r="R45" s="55">
        <f t="shared" si="53"/>
        <v>0</v>
      </c>
      <c r="S45" s="55">
        <f t="shared" si="53"/>
        <v>0</v>
      </c>
      <c r="T45" s="55">
        <f t="shared" si="53"/>
        <v>0</v>
      </c>
      <c r="U45" s="55">
        <f t="shared" si="53"/>
        <v>0</v>
      </c>
    </row>
    <row r="46" spans="1:21" ht="9" customHeight="1" x14ac:dyDescent="0.2">
      <c r="A46" s="462"/>
      <c r="B46" s="9"/>
      <c r="C46" s="1046"/>
      <c r="D46" s="892"/>
      <c r="E46" s="30"/>
      <c r="F46" s="866"/>
      <c r="G46" s="30"/>
      <c r="H46" s="30"/>
      <c r="I46" s="30"/>
      <c r="J46" s="30"/>
      <c r="K46" s="30"/>
      <c r="L46" s="31"/>
      <c r="M46" s="30"/>
      <c r="N46" s="30"/>
      <c r="O46" s="866"/>
      <c r="P46" s="30"/>
      <c r="Q46" s="30"/>
      <c r="R46" s="31"/>
      <c r="S46" s="30"/>
      <c r="T46" s="30"/>
      <c r="U46" s="31"/>
    </row>
    <row r="47" spans="1:21" ht="12" hidden="1" customHeight="1" x14ac:dyDescent="0.2">
      <c r="A47" s="563" t="s">
        <v>125</v>
      </c>
      <c r="B47" s="1115" t="s">
        <v>124</v>
      </c>
      <c r="C47" s="1114"/>
      <c r="D47" s="639"/>
      <c r="E47" s="29"/>
      <c r="F47" s="564"/>
      <c r="G47" s="31"/>
      <c r="H47" s="29"/>
      <c r="I47" s="29"/>
      <c r="J47" s="29"/>
      <c r="K47" s="29"/>
      <c r="L47" s="29"/>
      <c r="M47" s="29"/>
      <c r="N47" s="29"/>
      <c r="O47" s="564"/>
      <c r="P47" s="31"/>
      <c r="Q47" s="29"/>
      <c r="R47" s="29"/>
      <c r="S47" s="29"/>
      <c r="T47" s="29"/>
      <c r="U47" s="29"/>
    </row>
    <row r="48" spans="1:21" ht="12" hidden="1" customHeight="1" x14ac:dyDescent="0.2">
      <c r="A48" s="563" t="s">
        <v>127</v>
      </c>
      <c r="B48" s="1115" t="s">
        <v>126</v>
      </c>
      <c r="C48" s="1114"/>
      <c r="D48" s="639"/>
      <c r="E48" s="29"/>
      <c r="F48" s="564"/>
      <c r="G48" s="31"/>
      <c r="H48" s="29"/>
      <c r="I48" s="29"/>
      <c r="J48" s="29"/>
      <c r="K48" s="29"/>
      <c r="L48" s="29"/>
      <c r="M48" s="29"/>
      <c r="N48" s="29"/>
      <c r="O48" s="564"/>
      <c r="P48" s="31"/>
      <c r="Q48" s="29"/>
      <c r="R48" s="29"/>
      <c r="S48" s="29"/>
      <c r="T48" s="29"/>
      <c r="U48" s="29"/>
    </row>
    <row r="49" spans="1:21" ht="12" hidden="1" customHeight="1" x14ac:dyDescent="0.2">
      <c r="A49" s="563" t="s">
        <v>129</v>
      </c>
      <c r="B49" s="1115" t="s">
        <v>128</v>
      </c>
      <c r="C49" s="1114"/>
      <c r="D49" s="639"/>
      <c r="E49" s="29"/>
      <c r="F49" s="564"/>
      <c r="G49" s="31"/>
      <c r="H49" s="29"/>
      <c r="I49" s="29"/>
      <c r="J49" s="29"/>
      <c r="K49" s="29"/>
      <c r="L49" s="29"/>
      <c r="M49" s="29"/>
      <c r="N49" s="29"/>
      <c r="O49" s="564"/>
      <c r="P49" s="31"/>
      <c r="Q49" s="29"/>
      <c r="R49" s="29"/>
      <c r="S49" s="29"/>
      <c r="T49" s="29"/>
      <c r="U49" s="29"/>
    </row>
    <row r="50" spans="1:21" ht="15" hidden="1" customHeight="1" x14ac:dyDescent="0.2">
      <c r="A50" s="563" t="s">
        <v>131</v>
      </c>
      <c r="B50" s="1115" t="s">
        <v>130</v>
      </c>
      <c r="C50" s="1114"/>
      <c r="D50" s="639"/>
      <c r="E50" s="29"/>
      <c r="F50" s="564"/>
      <c r="G50" s="31"/>
      <c r="H50" s="29"/>
      <c r="I50" s="29"/>
      <c r="J50" s="29"/>
      <c r="K50" s="29"/>
      <c r="L50" s="29"/>
      <c r="M50" s="29"/>
      <c r="N50" s="29"/>
      <c r="O50" s="564"/>
      <c r="P50" s="31"/>
      <c r="Q50" s="29"/>
      <c r="R50" s="29"/>
      <c r="S50" s="29"/>
      <c r="T50" s="29"/>
      <c r="U50" s="29"/>
    </row>
    <row r="51" spans="1:21" s="44" customFormat="1" ht="12" customHeight="1" x14ac:dyDescent="0.2">
      <c r="A51" s="864" t="s">
        <v>132</v>
      </c>
      <c r="B51" s="1118" t="s">
        <v>160</v>
      </c>
      <c r="C51" s="1174"/>
      <c r="D51" s="885"/>
      <c r="E51" s="55"/>
      <c r="F51" s="865"/>
      <c r="G51" s="861"/>
      <c r="H51" s="55"/>
      <c r="I51" s="55"/>
      <c r="J51" s="55"/>
      <c r="K51" s="55"/>
      <c r="L51" s="55"/>
      <c r="M51" s="55"/>
      <c r="N51" s="55"/>
      <c r="O51" s="865"/>
      <c r="P51" s="861"/>
      <c r="Q51" s="55"/>
      <c r="R51" s="55"/>
      <c r="S51" s="55"/>
      <c r="T51" s="55"/>
      <c r="U51" s="55"/>
    </row>
    <row r="52" spans="1:21" ht="7.5" customHeight="1" x14ac:dyDescent="0.2">
      <c r="A52" s="462"/>
      <c r="B52" s="9"/>
      <c r="C52" s="1046"/>
      <c r="D52" s="892"/>
      <c r="E52" s="30"/>
      <c r="F52" s="866"/>
      <c r="G52" s="30"/>
      <c r="H52" s="30"/>
      <c r="I52" s="30"/>
      <c r="J52" s="30"/>
      <c r="K52" s="30"/>
      <c r="L52" s="30"/>
      <c r="M52" s="30"/>
      <c r="N52" s="30"/>
      <c r="O52" s="866"/>
      <c r="P52" s="30"/>
      <c r="Q52" s="30"/>
      <c r="R52" s="30"/>
      <c r="S52" s="30"/>
      <c r="T52" s="30"/>
      <c r="U52" s="30"/>
    </row>
    <row r="53" spans="1:21" ht="12" hidden="1" customHeight="1" x14ac:dyDescent="0.2">
      <c r="A53" s="460" t="s">
        <v>378</v>
      </c>
      <c r="B53" s="1117" t="s">
        <v>379</v>
      </c>
      <c r="C53" s="1112"/>
      <c r="D53" s="893"/>
      <c r="E53" s="106"/>
      <c r="F53" s="875"/>
      <c r="G53" s="106"/>
      <c r="H53" s="106"/>
      <c r="I53" s="106"/>
      <c r="J53" s="106"/>
      <c r="K53" s="106"/>
      <c r="L53" s="106"/>
      <c r="M53" s="106"/>
      <c r="N53" s="106"/>
      <c r="O53" s="875"/>
      <c r="P53" s="106"/>
      <c r="Q53" s="106"/>
      <c r="R53" s="106"/>
      <c r="S53" s="106"/>
      <c r="T53" s="106"/>
      <c r="U53" s="106"/>
    </row>
    <row r="54" spans="1:21" ht="12" hidden="1" customHeight="1" x14ac:dyDescent="0.2">
      <c r="A54" s="460" t="s">
        <v>391</v>
      </c>
      <c r="B54" s="1128" t="s">
        <v>392</v>
      </c>
      <c r="C54" s="1162"/>
      <c r="D54" s="893"/>
      <c r="E54" s="106"/>
      <c r="F54" s="875"/>
      <c r="G54" s="106"/>
      <c r="H54" s="106"/>
      <c r="I54" s="106"/>
      <c r="J54" s="106"/>
      <c r="K54" s="106"/>
      <c r="L54" s="106"/>
      <c r="M54" s="106"/>
      <c r="N54" s="106"/>
      <c r="O54" s="875"/>
      <c r="P54" s="106"/>
      <c r="Q54" s="106"/>
      <c r="R54" s="106"/>
      <c r="S54" s="106"/>
      <c r="T54" s="106"/>
      <c r="U54" s="106"/>
    </row>
    <row r="55" spans="1:21" ht="12" hidden="1" customHeight="1" x14ac:dyDescent="0.2">
      <c r="A55" s="871" t="s">
        <v>630</v>
      </c>
      <c r="B55" s="1117" t="s">
        <v>159</v>
      </c>
      <c r="C55" s="1112"/>
      <c r="D55" s="891"/>
      <c r="E55" s="32"/>
      <c r="F55" s="872"/>
      <c r="G55" s="107"/>
      <c r="H55" s="32"/>
      <c r="I55" s="32"/>
      <c r="J55" s="32"/>
      <c r="K55" s="32"/>
      <c r="L55" s="32"/>
      <c r="M55" s="32"/>
      <c r="N55" s="32"/>
      <c r="O55" s="872"/>
      <c r="P55" s="107"/>
      <c r="Q55" s="32"/>
      <c r="R55" s="32"/>
      <c r="S55" s="32"/>
      <c r="T55" s="32"/>
      <c r="U55" s="32"/>
    </row>
    <row r="56" spans="1:21" s="44" customFormat="1" ht="12" customHeight="1" x14ac:dyDescent="0.2">
      <c r="A56" s="876" t="s">
        <v>134</v>
      </c>
      <c r="B56" s="1126" t="s">
        <v>158</v>
      </c>
      <c r="C56" s="1177"/>
      <c r="D56" s="894"/>
      <c r="E56" s="53"/>
      <c r="F56" s="877"/>
      <c r="G56" s="863"/>
      <c r="H56" s="53"/>
      <c r="I56" s="53"/>
      <c r="J56" s="53"/>
      <c r="K56" s="53"/>
      <c r="L56" s="53"/>
      <c r="M56" s="53"/>
      <c r="N56" s="53"/>
      <c r="O56" s="877"/>
      <c r="P56" s="863"/>
      <c r="Q56" s="53"/>
      <c r="R56" s="53"/>
      <c r="S56" s="53"/>
      <c r="T56" s="53"/>
      <c r="U56" s="53"/>
    </row>
    <row r="57" spans="1:21" ht="12" customHeight="1" x14ac:dyDescent="0.2">
      <c r="A57" s="462"/>
      <c r="B57" s="16"/>
      <c r="C57" s="884"/>
      <c r="D57" s="892"/>
      <c r="E57" s="30"/>
      <c r="F57" s="866"/>
      <c r="G57" s="30"/>
      <c r="H57" s="30"/>
      <c r="I57" s="30"/>
      <c r="J57" s="30"/>
      <c r="K57" s="30"/>
      <c r="L57" s="31"/>
      <c r="M57" s="30"/>
      <c r="N57" s="30"/>
      <c r="O57" s="866"/>
      <c r="P57" s="30"/>
      <c r="Q57" s="30"/>
      <c r="R57" s="31"/>
      <c r="S57" s="30"/>
      <c r="T57" s="30"/>
      <c r="U57" s="31"/>
    </row>
    <row r="58" spans="1:21" s="44" customFormat="1" ht="12" customHeight="1" thickBot="1" x14ac:dyDescent="0.25">
      <c r="A58" s="878" t="s">
        <v>135</v>
      </c>
      <c r="B58" s="1175" t="s">
        <v>157</v>
      </c>
      <c r="C58" s="1176"/>
      <c r="D58" s="895">
        <f t="shared" ref="D58:U58" si="54">+D56+D51+D45+D35+D9+D7</f>
        <v>16749</v>
      </c>
      <c r="E58" s="879">
        <f t="shared" si="54"/>
        <v>45</v>
      </c>
      <c r="F58" s="880">
        <f t="shared" si="54"/>
        <v>16794</v>
      </c>
      <c r="G58" s="881">
        <f t="shared" si="54"/>
        <v>10554</v>
      </c>
      <c r="H58" s="879">
        <f t="shared" si="54"/>
        <v>45</v>
      </c>
      <c r="I58" s="879">
        <f t="shared" si="54"/>
        <v>10599</v>
      </c>
      <c r="J58" s="879">
        <f t="shared" si="54"/>
        <v>4664</v>
      </c>
      <c r="K58" s="879">
        <f t="shared" si="54"/>
        <v>0</v>
      </c>
      <c r="L58" s="879">
        <f t="shared" si="54"/>
        <v>4664</v>
      </c>
      <c r="M58" s="879">
        <f t="shared" si="54"/>
        <v>1531</v>
      </c>
      <c r="N58" s="879">
        <f t="shared" si="54"/>
        <v>0</v>
      </c>
      <c r="O58" s="880">
        <f t="shared" si="54"/>
        <v>1531</v>
      </c>
      <c r="P58" s="862">
        <f t="shared" si="54"/>
        <v>0</v>
      </c>
      <c r="Q58" s="54">
        <f t="shared" si="54"/>
        <v>0</v>
      </c>
      <c r="R58" s="54">
        <f t="shared" si="54"/>
        <v>0</v>
      </c>
      <c r="S58" s="54">
        <f t="shared" si="54"/>
        <v>0</v>
      </c>
      <c r="T58" s="54">
        <f t="shared" si="54"/>
        <v>0</v>
      </c>
      <c r="U58" s="54">
        <f t="shared" si="54"/>
        <v>0</v>
      </c>
    </row>
  </sheetData>
  <mergeCells count="61">
    <mergeCell ref="B55:C55"/>
    <mergeCell ref="B58:C58"/>
    <mergeCell ref="G3:I3"/>
    <mergeCell ref="J3:L3"/>
    <mergeCell ref="B38:C38"/>
    <mergeCell ref="B48:C48"/>
    <mergeCell ref="B49:C49"/>
    <mergeCell ref="B50:C50"/>
    <mergeCell ref="B56:C56"/>
    <mergeCell ref="B40:C40"/>
    <mergeCell ref="B37:C37"/>
    <mergeCell ref="B53:C53"/>
    <mergeCell ref="B42:C42"/>
    <mergeCell ref="B43:C43"/>
    <mergeCell ref="B44:C44"/>
    <mergeCell ref="B51:C51"/>
    <mergeCell ref="B41:C41"/>
    <mergeCell ref="B45:C45"/>
    <mergeCell ref="B47:C47"/>
    <mergeCell ref="B34:C34"/>
    <mergeCell ref="B35:C35"/>
    <mergeCell ref="S1:U1"/>
    <mergeCell ref="B5:C5"/>
    <mergeCell ref="B19:C19"/>
    <mergeCell ref="B6:C6"/>
    <mergeCell ref="B7:C7"/>
    <mergeCell ref="B9:C9"/>
    <mergeCell ref="B11:C11"/>
    <mergeCell ref="B12:C12"/>
    <mergeCell ref="B13:C13"/>
    <mergeCell ref="B14:C14"/>
    <mergeCell ref="B15:C15"/>
    <mergeCell ref="B16:C16"/>
    <mergeCell ref="B17:C17"/>
    <mergeCell ref="B18:C18"/>
    <mergeCell ref="A2:A4"/>
    <mergeCell ref="B2:C4"/>
    <mergeCell ref="G2:I2"/>
    <mergeCell ref="J2:L2"/>
    <mergeCell ref="S3:U3"/>
    <mergeCell ref="P3:R3"/>
    <mergeCell ref="M3:O3"/>
    <mergeCell ref="M2:O2"/>
    <mergeCell ref="P2:R2"/>
    <mergeCell ref="D2:F3"/>
    <mergeCell ref="B54:C54"/>
    <mergeCell ref="B20:C20"/>
    <mergeCell ref="B21:C21"/>
    <mergeCell ref="S2:U2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3:C33"/>
    <mergeCell ref="B32:C32"/>
    <mergeCell ref="B31:C31"/>
  </mergeCells>
  <printOptions horizontalCentered="1"/>
  <pageMargins left="0.11811023622047245" right="0.11811023622047245" top="0.74803149606299213" bottom="0.15748031496062992" header="0.31496062992125984" footer="0.31496062992125984"/>
  <pageSetup paperSize="9" scale="75" orientation="landscape" r:id="rId1"/>
  <headerFooter>
    <oddHeader>&amp;C&amp;"Times New Roman,Félkövér"&amp;12Martonvásár Város Önkormányzatának kiadásai 2017.
Védőnői, iskola egészségügyi feladatok ellátása&amp;R&amp;"Times New Roman,Félkövér"&amp;12 5/d. melléklet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zoomScaleNormal="100" workbookViewId="0">
      <selection activeCell="C10" sqref="C10:E10"/>
    </sheetView>
  </sheetViews>
  <sheetFormatPr defaultColWidth="9.140625" defaultRowHeight="12.75" x14ac:dyDescent="0.2"/>
  <cols>
    <col min="1" max="1" width="7.5703125" style="346" customWidth="1"/>
    <col min="2" max="2" width="25.42578125" style="345" customWidth="1"/>
    <col min="3" max="3" width="8.5703125" style="345" customWidth="1"/>
    <col min="4" max="4" width="6.5703125" style="345" customWidth="1"/>
    <col min="5" max="5" width="9.5703125" style="345" customWidth="1"/>
    <col min="6" max="16384" width="9.140625" style="345"/>
  </cols>
  <sheetData>
    <row r="1" spans="1:14" ht="12" customHeight="1" x14ac:dyDescent="0.2"/>
    <row r="2" spans="1:14" s="349" customFormat="1" ht="28.5" customHeight="1" x14ac:dyDescent="0.2">
      <c r="A2" s="1184" t="s">
        <v>282</v>
      </c>
      <c r="B2" s="1185"/>
      <c r="C2" s="1180"/>
      <c r="D2" s="1180"/>
      <c r="E2" s="1181"/>
      <c r="F2" s="345"/>
      <c r="G2" s="345"/>
      <c r="H2" s="345"/>
      <c r="I2" s="345"/>
      <c r="J2" s="345"/>
      <c r="K2" s="345"/>
      <c r="L2" s="345"/>
      <c r="M2" s="345"/>
      <c r="N2" s="345"/>
    </row>
    <row r="3" spans="1:14" s="349" customFormat="1" ht="25.5" x14ac:dyDescent="0.2">
      <c r="A3" s="1183" t="s">
        <v>497</v>
      </c>
      <c r="B3" s="1150"/>
      <c r="C3" s="338" t="s">
        <v>954</v>
      </c>
      <c r="D3" s="343" t="s">
        <v>786</v>
      </c>
      <c r="E3" s="343" t="s">
        <v>955</v>
      </c>
      <c r="F3" s="345"/>
      <c r="G3" s="345"/>
      <c r="H3" s="345"/>
      <c r="I3" s="345"/>
      <c r="J3" s="345"/>
      <c r="K3" s="345"/>
      <c r="L3" s="345"/>
      <c r="M3" s="345"/>
      <c r="N3" s="345"/>
    </row>
    <row r="4" spans="1:14" s="349" customFormat="1" ht="15" customHeight="1" x14ac:dyDescent="0.2">
      <c r="A4" s="576" t="s">
        <v>499</v>
      </c>
      <c r="B4" s="348" t="s">
        <v>640</v>
      </c>
      <c r="C4" s="357">
        <v>500</v>
      </c>
      <c r="D4" s="535"/>
      <c r="E4" s="150">
        <f>+D4+C4</f>
        <v>500</v>
      </c>
      <c r="F4" s="345"/>
      <c r="G4" s="345"/>
      <c r="H4" s="345"/>
      <c r="I4" s="345"/>
      <c r="J4" s="345"/>
      <c r="K4" s="345"/>
      <c r="L4" s="345"/>
      <c r="M4" s="345"/>
      <c r="N4" s="345"/>
    </row>
    <row r="5" spans="1:14" s="349" customFormat="1" ht="14.25" customHeight="1" x14ac:dyDescent="0.25">
      <c r="A5" s="575" t="s">
        <v>499</v>
      </c>
      <c r="B5" s="348" t="s">
        <v>584</v>
      </c>
      <c r="C5" s="357">
        <v>600</v>
      </c>
      <c r="D5" s="357"/>
      <c r="E5" s="150">
        <f t="shared" ref="E5:E6" si="0">+D5+C5</f>
        <v>600</v>
      </c>
    </row>
    <row r="6" spans="1:14" ht="38.25" x14ac:dyDescent="0.2">
      <c r="A6" s="575" t="s">
        <v>499</v>
      </c>
      <c r="B6" s="348" t="s">
        <v>583</v>
      </c>
      <c r="C6" s="724">
        <f>21283+950</f>
        <v>22233</v>
      </c>
      <c r="D6" s="357"/>
      <c r="E6" s="150">
        <f t="shared" si="0"/>
        <v>22233</v>
      </c>
      <c r="F6" s="349"/>
      <c r="G6" s="349"/>
      <c r="H6" s="558"/>
      <c r="I6" s="349"/>
      <c r="J6" s="349"/>
      <c r="K6" s="349"/>
      <c r="L6" s="349"/>
      <c r="M6" s="349"/>
      <c r="N6" s="349"/>
    </row>
    <row r="7" spans="1:14" ht="19.5" customHeight="1" x14ac:dyDescent="0.2">
      <c r="A7" s="1178" t="s">
        <v>180</v>
      </c>
      <c r="B7" s="1179"/>
      <c r="C7" s="359">
        <f>SUM(C4:C6)</f>
        <v>23333</v>
      </c>
      <c r="D7" s="359">
        <f t="shared" ref="D7:E7" si="1">SUM(D4:D6)</f>
        <v>0</v>
      </c>
      <c r="E7" s="359">
        <f t="shared" si="1"/>
        <v>23333</v>
      </c>
    </row>
    <row r="8" spans="1:14" ht="19.5" customHeight="1" x14ac:dyDescent="0.2">
      <c r="A8" s="529"/>
      <c r="B8" s="529"/>
      <c r="C8" s="530"/>
      <c r="D8" s="530"/>
      <c r="E8" s="530"/>
    </row>
    <row r="9" spans="1:14" ht="12.75" customHeight="1" x14ac:dyDescent="0.2">
      <c r="A9" s="1182" t="s">
        <v>282</v>
      </c>
      <c r="B9" s="1182"/>
      <c r="C9" s="1180"/>
      <c r="D9" s="1180"/>
      <c r="E9" s="1181"/>
    </row>
    <row r="10" spans="1:14" ht="25.5" x14ac:dyDescent="0.2">
      <c r="A10" s="1136" t="s">
        <v>497</v>
      </c>
      <c r="B10" s="1136"/>
      <c r="C10" s="338" t="s">
        <v>954</v>
      </c>
      <c r="D10" s="974" t="s">
        <v>786</v>
      </c>
      <c r="E10" s="974" t="s">
        <v>955</v>
      </c>
    </row>
    <row r="11" spans="1:14" ht="25.5" x14ac:dyDescent="0.2">
      <c r="A11" s="347" t="s">
        <v>618</v>
      </c>
      <c r="B11" s="348" t="s">
        <v>615</v>
      </c>
      <c r="C11" s="858">
        <v>2274</v>
      </c>
      <c r="D11" s="859">
        <f>+'5.f. mell. Átadott pénzeszk.'!D10</f>
        <v>0</v>
      </c>
      <c r="E11" s="859">
        <f>+D11+C11</f>
        <v>2274</v>
      </c>
    </row>
    <row r="12" spans="1:14" ht="25.5" x14ac:dyDescent="0.2">
      <c r="A12" s="347" t="s">
        <v>623</v>
      </c>
      <c r="B12" s="348" t="s">
        <v>611</v>
      </c>
      <c r="C12" s="858">
        <v>986</v>
      </c>
      <c r="D12" s="859">
        <f>+'5.f. mell. Átadott pénzeszk.'!D11</f>
        <v>0</v>
      </c>
      <c r="E12" s="859">
        <f t="shared" ref="E12:E17" si="2">+D12+C12</f>
        <v>986</v>
      </c>
    </row>
    <row r="13" spans="1:14" ht="25.5" x14ac:dyDescent="0.2">
      <c r="A13" s="347" t="s">
        <v>624</v>
      </c>
      <c r="B13" s="348" t="s">
        <v>612</v>
      </c>
      <c r="C13" s="858">
        <v>3388</v>
      </c>
      <c r="D13" s="859">
        <f>+'5.f. mell. Átadott pénzeszk.'!D12</f>
        <v>0</v>
      </c>
      <c r="E13" s="859">
        <f t="shared" si="2"/>
        <v>3388</v>
      </c>
    </row>
    <row r="14" spans="1:14" x14ac:dyDescent="0.2">
      <c r="A14" s="347" t="s">
        <v>622</v>
      </c>
      <c r="B14" s="348" t="s">
        <v>616</v>
      </c>
      <c r="C14" s="858">
        <v>933</v>
      </c>
      <c r="D14" s="859">
        <f>+'5.f. mell. Átadott pénzeszk.'!D13</f>
        <v>0</v>
      </c>
      <c r="E14" s="859">
        <f t="shared" si="2"/>
        <v>933</v>
      </c>
    </row>
    <row r="15" spans="1:14" ht="25.5" x14ac:dyDescent="0.2">
      <c r="A15" s="347" t="s">
        <v>621</v>
      </c>
      <c r="B15" s="348" t="s">
        <v>617</v>
      </c>
      <c r="C15" s="858">
        <v>1714</v>
      </c>
      <c r="D15" s="859">
        <f>+'5.f. mell. Átadott pénzeszk.'!D14</f>
        <v>0</v>
      </c>
      <c r="E15" s="859">
        <f t="shared" si="2"/>
        <v>1714</v>
      </c>
    </row>
    <row r="16" spans="1:14" x14ac:dyDescent="0.2">
      <c r="A16" s="347" t="s">
        <v>758</v>
      </c>
      <c r="B16" s="348" t="s">
        <v>755</v>
      </c>
      <c r="C16" s="858">
        <v>0</v>
      </c>
      <c r="D16" s="859"/>
      <c r="E16" s="859">
        <f t="shared" si="2"/>
        <v>0</v>
      </c>
    </row>
    <row r="17" spans="1:5" x14ac:dyDescent="0.2">
      <c r="A17" s="347" t="s">
        <v>625</v>
      </c>
      <c r="B17" s="348" t="s">
        <v>620</v>
      </c>
      <c r="C17" s="858">
        <v>543</v>
      </c>
      <c r="D17" s="859">
        <f>+'5.f. mell. Átadott pénzeszk.'!D15</f>
        <v>0</v>
      </c>
      <c r="E17" s="859">
        <f t="shared" si="2"/>
        <v>543</v>
      </c>
    </row>
    <row r="18" spans="1:5" x14ac:dyDescent="0.2">
      <c r="A18" s="1178" t="s">
        <v>180</v>
      </c>
      <c r="B18" s="1179"/>
      <c r="C18" s="860">
        <f>SUM(C11:C17)</f>
        <v>9838</v>
      </c>
      <c r="D18" s="860">
        <f>SUM(D15:D17)</f>
        <v>0</v>
      </c>
      <c r="E18" s="860">
        <f>SUM(E11:E17)</f>
        <v>9838</v>
      </c>
    </row>
    <row r="19" spans="1:5" x14ac:dyDescent="0.2">
      <c r="A19" s="531"/>
      <c r="B19" s="532"/>
      <c r="C19" s="533"/>
      <c r="D19" s="18"/>
      <c r="E19" s="18"/>
    </row>
  </sheetData>
  <mergeCells count="8">
    <mergeCell ref="A18:B18"/>
    <mergeCell ref="C2:E2"/>
    <mergeCell ref="C9:E9"/>
    <mergeCell ref="A9:B9"/>
    <mergeCell ref="A10:B10"/>
    <mergeCell ref="A3:B3"/>
    <mergeCell ref="A7:B7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&amp;C&amp;"Times New Roman,Félkövér"&amp;12Martonvásár Város Önkormányzatának kiadásai 2018.
Szociális feladatok ellátása&amp;R&amp;"Times New Roman,Félkövér"&amp;12 5/e.  melléklet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zoomScaleNormal="100" workbookViewId="0">
      <selection activeCell="L1" sqref="L1:N39"/>
    </sheetView>
  </sheetViews>
  <sheetFormatPr defaultColWidth="9.140625" defaultRowHeight="12.75" x14ac:dyDescent="0.2"/>
  <cols>
    <col min="1" max="1" width="7.5703125" style="346" customWidth="1"/>
    <col min="2" max="2" width="29" style="345" customWidth="1"/>
    <col min="3" max="3" width="9" style="345" customWidth="1"/>
    <col min="4" max="4" width="6.5703125" style="345" customWidth="1"/>
    <col min="5" max="5" width="8.85546875" style="345" customWidth="1"/>
    <col min="6" max="6" width="7.140625" style="345" customWidth="1"/>
    <col min="7" max="7" width="6.85546875" style="345" customWidth="1"/>
    <col min="8" max="8" width="7.42578125" style="345" customWidth="1"/>
    <col min="9" max="11" width="7.42578125" style="345" hidden="1" customWidth="1"/>
    <col min="12" max="12" width="9.42578125" style="345" customWidth="1"/>
    <col min="13" max="13" width="7.140625" style="345" customWidth="1"/>
    <col min="14" max="14" width="7.85546875" style="345" customWidth="1"/>
    <col min="15" max="16384" width="9.140625" style="345"/>
  </cols>
  <sheetData>
    <row r="1" spans="1:14" ht="12.75" customHeight="1" x14ac:dyDescent="0.2">
      <c r="A1" s="1204"/>
      <c r="B1" s="1206" t="s">
        <v>498</v>
      </c>
      <c r="C1" s="1193" t="s">
        <v>101</v>
      </c>
      <c r="D1" s="1193"/>
      <c r="E1" s="1193"/>
      <c r="F1" s="1193" t="s">
        <v>107</v>
      </c>
      <c r="G1" s="1193"/>
      <c r="H1" s="1193"/>
      <c r="I1" s="1193" t="s">
        <v>134</v>
      </c>
      <c r="J1" s="1193"/>
      <c r="K1" s="1194"/>
      <c r="L1" s="1186" t="s">
        <v>180</v>
      </c>
      <c r="M1" s="1187"/>
      <c r="N1" s="1188"/>
    </row>
    <row r="2" spans="1:14" ht="29.25" customHeight="1" x14ac:dyDescent="0.2">
      <c r="A2" s="1205"/>
      <c r="B2" s="1207"/>
      <c r="C2" s="1192" t="s">
        <v>578</v>
      </c>
      <c r="D2" s="1192"/>
      <c r="E2" s="1192"/>
      <c r="F2" s="1192" t="s">
        <v>493</v>
      </c>
      <c r="G2" s="1192"/>
      <c r="H2" s="1192"/>
      <c r="I2" s="1192" t="s">
        <v>646</v>
      </c>
      <c r="J2" s="1192"/>
      <c r="K2" s="1195"/>
      <c r="L2" s="1189"/>
      <c r="M2" s="1190"/>
      <c r="N2" s="1191"/>
    </row>
    <row r="3" spans="1:14" ht="26.25" customHeight="1" x14ac:dyDescent="0.2">
      <c r="A3" s="832" t="s">
        <v>497</v>
      </c>
      <c r="B3" s="834" t="s">
        <v>282</v>
      </c>
      <c r="C3" s="338" t="s">
        <v>956</v>
      </c>
      <c r="D3" s="831" t="s">
        <v>786</v>
      </c>
      <c r="E3" s="831" t="s">
        <v>957</v>
      </c>
      <c r="F3" s="338" t="s">
        <v>956</v>
      </c>
      <c r="G3" s="974" t="s">
        <v>786</v>
      </c>
      <c r="H3" s="974" t="s">
        <v>957</v>
      </c>
      <c r="I3" s="338" t="s">
        <v>177</v>
      </c>
      <c r="J3" s="831" t="s">
        <v>786</v>
      </c>
      <c r="K3" s="905" t="s">
        <v>787</v>
      </c>
      <c r="L3" s="910" t="s">
        <v>956</v>
      </c>
      <c r="M3" s="974" t="s">
        <v>786</v>
      </c>
      <c r="N3" s="844" t="s">
        <v>957</v>
      </c>
    </row>
    <row r="4" spans="1:14" s="349" customFormat="1" ht="15" customHeight="1" x14ac:dyDescent="0.25">
      <c r="A4" s="897" t="s">
        <v>494</v>
      </c>
      <c r="B4" s="833" t="s">
        <v>495</v>
      </c>
      <c r="C4" s="565"/>
      <c r="D4" s="565"/>
      <c r="E4" s="565">
        <f>+D4+C4</f>
        <v>0</v>
      </c>
      <c r="F4" s="565">
        <v>1600</v>
      </c>
      <c r="G4" s="357">
        <v>1100</v>
      </c>
      <c r="H4" s="357">
        <f>+G4+F4</f>
        <v>2700</v>
      </c>
      <c r="I4" s="357"/>
      <c r="J4" s="357"/>
      <c r="K4" s="906"/>
      <c r="L4" s="911">
        <f>+C4+F4+I4</f>
        <v>1600</v>
      </c>
      <c r="M4" s="357">
        <f t="shared" ref="M4:N7" si="0">+D4+G4+J4</f>
        <v>1100</v>
      </c>
      <c r="N4" s="898">
        <f t="shared" si="0"/>
        <v>2700</v>
      </c>
    </row>
    <row r="5" spans="1:14" s="349" customFormat="1" ht="15" customHeight="1" x14ac:dyDescent="0.25">
      <c r="A5" s="897" t="s">
        <v>494</v>
      </c>
      <c r="B5" s="833" t="s">
        <v>609</v>
      </c>
      <c r="C5" s="565"/>
      <c r="D5" s="565"/>
      <c r="E5" s="565">
        <f t="shared" ref="E5:E19" si="1">+D5+C5</f>
        <v>0</v>
      </c>
      <c r="F5" s="565">
        <v>650</v>
      </c>
      <c r="G5" s="357"/>
      <c r="H5" s="357">
        <f t="shared" ref="H5:H38" si="2">+G5+F5</f>
        <v>650</v>
      </c>
      <c r="I5" s="357"/>
      <c r="J5" s="357"/>
      <c r="K5" s="906"/>
      <c r="L5" s="911">
        <f>+C5+F5+I5</f>
        <v>650</v>
      </c>
      <c r="M5" s="357">
        <f t="shared" si="0"/>
        <v>0</v>
      </c>
      <c r="N5" s="898">
        <f t="shared" si="0"/>
        <v>650</v>
      </c>
    </row>
    <row r="6" spans="1:14" s="349" customFormat="1" ht="15" customHeight="1" x14ac:dyDescent="0.25">
      <c r="A6" s="897" t="s">
        <v>485</v>
      </c>
      <c r="B6" s="833" t="s">
        <v>661</v>
      </c>
      <c r="C6" s="565"/>
      <c r="D6" s="565"/>
      <c r="E6" s="565">
        <f t="shared" si="1"/>
        <v>0</v>
      </c>
      <c r="F6" s="565">
        <v>150</v>
      </c>
      <c r="G6" s="357"/>
      <c r="H6" s="357">
        <f t="shared" si="2"/>
        <v>150</v>
      </c>
      <c r="I6" s="357"/>
      <c r="J6" s="357"/>
      <c r="K6" s="906"/>
      <c r="L6" s="911">
        <f t="shared" ref="L6:L7" si="3">+C6+F6+I6</f>
        <v>150</v>
      </c>
      <c r="M6" s="357">
        <f t="shared" si="0"/>
        <v>0</v>
      </c>
      <c r="N6" s="898">
        <f t="shared" si="0"/>
        <v>150</v>
      </c>
    </row>
    <row r="7" spans="1:14" s="349" customFormat="1" ht="15" customHeight="1" x14ac:dyDescent="0.25">
      <c r="A7" s="897" t="s">
        <v>485</v>
      </c>
      <c r="B7" s="833" t="s">
        <v>662</v>
      </c>
      <c r="C7" s="565"/>
      <c r="D7" s="565"/>
      <c r="E7" s="565">
        <f t="shared" si="1"/>
        <v>0</v>
      </c>
      <c r="F7" s="565">
        <v>150</v>
      </c>
      <c r="G7" s="357"/>
      <c r="H7" s="357">
        <f t="shared" si="2"/>
        <v>150</v>
      </c>
      <c r="I7" s="357"/>
      <c r="J7" s="357"/>
      <c r="K7" s="906"/>
      <c r="L7" s="911">
        <f t="shared" si="3"/>
        <v>150</v>
      </c>
      <c r="M7" s="357">
        <f t="shared" si="0"/>
        <v>0</v>
      </c>
      <c r="N7" s="898">
        <f t="shared" si="0"/>
        <v>150</v>
      </c>
    </row>
    <row r="8" spans="1:14" s="349" customFormat="1" ht="15" customHeight="1" x14ac:dyDescent="0.25">
      <c r="A8" s="897" t="s">
        <v>496</v>
      </c>
      <c r="B8" s="833" t="s">
        <v>484</v>
      </c>
      <c r="C8" s="565"/>
      <c r="D8" s="565"/>
      <c r="E8" s="565">
        <f t="shared" si="1"/>
        <v>0</v>
      </c>
      <c r="F8" s="565">
        <f>6000+1500</f>
        <v>7500</v>
      </c>
      <c r="G8" s="357"/>
      <c r="H8" s="357">
        <f t="shared" si="2"/>
        <v>7500</v>
      </c>
      <c r="I8" s="357"/>
      <c r="J8" s="357"/>
      <c r="K8" s="906"/>
      <c r="L8" s="911">
        <f t="shared" ref="L8:L22" si="4">+C8+F8+I8</f>
        <v>7500</v>
      </c>
      <c r="M8" s="357">
        <f t="shared" ref="M8:M38" si="5">+D8+G8+J8</f>
        <v>0</v>
      </c>
      <c r="N8" s="898">
        <f t="shared" ref="N8:N38" si="6">+E8+H8+K8</f>
        <v>7500</v>
      </c>
    </row>
    <row r="9" spans="1:14" s="349" customFormat="1" ht="15" customHeight="1" x14ac:dyDescent="0.25">
      <c r="A9" s="1198" t="s">
        <v>500</v>
      </c>
      <c r="B9" s="1199"/>
      <c r="C9" s="566">
        <f>SUM(C10:C18)</f>
        <v>15430</v>
      </c>
      <c r="D9" s="566">
        <f t="shared" ref="D9:E9" si="7">SUM(D10:D18)</f>
        <v>0</v>
      </c>
      <c r="E9" s="566">
        <f t="shared" si="7"/>
        <v>15430</v>
      </c>
      <c r="F9" s="566"/>
      <c r="G9" s="357"/>
      <c r="H9" s="357">
        <f t="shared" si="2"/>
        <v>0</v>
      </c>
      <c r="I9" s="357"/>
      <c r="J9" s="357"/>
      <c r="K9" s="906"/>
      <c r="L9" s="911">
        <f t="shared" si="4"/>
        <v>15430</v>
      </c>
      <c r="M9" s="357">
        <f t="shared" si="5"/>
        <v>0</v>
      </c>
      <c r="N9" s="898">
        <f t="shared" si="6"/>
        <v>15430</v>
      </c>
    </row>
    <row r="10" spans="1:14" s="536" customFormat="1" ht="24.75" customHeight="1" x14ac:dyDescent="0.25">
      <c r="A10" s="695" t="s">
        <v>618</v>
      </c>
      <c r="B10" s="414" t="s">
        <v>615</v>
      </c>
      <c r="C10" s="416">
        <v>2274</v>
      </c>
      <c r="D10" s="416"/>
      <c r="E10" s="565">
        <f t="shared" si="1"/>
        <v>2274</v>
      </c>
      <c r="F10" s="416"/>
      <c r="G10" s="416"/>
      <c r="H10" s="357">
        <f t="shared" si="2"/>
        <v>0</v>
      </c>
      <c r="I10" s="416"/>
      <c r="J10" s="416"/>
      <c r="K10" s="907"/>
      <c r="L10" s="912">
        <f t="shared" si="4"/>
        <v>2274</v>
      </c>
      <c r="M10" s="416">
        <f t="shared" si="5"/>
        <v>0</v>
      </c>
      <c r="N10" s="899">
        <f t="shared" si="6"/>
        <v>2274</v>
      </c>
    </row>
    <row r="11" spans="1:14" s="536" customFormat="1" ht="15" customHeight="1" x14ac:dyDescent="0.25">
      <c r="A11" s="695" t="s">
        <v>623</v>
      </c>
      <c r="B11" s="414" t="s">
        <v>611</v>
      </c>
      <c r="C11" s="416">
        <v>986</v>
      </c>
      <c r="D11" s="416"/>
      <c r="E11" s="565">
        <f t="shared" si="1"/>
        <v>986</v>
      </c>
      <c r="F11" s="416"/>
      <c r="G11" s="416"/>
      <c r="H11" s="357">
        <f t="shared" si="2"/>
        <v>0</v>
      </c>
      <c r="I11" s="416"/>
      <c r="J11" s="416"/>
      <c r="K11" s="907"/>
      <c r="L11" s="912">
        <f t="shared" si="4"/>
        <v>986</v>
      </c>
      <c r="M11" s="416">
        <f t="shared" si="5"/>
        <v>0</v>
      </c>
      <c r="N11" s="899">
        <f t="shared" si="6"/>
        <v>986</v>
      </c>
    </row>
    <row r="12" spans="1:14" s="536" customFormat="1" ht="15" customHeight="1" x14ac:dyDescent="0.25">
      <c r="A12" s="695" t="s">
        <v>624</v>
      </c>
      <c r="B12" s="414" t="s">
        <v>612</v>
      </c>
      <c r="C12" s="416">
        <v>3388</v>
      </c>
      <c r="D12" s="416"/>
      <c r="E12" s="565">
        <f t="shared" si="1"/>
        <v>3388</v>
      </c>
      <c r="F12" s="416"/>
      <c r="G12" s="416"/>
      <c r="H12" s="357">
        <f t="shared" si="2"/>
        <v>0</v>
      </c>
      <c r="I12" s="416"/>
      <c r="J12" s="416"/>
      <c r="K12" s="907"/>
      <c r="L12" s="912">
        <f t="shared" si="4"/>
        <v>3388</v>
      </c>
      <c r="M12" s="416">
        <f t="shared" si="5"/>
        <v>0</v>
      </c>
      <c r="N12" s="899">
        <f t="shared" si="6"/>
        <v>3388</v>
      </c>
    </row>
    <row r="13" spans="1:14" s="536" customFormat="1" ht="15" customHeight="1" x14ac:dyDescent="0.25">
      <c r="A13" s="695" t="s">
        <v>622</v>
      </c>
      <c r="B13" s="414" t="s">
        <v>616</v>
      </c>
      <c r="C13" s="416">
        <v>933</v>
      </c>
      <c r="D13" s="416"/>
      <c r="E13" s="565">
        <f t="shared" si="1"/>
        <v>933</v>
      </c>
      <c r="F13" s="416"/>
      <c r="G13" s="416"/>
      <c r="H13" s="357">
        <f t="shared" si="2"/>
        <v>0</v>
      </c>
      <c r="I13" s="416"/>
      <c r="J13" s="416"/>
      <c r="K13" s="907"/>
      <c r="L13" s="912">
        <f t="shared" si="4"/>
        <v>933</v>
      </c>
      <c r="M13" s="416">
        <f t="shared" si="5"/>
        <v>0</v>
      </c>
      <c r="N13" s="899">
        <f t="shared" si="6"/>
        <v>933</v>
      </c>
    </row>
    <row r="14" spans="1:14" s="536" customFormat="1" ht="24" customHeight="1" x14ac:dyDescent="0.25">
      <c r="A14" s="695" t="s">
        <v>621</v>
      </c>
      <c r="B14" s="414" t="s">
        <v>617</v>
      </c>
      <c r="C14" s="416">
        <v>1714</v>
      </c>
      <c r="D14" s="416"/>
      <c r="E14" s="565">
        <f t="shared" si="1"/>
        <v>1714</v>
      </c>
      <c r="F14" s="416"/>
      <c r="G14" s="416"/>
      <c r="H14" s="357">
        <f t="shared" si="2"/>
        <v>0</v>
      </c>
      <c r="I14" s="416"/>
      <c r="J14" s="416"/>
      <c r="K14" s="907"/>
      <c r="L14" s="912">
        <f t="shared" si="4"/>
        <v>1714</v>
      </c>
      <c r="M14" s="416">
        <f t="shared" si="5"/>
        <v>0</v>
      </c>
      <c r="N14" s="899">
        <f t="shared" si="6"/>
        <v>1714</v>
      </c>
    </row>
    <row r="15" spans="1:14" s="536" customFormat="1" ht="15" customHeight="1" x14ac:dyDescent="0.25">
      <c r="A15" s="695" t="s">
        <v>625</v>
      </c>
      <c r="B15" s="414" t="s">
        <v>620</v>
      </c>
      <c r="C15" s="416">
        <v>543</v>
      </c>
      <c r="D15" s="416"/>
      <c r="E15" s="565">
        <f t="shared" si="1"/>
        <v>543</v>
      </c>
      <c r="F15" s="416"/>
      <c r="G15" s="416"/>
      <c r="H15" s="357">
        <f t="shared" si="2"/>
        <v>0</v>
      </c>
      <c r="I15" s="416"/>
      <c r="J15" s="416"/>
      <c r="K15" s="907"/>
      <c r="L15" s="912">
        <f t="shared" si="4"/>
        <v>543</v>
      </c>
      <c r="M15" s="416">
        <f t="shared" si="5"/>
        <v>0</v>
      </c>
      <c r="N15" s="899">
        <f t="shared" si="6"/>
        <v>543</v>
      </c>
    </row>
    <row r="16" spans="1:14" s="536" customFormat="1" ht="15" customHeight="1" x14ac:dyDescent="0.25">
      <c r="A16" s="695" t="s">
        <v>758</v>
      </c>
      <c r="B16" s="414" t="s">
        <v>755</v>
      </c>
      <c r="C16" s="416">
        <v>0</v>
      </c>
      <c r="D16" s="416">
        <v>0</v>
      </c>
      <c r="E16" s="565">
        <f t="shared" si="1"/>
        <v>0</v>
      </c>
      <c r="F16" s="416"/>
      <c r="G16" s="416"/>
      <c r="H16" s="357">
        <f t="shared" si="2"/>
        <v>0</v>
      </c>
      <c r="I16" s="416"/>
      <c r="J16" s="416"/>
      <c r="K16" s="907"/>
      <c r="L16" s="912">
        <f t="shared" si="4"/>
        <v>0</v>
      </c>
      <c r="M16" s="416"/>
      <c r="N16" s="899"/>
    </row>
    <row r="17" spans="1:14" s="536" customFormat="1" ht="15" customHeight="1" x14ac:dyDescent="0.25">
      <c r="A17" s="695" t="s">
        <v>757</v>
      </c>
      <c r="B17" s="414" t="s">
        <v>756</v>
      </c>
      <c r="C17" s="416">
        <v>885</v>
      </c>
      <c r="D17" s="416"/>
      <c r="E17" s="565">
        <f t="shared" si="1"/>
        <v>885</v>
      </c>
      <c r="F17" s="416"/>
      <c r="G17" s="416"/>
      <c r="H17" s="357">
        <f t="shared" si="2"/>
        <v>0</v>
      </c>
      <c r="I17" s="416"/>
      <c r="J17" s="416"/>
      <c r="K17" s="907"/>
      <c r="L17" s="912">
        <f t="shared" si="4"/>
        <v>885</v>
      </c>
      <c r="M17" s="416"/>
      <c r="N17" s="899"/>
    </row>
    <row r="18" spans="1:14" s="536" customFormat="1" ht="26.25" customHeight="1" x14ac:dyDescent="0.25">
      <c r="A18" s="695" t="s">
        <v>485</v>
      </c>
      <c r="B18" s="414" t="s">
        <v>619</v>
      </c>
      <c r="C18" s="416">
        <f>3473+571+663</f>
        <v>4707</v>
      </c>
      <c r="D18" s="416"/>
      <c r="E18" s="565">
        <f t="shared" si="1"/>
        <v>4707</v>
      </c>
      <c r="F18" s="416"/>
      <c r="G18" s="416"/>
      <c r="H18" s="357">
        <f t="shared" si="2"/>
        <v>0</v>
      </c>
      <c r="I18" s="416"/>
      <c r="J18" s="416"/>
      <c r="K18" s="907"/>
      <c r="L18" s="912">
        <f t="shared" si="4"/>
        <v>4707</v>
      </c>
      <c r="M18" s="416">
        <f t="shared" si="5"/>
        <v>0</v>
      </c>
      <c r="N18" s="899">
        <f t="shared" si="6"/>
        <v>4707</v>
      </c>
    </row>
    <row r="19" spans="1:14" s="349" customFormat="1" ht="15" customHeight="1" x14ac:dyDescent="0.25">
      <c r="A19" s="1200" t="s">
        <v>638</v>
      </c>
      <c r="B19" s="1201"/>
      <c r="C19" s="357">
        <v>73400</v>
      </c>
      <c r="D19" s="357">
        <f>236+9698</f>
        <v>9934</v>
      </c>
      <c r="E19" s="565">
        <f t="shared" si="1"/>
        <v>83334</v>
      </c>
      <c r="F19" s="357"/>
      <c r="G19" s="357"/>
      <c r="H19" s="357">
        <f t="shared" si="2"/>
        <v>0</v>
      </c>
      <c r="I19" s="357"/>
      <c r="J19" s="357"/>
      <c r="K19" s="906"/>
      <c r="L19" s="911">
        <f t="shared" si="4"/>
        <v>73400</v>
      </c>
      <c r="M19" s="357">
        <f t="shared" si="5"/>
        <v>9934</v>
      </c>
      <c r="N19" s="898">
        <f t="shared" si="6"/>
        <v>83334</v>
      </c>
    </row>
    <row r="20" spans="1:14" s="349" customFormat="1" ht="15" customHeight="1" x14ac:dyDescent="0.25">
      <c r="A20" s="1200" t="s">
        <v>637</v>
      </c>
      <c r="B20" s="1201"/>
      <c r="C20" s="357"/>
      <c r="D20" s="357"/>
      <c r="E20" s="357"/>
      <c r="F20" s="357"/>
      <c r="G20" s="357"/>
      <c r="H20" s="357">
        <f t="shared" si="2"/>
        <v>0</v>
      </c>
      <c r="I20" s="357"/>
      <c r="J20" s="357"/>
      <c r="K20" s="906"/>
      <c r="L20" s="911">
        <f t="shared" si="4"/>
        <v>0</v>
      </c>
      <c r="M20" s="357">
        <f t="shared" si="5"/>
        <v>0</v>
      </c>
      <c r="N20" s="898">
        <f t="shared" si="6"/>
        <v>0</v>
      </c>
    </row>
    <row r="21" spans="1:14" s="349" customFormat="1" ht="15" customHeight="1" x14ac:dyDescent="0.25">
      <c r="A21" s="1202" t="s">
        <v>608</v>
      </c>
      <c r="B21" s="1203"/>
      <c r="C21" s="357"/>
      <c r="D21" s="357"/>
      <c r="E21" s="357"/>
      <c r="F21" s="566"/>
      <c r="G21" s="357"/>
      <c r="H21" s="357">
        <f t="shared" si="2"/>
        <v>0</v>
      </c>
      <c r="I21" s="357"/>
      <c r="J21" s="357"/>
      <c r="K21" s="906"/>
      <c r="L21" s="911">
        <f t="shared" si="4"/>
        <v>0</v>
      </c>
      <c r="M21" s="357">
        <f t="shared" si="5"/>
        <v>0</v>
      </c>
      <c r="N21" s="898">
        <f t="shared" si="6"/>
        <v>0</v>
      </c>
    </row>
    <row r="22" spans="1:14" s="349" customFormat="1" ht="35.25" customHeight="1" x14ac:dyDescent="0.25">
      <c r="A22" s="1202" t="s">
        <v>575</v>
      </c>
      <c r="B22" s="1203"/>
      <c r="C22" s="357"/>
      <c r="D22" s="357"/>
      <c r="E22" s="357"/>
      <c r="F22" s="357">
        <f>SUM(F23:F37)</f>
        <v>108956</v>
      </c>
      <c r="G22" s="357">
        <f>SUM(G23:G37)</f>
        <v>0</v>
      </c>
      <c r="H22" s="357">
        <f t="shared" si="2"/>
        <v>108956</v>
      </c>
      <c r="I22" s="357"/>
      <c r="J22" s="357"/>
      <c r="K22" s="906"/>
      <c r="L22" s="911">
        <f t="shared" si="4"/>
        <v>108956</v>
      </c>
      <c r="M22" s="357">
        <f t="shared" si="5"/>
        <v>0</v>
      </c>
      <c r="N22" s="898">
        <f t="shared" si="6"/>
        <v>108956</v>
      </c>
    </row>
    <row r="23" spans="1:14" s="536" customFormat="1" ht="25.5" customHeight="1" x14ac:dyDescent="0.25">
      <c r="A23" s="695" t="s">
        <v>734</v>
      </c>
      <c r="B23" s="414" t="s">
        <v>488</v>
      </c>
      <c r="C23" s="415"/>
      <c r="D23" s="416"/>
      <c r="E23" s="416"/>
      <c r="F23" s="416">
        <v>12967</v>
      </c>
      <c r="G23" s="416">
        <v>-2167</v>
      </c>
      <c r="H23" s="357">
        <f t="shared" si="2"/>
        <v>10800</v>
      </c>
      <c r="I23" s="416"/>
      <c r="J23" s="416"/>
      <c r="K23" s="907"/>
      <c r="L23" s="912">
        <f t="shared" ref="L23:L38" si="8">+C23+F23+I23</f>
        <v>12967</v>
      </c>
      <c r="M23" s="416">
        <f t="shared" si="5"/>
        <v>-2167</v>
      </c>
      <c r="N23" s="899">
        <f t="shared" si="6"/>
        <v>10800</v>
      </c>
    </row>
    <row r="24" spans="1:14" s="536" customFormat="1" ht="15" customHeight="1" x14ac:dyDescent="0.25">
      <c r="A24" s="695" t="s">
        <v>735</v>
      </c>
      <c r="B24" s="414" t="s">
        <v>486</v>
      </c>
      <c r="C24" s="415"/>
      <c r="D24" s="416"/>
      <c r="E24" s="416"/>
      <c r="F24" s="416">
        <v>6623</v>
      </c>
      <c r="G24" s="416"/>
      <c r="H24" s="357">
        <f t="shared" si="2"/>
        <v>6623</v>
      </c>
      <c r="I24" s="416"/>
      <c r="J24" s="416"/>
      <c r="K24" s="907"/>
      <c r="L24" s="912">
        <f t="shared" si="8"/>
        <v>6623</v>
      </c>
      <c r="M24" s="416">
        <f t="shared" si="5"/>
        <v>0</v>
      </c>
      <c r="N24" s="899">
        <f t="shared" si="6"/>
        <v>6623</v>
      </c>
    </row>
    <row r="25" spans="1:14" s="536" customFormat="1" ht="15" customHeight="1" x14ac:dyDescent="0.25">
      <c r="A25" s="695" t="s">
        <v>736</v>
      </c>
      <c r="B25" s="414" t="s">
        <v>453</v>
      </c>
      <c r="C25" s="415"/>
      <c r="D25" s="416"/>
      <c r="E25" s="416"/>
      <c r="F25" s="416">
        <v>6554</v>
      </c>
      <c r="G25" s="416"/>
      <c r="H25" s="357">
        <f t="shared" si="2"/>
        <v>6554</v>
      </c>
      <c r="I25" s="416"/>
      <c r="J25" s="416"/>
      <c r="K25" s="907"/>
      <c r="L25" s="912">
        <f t="shared" si="8"/>
        <v>6554</v>
      </c>
      <c r="M25" s="416">
        <f t="shared" si="5"/>
        <v>0</v>
      </c>
      <c r="N25" s="899">
        <f t="shared" si="6"/>
        <v>6554</v>
      </c>
    </row>
    <row r="26" spans="1:14" s="536" customFormat="1" ht="15" customHeight="1" x14ac:dyDescent="0.25">
      <c r="A26" s="695" t="s">
        <v>737</v>
      </c>
      <c r="B26" s="414" t="s">
        <v>487</v>
      </c>
      <c r="C26" s="415"/>
      <c r="D26" s="416"/>
      <c r="E26" s="416"/>
      <c r="F26" s="416">
        <v>6561</v>
      </c>
      <c r="G26" s="416"/>
      <c r="H26" s="357">
        <f t="shared" si="2"/>
        <v>6561</v>
      </c>
      <c r="I26" s="416"/>
      <c r="J26" s="416"/>
      <c r="K26" s="907"/>
      <c r="L26" s="912">
        <f t="shared" si="8"/>
        <v>6561</v>
      </c>
      <c r="M26" s="416">
        <f t="shared" si="5"/>
        <v>0</v>
      </c>
      <c r="N26" s="899">
        <f t="shared" si="6"/>
        <v>6561</v>
      </c>
    </row>
    <row r="27" spans="1:14" s="536" customFormat="1" ht="15" customHeight="1" x14ac:dyDescent="0.25">
      <c r="A27" s="695" t="s">
        <v>738</v>
      </c>
      <c r="B27" s="414" t="s">
        <v>489</v>
      </c>
      <c r="C27" s="415"/>
      <c r="D27" s="416"/>
      <c r="E27" s="416"/>
      <c r="F27" s="416">
        <v>14298</v>
      </c>
      <c r="G27" s="416"/>
      <c r="H27" s="357">
        <f t="shared" si="2"/>
        <v>14298</v>
      </c>
      <c r="I27" s="416"/>
      <c r="J27" s="416"/>
      <c r="K27" s="907"/>
      <c r="L27" s="912">
        <f t="shared" si="8"/>
        <v>14298</v>
      </c>
      <c r="M27" s="416">
        <f t="shared" si="5"/>
        <v>0</v>
      </c>
      <c r="N27" s="899">
        <f t="shared" si="6"/>
        <v>14298</v>
      </c>
    </row>
    <row r="28" spans="1:14" s="536" customFormat="1" ht="15" customHeight="1" x14ac:dyDescent="0.25">
      <c r="A28" s="695" t="s">
        <v>739</v>
      </c>
      <c r="B28" s="414" t="s">
        <v>490</v>
      </c>
      <c r="C28" s="415"/>
      <c r="D28" s="416"/>
      <c r="E28" s="416"/>
      <c r="F28" s="416">
        <v>13128</v>
      </c>
      <c r="G28" s="416"/>
      <c r="H28" s="357">
        <f t="shared" si="2"/>
        <v>13128</v>
      </c>
      <c r="I28" s="416"/>
      <c r="J28" s="416"/>
      <c r="K28" s="907"/>
      <c r="L28" s="912">
        <f t="shared" si="8"/>
        <v>13128</v>
      </c>
      <c r="M28" s="416">
        <f t="shared" si="5"/>
        <v>0</v>
      </c>
      <c r="N28" s="899">
        <f t="shared" si="6"/>
        <v>13128</v>
      </c>
    </row>
    <row r="29" spans="1:14" s="536" customFormat="1" ht="15" customHeight="1" x14ac:dyDescent="0.25">
      <c r="A29" s="695" t="s">
        <v>740</v>
      </c>
      <c r="B29" s="414" t="s">
        <v>749</v>
      </c>
      <c r="C29" s="415"/>
      <c r="D29" s="416"/>
      <c r="E29" s="416"/>
      <c r="F29" s="416">
        <v>645</v>
      </c>
      <c r="G29" s="416"/>
      <c r="H29" s="357">
        <f t="shared" si="2"/>
        <v>645</v>
      </c>
      <c r="I29" s="416"/>
      <c r="J29" s="416"/>
      <c r="K29" s="907"/>
      <c r="L29" s="912">
        <f t="shared" si="8"/>
        <v>645</v>
      </c>
      <c r="M29" s="416"/>
      <c r="N29" s="899"/>
    </row>
    <row r="30" spans="1:14" s="536" customFormat="1" ht="15" customHeight="1" x14ac:dyDescent="0.25">
      <c r="A30" s="695" t="s">
        <v>740</v>
      </c>
      <c r="B30" s="414" t="s">
        <v>491</v>
      </c>
      <c r="C30" s="415"/>
      <c r="D30" s="416"/>
      <c r="E30" s="416"/>
      <c r="F30" s="416">
        <v>26269</v>
      </c>
      <c r="G30" s="416"/>
      <c r="H30" s="357">
        <f t="shared" si="2"/>
        <v>26269</v>
      </c>
      <c r="I30" s="416"/>
      <c r="J30" s="416"/>
      <c r="K30" s="907"/>
      <c r="L30" s="912">
        <f t="shared" si="8"/>
        <v>26269</v>
      </c>
      <c r="M30" s="416">
        <f t="shared" si="5"/>
        <v>0</v>
      </c>
      <c r="N30" s="899">
        <f t="shared" si="6"/>
        <v>26269</v>
      </c>
    </row>
    <row r="31" spans="1:14" s="536" customFormat="1" ht="30.75" customHeight="1" x14ac:dyDescent="0.25">
      <c r="A31" s="695" t="s">
        <v>741</v>
      </c>
      <c r="B31" s="414" t="s">
        <v>492</v>
      </c>
      <c r="C31" s="415"/>
      <c r="D31" s="416"/>
      <c r="E31" s="416"/>
      <c r="F31" s="416">
        <f>9631+2100</f>
        <v>11731</v>
      </c>
      <c r="G31" s="416">
        <v>47</v>
      </c>
      <c r="H31" s="357">
        <f t="shared" si="2"/>
        <v>11778</v>
      </c>
      <c r="I31" s="416"/>
      <c r="J31" s="416"/>
      <c r="K31" s="907"/>
      <c r="L31" s="912">
        <f t="shared" si="8"/>
        <v>11731</v>
      </c>
      <c r="M31" s="416">
        <f t="shared" si="5"/>
        <v>47</v>
      </c>
      <c r="N31" s="899">
        <f t="shared" si="6"/>
        <v>11778</v>
      </c>
    </row>
    <row r="32" spans="1:14" s="536" customFormat="1" ht="14.25" customHeight="1" x14ac:dyDescent="0.25">
      <c r="A32" s="695" t="s">
        <v>666</v>
      </c>
      <c r="B32" s="414" t="s">
        <v>750</v>
      </c>
      <c r="C32" s="415"/>
      <c r="D32" s="416"/>
      <c r="E32" s="416"/>
      <c r="F32" s="416">
        <v>1246</v>
      </c>
      <c r="G32" s="416">
        <v>179</v>
      </c>
      <c r="H32" s="357">
        <f t="shared" si="2"/>
        <v>1425</v>
      </c>
      <c r="I32" s="416"/>
      <c r="J32" s="416"/>
      <c r="K32" s="907"/>
      <c r="L32" s="912">
        <f t="shared" si="8"/>
        <v>1246</v>
      </c>
      <c r="M32" s="416">
        <f t="shared" si="5"/>
        <v>179</v>
      </c>
      <c r="N32" s="899">
        <f t="shared" si="6"/>
        <v>1425</v>
      </c>
    </row>
    <row r="33" spans="1:14" s="536" customFormat="1" ht="14.25" customHeight="1" x14ac:dyDescent="0.25">
      <c r="A33" s="695" t="s">
        <v>666</v>
      </c>
      <c r="B33" s="414" t="s">
        <v>751</v>
      </c>
      <c r="C33" s="415"/>
      <c r="D33" s="416"/>
      <c r="E33" s="416"/>
      <c r="F33" s="416">
        <v>1925</v>
      </c>
      <c r="G33" s="416">
        <v>365</v>
      </c>
      <c r="H33" s="357">
        <f t="shared" si="2"/>
        <v>2290</v>
      </c>
      <c r="I33" s="416"/>
      <c r="J33" s="416"/>
      <c r="K33" s="907"/>
      <c r="L33" s="912">
        <f t="shared" si="8"/>
        <v>1925</v>
      </c>
      <c r="M33" s="416">
        <f t="shared" si="5"/>
        <v>365</v>
      </c>
      <c r="N33" s="899">
        <f t="shared" si="6"/>
        <v>2290</v>
      </c>
    </row>
    <row r="34" spans="1:14" s="536" customFormat="1" ht="14.25" customHeight="1" x14ac:dyDescent="0.25">
      <c r="A34" s="695" t="s">
        <v>666</v>
      </c>
      <c r="B34" s="414" t="s">
        <v>752</v>
      </c>
      <c r="C34" s="415"/>
      <c r="D34" s="416"/>
      <c r="E34" s="416"/>
      <c r="F34" s="416">
        <v>1581</v>
      </c>
      <c r="G34" s="416"/>
      <c r="H34" s="357">
        <f t="shared" si="2"/>
        <v>1581</v>
      </c>
      <c r="I34" s="416"/>
      <c r="J34" s="416"/>
      <c r="K34" s="907"/>
      <c r="L34" s="912">
        <f t="shared" si="8"/>
        <v>1581</v>
      </c>
      <c r="M34" s="416">
        <f t="shared" si="5"/>
        <v>0</v>
      </c>
      <c r="N34" s="899">
        <f t="shared" si="6"/>
        <v>1581</v>
      </c>
    </row>
    <row r="35" spans="1:14" s="536" customFormat="1" ht="14.25" customHeight="1" x14ac:dyDescent="0.25">
      <c r="A35" s="695" t="s">
        <v>666</v>
      </c>
      <c r="B35" s="414" t="s">
        <v>753</v>
      </c>
      <c r="C35" s="415"/>
      <c r="D35" s="416"/>
      <c r="E35" s="416"/>
      <c r="F35" s="416">
        <v>944</v>
      </c>
      <c r="G35" s="416">
        <v>1576</v>
      </c>
      <c r="H35" s="357">
        <f t="shared" si="2"/>
        <v>2520</v>
      </c>
      <c r="I35" s="416"/>
      <c r="J35" s="416"/>
      <c r="K35" s="907"/>
      <c r="L35" s="912">
        <f t="shared" si="8"/>
        <v>944</v>
      </c>
      <c r="M35" s="416">
        <f t="shared" si="5"/>
        <v>1576</v>
      </c>
      <c r="N35" s="899">
        <f t="shared" si="6"/>
        <v>2520</v>
      </c>
    </row>
    <row r="36" spans="1:14" s="536" customFormat="1" ht="15" customHeight="1" x14ac:dyDescent="0.25">
      <c r="A36" s="695" t="s">
        <v>666</v>
      </c>
      <c r="B36" s="417" t="s">
        <v>667</v>
      </c>
      <c r="C36" s="418"/>
      <c r="D36" s="419"/>
      <c r="E36" s="419"/>
      <c r="F36" s="419">
        <f>53+1058</f>
        <v>1111</v>
      </c>
      <c r="G36" s="416"/>
      <c r="H36" s="357">
        <f t="shared" si="2"/>
        <v>1111</v>
      </c>
      <c r="I36" s="416"/>
      <c r="J36" s="416"/>
      <c r="K36" s="907"/>
      <c r="L36" s="912">
        <f t="shared" si="8"/>
        <v>1111</v>
      </c>
      <c r="M36" s="416">
        <f t="shared" si="5"/>
        <v>0</v>
      </c>
      <c r="N36" s="899">
        <f t="shared" si="6"/>
        <v>1111</v>
      </c>
    </row>
    <row r="37" spans="1:14" s="536" customFormat="1" ht="15" customHeight="1" x14ac:dyDescent="0.25">
      <c r="A37" s="696" t="s">
        <v>740</v>
      </c>
      <c r="B37" s="417" t="s">
        <v>754</v>
      </c>
      <c r="C37" s="418"/>
      <c r="D37" s="419"/>
      <c r="E37" s="419"/>
      <c r="F37" s="419">
        <v>3373</v>
      </c>
      <c r="G37" s="419"/>
      <c r="H37" s="357">
        <f t="shared" si="2"/>
        <v>3373</v>
      </c>
      <c r="I37" s="419"/>
      <c r="J37" s="419"/>
      <c r="K37" s="908"/>
      <c r="L37" s="912">
        <f t="shared" si="8"/>
        <v>3373</v>
      </c>
      <c r="M37" s="416">
        <f t="shared" si="5"/>
        <v>0</v>
      </c>
      <c r="N37" s="899">
        <f t="shared" si="6"/>
        <v>3373</v>
      </c>
    </row>
    <row r="38" spans="1:14" s="349" customFormat="1" ht="26.25" customHeight="1" thickBot="1" x14ac:dyDescent="0.3">
      <c r="A38" s="900"/>
      <c r="B38" s="901" t="s">
        <v>639</v>
      </c>
      <c r="C38" s="902"/>
      <c r="D38" s="902"/>
      <c r="E38" s="902"/>
      <c r="F38" s="902"/>
      <c r="G38" s="902"/>
      <c r="H38" s="902">
        <f t="shared" si="2"/>
        <v>0</v>
      </c>
      <c r="I38" s="902"/>
      <c r="J38" s="902"/>
      <c r="K38" s="909"/>
      <c r="L38" s="913">
        <f t="shared" si="8"/>
        <v>0</v>
      </c>
      <c r="M38" s="903">
        <f t="shared" si="5"/>
        <v>0</v>
      </c>
      <c r="N38" s="904">
        <f t="shared" si="6"/>
        <v>0</v>
      </c>
    </row>
    <row r="39" spans="1:14" ht="13.5" thickBot="1" x14ac:dyDescent="0.25">
      <c r="A39" s="1196" t="s">
        <v>180</v>
      </c>
      <c r="B39" s="1197"/>
      <c r="C39" s="61">
        <f>+C19+C9</f>
        <v>88830</v>
      </c>
      <c r="D39" s="61">
        <f t="shared" ref="D39:E39" si="9">+D19+D9</f>
        <v>9934</v>
      </c>
      <c r="E39" s="61">
        <f t="shared" si="9"/>
        <v>98764</v>
      </c>
      <c r="F39" s="61">
        <f>SUM(F4:F22)</f>
        <v>119006</v>
      </c>
      <c r="G39" s="61">
        <f t="shared" ref="G39:H39" si="10">SUM(G4:G22)</f>
        <v>1100</v>
      </c>
      <c r="H39" s="61">
        <f t="shared" si="10"/>
        <v>120106</v>
      </c>
      <c r="I39" s="61">
        <f>SUM(I4:I38)</f>
        <v>0</v>
      </c>
      <c r="J39" s="61">
        <f>SUM(J4:J38)</f>
        <v>0</v>
      </c>
      <c r="K39" s="842">
        <f>SUM(K4:K38)</f>
        <v>0</v>
      </c>
      <c r="L39" s="914">
        <f>+C39+F39+I39</f>
        <v>207836</v>
      </c>
      <c r="M39" s="420">
        <f t="shared" ref="M39" si="11">+D39+G39</f>
        <v>11034</v>
      </c>
      <c r="N39" s="896">
        <f t="shared" ref="N39" si="12">+E39+H39</f>
        <v>218870</v>
      </c>
    </row>
  </sheetData>
  <mergeCells count="15">
    <mergeCell ref="A39:B39"/>
    <mergeCell ref="A9:B9"/>
    <mergeCell ref="A19:B19"/>
    <mergeCell ref="A22:B22"/>
    <mergeCell ref="A1:A2"/>
    <mergeCell ref="B1:B2"/>
    <mergeCell ref="A20:B20"/>
    <mergeCell ref="A21:B21"/>
    <mergeCell ref="L1:N2"/>
    <mergeCell ref="F2:H2"/>
    <mergeCell ref="C1:E1"/>
    <mergeCell ref="F1:H1"/>
    <mergeCell ref="C2:E2"/>
    <mergeCell ref="I1:K1"/>
    <mergeCell ref="I2:K2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Header>&amp;C&amp;"Times New Roman,Félkövér"&amp;12Martonvásár Város Önkormányzatának kiadásai 2017.
Egyéb működési célú támogatások&amp;R&amp;"Times New Roman,Félkövér"&amp;12 5/f. melléklet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07"/>
  <sheetViews>
    <sheetView zoomScaleNormal="100" zoomScaleSheetLayoutView="80" workbookViewId="0">
      <pane xSplit="3" ySplit="5" topLeftCell="K28" activePane="bottomRight" state="frozen"/>
      <selection pane="topRight" activeCell="D1" sqref="D1"/>
      <selection pane="bottomLeft" activeCell="A6" sqref="A6"/>
      <selection pane="bottomRight" activeCell="A3" sqref="A3:AG107"/>
    </sheetView>
  </sheetViews>
  <sheetFormatPr defaultColWidth="9.140625" defaultRowHeight="15" x14ac:dyDescent="0.25"/>
  <cols>
    <col min="1" max="1" width="6.140625" style="837" customWidth="1"/>
    <col min="2" max="2" width="7.140625" style="27" customWidth="1"/>
    <col min="3" max="3" width="42.42578125" style="27" customWidth="1"/>
    <col min="4" max="4" width="13.28515625" style="18" bestFit="1" customWidth="1"/>
    <col min="5" max="5" width="10.7109375" style="18" customWidth="1"/>
    <col min="6" max="6" width="13.28515625" style="18" bestFit="1" customWidth="1"/>
    <col min="7" max="7" width="8.42578125" style="18" customWidth="1"/>
    <col min="8" max="8" width="7.7109375" style="18" customWidth="1"/>
    <col min="9" max="9" width="8.42578125" style="18" customWidth="1"/>
    <col min="10" max="10" width="12" style="18" bestFit="1" customWidth="1"/>
    <col min="11" max="11" width="7.7109375" style="18" customWidth="1"/>
    <col min="12" max="13" width="12" style="18" bestFit="1" customWidth="1"/>
    <col min="14" max="14" width="7.7109375" style="18" customWidth="1"/>
    <col min="15" max="15" width="10.5703125" style="18" customWidth="1"/>
    <col min="16" max="16" width="6.140625" style="18" hidden="1" customWidth="1"/>
    <col min="17" max="17" width="6.7109375" style="18" hidden="1" customWidth="1"/>
    <col min="18" max="19" width="7" style="18" hidden="1" customWidth="1"/>
    <col min="20" max="20" width="6.42578125" style="18" hidden="1" customWidth="1"/>
    <col min="21" max="21" width="7.42578125" style="18" hidden="1" customWidth="1"/>
    <col min="22" max="22" width="11" style="18" bestFit="1" customWidth="1"/>
    <col min="23" max="23" width="8.7109375" style="18" customWidth="1"/>
    <col min="24" max="25" width="11" style="18" bestFit="1" customWidth="1"/>
    <col min="26" max="26" width="6.42578125" style="18" customWidth="1"/>
    <col min="27" max="28" width="11" style="18" bestFit="1" customWidth="1"/>
    <col min="29" max="29" width="7.85546875" style="18" customWidth="1"/>
    <col min="30" max="30" width="11" style="18" bestFit="1" customWidth="1"/>
    <col min="31" max="31" width="13.28515625" style="18" bestFit="1" customWidth="1"/>
    <col min="32" max="32" width="9.5703125" style="18" customWidth="1"/>
    <col min="33" max="33" width="13.28515625" style="18" bestFit="1" customWidth="1"/>
    <col min="34" max="36" width="8.85546875" style="1" customWidth="1"/>
    <col min="37" max="16384" width="9.140625" style="18"/>
  </cols>
  <sheetData>
    <row r="1" spans="1:33" s="1" customFormat="1" ht="15.75" x14ac:dyDescent="0.25">
      <c r="A1" s="1209"/>
      <c r="B1" s="1209"/>
      <c r="C1" s="1209"/>
      <c r="D1" s="1209"/>
      <c r="E1" s="1209"/>
      <c r="F1" s="1209"/>
      <c r="G1" s="1209"/>
      <c r="H1" s="1209"/>
      <c r="I1" s="1209"/>
      <c r="J1" s="1209"/>
      <c r="K1" s="1209"/>
      <c r="L1" s="1209"/>
      <c r="M1" s="1209"/>
      <c r="N1" s="1209"/>
      <c r="O1" s="1209"/>
      <c r="P1" s="1209"/>
      <c r="Q1" s="1209"/>
      <c r="R1" s="1209"/>
      <c r="S1" s="1209"/>
      <c r="T1" s="1209"/>
      <c r="U1" s="1209"/>
      <c r="V1" s="1209"/>
      <c r="W1" s="1209"/>
      <c r="X1" s="1209"/>
      <c r="Y1" s="1209"/>
      <c r="Z1" s="1209"/>
      <c r="AA1" s="1209"/>
      <c r="AB1" s="1209"/>
      <c r="AC1" s="1209"/>
      <c r="AD1" s="1209"/>
      <c r="AE1" s="1209"/>
      <c r="AF1" s="1209"/>
      <c r="AG1" s="1209"/>
    </row>
    <row r="2" spans="1:33" s="1" customFormat="1" ht="16.5" thickBot="1" x14ac:dyDescent="0.3">
      <c r="A2" s="1209"/>
      <c r="B2" s="1209"/>
      <c r="C2" s="1209"/>
      <c r="D2" s="1209"/>
      <c r="E2" s="1209"/>
      <c r="F2" s="1209"/>
      <c r="G2" s="1209"/>
      <c r="H2" s="1209"/>
      <c r="I2" s="1209"/>
      <c r="J2" s="1209"/>
      <c r="K2" s="1209"/>
      <c r="L2" s="1209"/>
      <c r="M2" s="1209"/>
      <c r="N2" s="1209"/>
      <c r="O2" s="1209"/>
      <c r="P2" s="1209"/>
      <c r="Q2" s="1209"/>
      <c r="R2" s="1209"/>
      <c r="S2" s="1209"/>
      <c r="T2" s="1209"/>
      <c r="U2" s="1209"/>
      <c r="V2" s="1209"/>
      <c r="W2" s="1209"/>
      <c r="X2" s="1209"/>
      <c r="Y2" s="1209"/>
      <c r="Z2" s="1209"/>
      <c r="AA2" s="1209"/>
      <c r="AB2" s="1209"/>
      <c r="AC2" s="1209"/>
      <c r="AD2" s="1209"/>
      <c r="AE2" s="1209"/>
      <c r="AF2" s="1209"/>
      <c r="AG2" s="1209"/>
    </row>
    <row r="3" spans="1:33" s="33" customFormat="1" ht="38.25" customHeight="1" x14ac:dyDescent="0.25">
      <c r="A3" s="1138" t="s">
        <v>0</v>
      </c>
      <c r="B3" s="1140" t="s">
        <v>182</v>
      </c>
      <c r="C3" s="1141"/>
      <c r="D3" s="1158" t="s">
        <v>180</v>
      </c>
      <c r="E3" s="1134"/>
      <c r="F3" s="1135"/>
      <c r="G3" s="1210" t="s">
        <v>181</v>
      </c>
      <c r="H3" s="1164"/>
      <c r="I3" s="1164"/>
      <c r="J3" s="1164" t="s">
        <v>579</v>
      </c>
      <c r="K3" s="1164"/>
      <c r="L3" s="1164"/>
      <c r="M3" s="1134" t="s">
        <v>580</v>
      </c>
      <c r="N3" s="1134"/>
      <c r="O3" s="1134"/>
      <c r="P3" s="1164" t="s">
        <v>505</v>
      </c>
      <c r="Q3" s="1164"/>
      <c r="R3" s="1164"/>
      <c r="S3" s="1164" t="s">
        <v>193</v>
      </c>
      <c r="T3" s="1164"/>
      <c r="U3" s="1164"/>
      <c r="V3" s="1134" t="s">
        <v>856</v>
      </c>
      <c r="W3" s="1134"/>
      <c r="X3" s="1134"/>
      <c r="Y3" s="1211" t="s">
        <v>300</v>
      </c>
      <c r="Z3" s="1211"/>
      <c r="AA3" s="1211"/>
      <c r="AB3" s="1211" t="s">
        <v>728</v>
      </c>
      <c r="AC3" s="1211"/>
      <c r="AD3" s="1211"/>
      <c r="AE3" s="1134" t="s">
        <v>266</v>
      </c>
      <c r="AF3" s="1134"/>
      <c r="AG3" s="1135"/>
    </row>
    <row r="4" spans="1:33" s="33" customFormat="1" ht="12.75" customHeight="1" x14ac:dyDescent="0.25">
      <c r="A4" s="1139"/>
      <c r="B4" s="1125"/>
      <c r="C4" s="1142"/>
      <c r="D4" s="1161"/>
      <c r="E4" s="1136"/>
      <c r="F4" s="1137"/>
      <c r="G4" s="1150" t="s">
        <v>189</v>
      </c>
      <c r="H4" s="1136"/>
      <c r="I4" s="1136"/>
      <c r="J4" s="1136" t="s">
        <v>189</v>
      </c>
      <c r="K4" s="1136"/>
      <c r="L4" s="1136"/>
      <c r="M4" s="1136" t="s">
        <v>189</v>
      </c>
      <c r="N4" s="1136"/>
      <c r="O4" s="1136"/>
      <c r="P4" s="1136" t="s">
        <v>189</v>
      </c>
      <c r="Q4" s="1136"/>
      <c r="R4" s="1136"/>
      <c r="S4" s="1136" t="s">
        <v>189</v>
      </c>
      <c r="T4" s="1136"/>
      <c r="U4" s="1136"/>
      <c r="V4" s="1136" t="s">
        <v>189</v>
      </c>
      <c r="W4" s="1136"/>
      <c r="X4" s="1136"/>
      <c r="Y4" s="1208" t="s">
        <v>190</v>
      </c>
      <c r="Z4" s="1208"/>
      <c r="AA4" s="1208"/>
      <c r="AB4" s="1208"/>
      <c r="AC4" s="1208"/>
      <c r="AD4" s="1208"/>
      <c r="AE4" s="1136"/>
      <c r="AF4" s="1136"/>
      <c r="AG4" s="1137"/>
    </row>
    <row r="5" spans="1:33" s="17" customFormat="1" ht="25.5" x14ac:dyDescent="0.25">
      <c r="A5" s="1139"/>
      <c r="B5" s="1125"/>
      <c r="C5" s="1142"/>
      <c r="D5" s="853" t="s">
        <v>956</v>
      </c>
      <c r="E5" s="974" t="s">
        <v>786</v>
      </c>
      <c r="F5" s="844" t="s">
        <v>958</v>
      </c>
      <c r="G5" s="851" t="s">
        <v>956</v>
      </c>
      <c r="H5" s="974" t="s">
        <v>786</v>
      </c>
      <c r="I5" s="974" t="s">
        <v>958</v>
      </c>
      <c r="J5" s="974" t="s">
        <v>956</v>
      </c>
      <c r="K5" s="974" t="s">
        <v>786</v>
      </c>
      <c r="L5" s="974" t="s">
        <v>958</v>
      </c>
      <c r="M5" s="974" t="s">
        <v>956</v>
      </c>
      <c r="N5" s="974" t="s">
        <v>786</v>
      </c>
      <c r="O5" s="974" t="s">
        <v>958</v>
      </c>
      <c r="P5" s="974" t="s">
        <v>177</v>
      </c>
      <c r="Q5" s="974" t="s">
        <v>178</v>
      </c>
      <c r="R5" s="974" t="s">
        <v>179</v>
      </c>
      <c r="S5" s="974" t="s">
        <v>177</v>
      </c>
      <c r="T5" s="974" t="s">
        <v>178</v>
      </c>
      <c r="U5" s="974" t="s">
        <v>179</v>
      </c>
      <c r="V5" s="974" t="s">
        <v>956</v>
      </c>
      <c r="W5" s="974" t="s">
        <v>786</v>
      </c>
      <c r="X5" s="974" t="s">
        <v>958</v>
      </c>
      <c r="Y5" s="974" t="s">
        <v>956</v>
      </c>
      <c r="Z5" s="974" t="s">
        <v>786</v>
      </c>
      <c r="AA5" s="974" t="s">
        <v>958</v>
      </c>
      <c r="AB5" s="974" t="s">
        <v>956</v>
      </c>
      <c r="AC5" s="974" t="s">
        <v>786</v>
      </c>
      <c r="AD5" s="974" t="s">
        <v>958</v>
      </c>
      <c r="AE5" s="974" t="s">
        <v>956</v>
      </c>
      <c r="AF5" s="974" t="s">
        <v>786</v>
      </c>
      <c r="AG5" s="844" t="s">
        <v>958</v>
      </c>
    </row>
    <row r="6" spans="1:33" s="44" customFormat="1" ht="12.95" customHeight="1" x14ac:dyDescent="0.2">
      <c r="A6" s="560" t="s">
        <v>27</v>
      </c>
      <c r="B6" s="1119" t="s">
        <v>174</v>
      </c>
      <c r="C6" s="1132"/>
      <c r="D6" s="1056">
        <f>+G6+M6+P6+S6+V6+AE6+J6+Y6+AB6</f>
        <v>7565</v>
      </c>
      <c r="E6" s="360">
        <f t="shared" ref="E6:F6" si="0">+H6+N6+Q6+T6+W6+AF6+K6+Z6+AC6</f>
        <v>-301</v>
      </c>
      <c r="F6" s="983">
        <f t="shared" si="0"/>
        <v>7264</v>
      </c>
      <c r="G6" s="982"/>
      <c r="H6" s="360"/>
      <c r="I6" s="360">
        <f>+H6+G6</f>
        <v>0</v>
      </c>
      <c r="J6" s="360"/>
      <c r="K6" s="360"/>
      <c r="L6" s="360">
        <f>+K6+J6</f>
        <v>0</v>
      </c>
      <c r="M6" s="360"/>
      <c r="N6" s="360"/>
      <c r="O6" s="360">
        <f>+N6+M6</f>
        <v>0</v>
      </c>
      <c r="P6" s="360"/>
      <c r="Q6" s="360"/>
      <c r="R6" s="360"/>
      <c r="S6" s="360"/>
      <c r="T6" s="360"/>
      <c r="U6" s="360"/>
      <c r="V6" s="360">
        <v>7565</v>
      </c>
      <c r="W6" s="360">
        <f>-309+8</f>
        <v>-301</v>
      </c>
      <c r="X6" s="360">
        <f>+W6+V6</f>
        <v>7264</v>
      </c>
      <c r="Y6" s="360"/>
      <c r="Z6" s="360"/>
      <c r="AA6" s="360">
        <f>+Z6+Y6</f>
        <v>0</v>
      </c>
      <c r="AB6" s="360"/>
      <c r="AC6" s="360"/>
      <c r="AD6" s="360">
        <f>+AC6+AB6</f>
        <v>0</v>
      </c>
      <c r="AE6" s="360">
        <v>0</v>
      </c>
      <c r="AF6" s="360"/>
      <c r="AG6" s="983">
        <f>+AF6+AE6</f>
        <v>0</v>
      </c>
    </row>
    <row r="7" spans="1:33" s="44" customFormat="1" ht="12.95" customHeight="1" x14ac:dyDescent="0.2">
      <c r="A7" s="560" t="s">
        <v>33</v>
      </c>
      <c r="B7" s="1119" t="s">
        <v>173</v>
      </c>
      <c r="C7" s="1132"/>
      <c r="D7" s="1056">
        <f t="shared" ref="D7:D70" si="1">+G7+M7+P7+S7+V7+AE7+J7+Y7+AB7</f>
        <v>0</v>
      </c>
      <c r="E7" s="360">
        <f t="shared" ref="E7:E70" si="2">+H7+N7+Q7+T7+W7+AF7+K7+Z7+AC7</f>
        <v>0</v>
      </c>
      <c r="F7" s="983">
        <f t="shared" ref="F7:F70" si="3">+I7+O7+R7+U7+X7+AG7+L7+AA7+AD7</f>
        <v>0</v>
      </c>
      <c r="G7" s="982"/>
      <c r="H7" s="360"/>
      <c r="I7" s="360">
        <f t="shared" ref="I7:I70" si="4">+H7+G7</f>
        <v>0</v>
      </c>
      <c r="J7" s="360"/>
      <c r="K7" s="360"/>
      <c r="L7" s="360">
        <f t="shared" ref="L7:L70" si="5">+K7+J7</f>
        <v>0</v>
      </c>
      <c r="M7" s="360"/>
      <c r="N7" s="360"/>
      <c r="O7" s="360">
        <f t="shared" ref="O7:O70" si="6">+N7+M7</f>
        <v>0</v>
      </c>
      <c r="P7" s="360"/>
      <c r="Q7" s="360"/>
      <c r="R7" s="360"/>
      <c r="S7" s="360"/>
      <c r="T7" s="360"/>
      <c r="U7" s="360"/>
      <c r="V7" s="360"/>
      <c r="W7" s="360"/>
      <c r="X7" s="360">
        <f t="shared" ref="X7:X70" si="7">+W7+V7</f>
        <v>0</v>
      </c>
      <c r="Y7" s="360"/>
      <c r="Z7" s="360"/>
      <c r="AA7" s="360">
        <f t="shared" ref="AA7:AA70" si="8">+Z7+Y7</f>
        <v>0</v>
      </c>
      <c r="AB7" s="360"/>
      <c r="AC7" s="360"/>
      <c r="AD7" s="360">
        <f t="shared" ref="AD7:AD70" si="9">+AC7+AB7</f>
        <v>0</v>
      </c>
      <c r="AE7" s="360">
        <v>0</v>
      </c>
      <c r="AF7" s="360"/>
      <c r="AG7" s="983">
        <f t="shared" ref="AG7:AG70" si="10">+AF7+AE7</f>
        <v>0</v>
      </c>
    </row>
    <row r="8" spans="1:33" s="44" customFormat="1" ht="12.95" customHeight="1" x14ac:dyDescent="0.2">
      <c r="A8" s="560" t="s">
        <v>34</v>
      </c>
      <c r="B8" s="1119" t="s">
        <v>172</v>
      </c>
      <c r="C8" s="1132"/>
      <c r="D8" s="1056">
        <f t="shared" si="1"/>
        <v>7565</v>
      </c>
      <c r="E8" s="360">
        <f t="shared" si="2"/>
        <v>-301</v>
      </c>
      <c r="F8" s="983">
        <f t="shared" si="3"/>
        <v>7264</v>
      </c>
      <c r="G8" s="982"/>
      <c r="H8" s="360"/>
      <c r="I8" s="360">
        <f t="shared" si="4"/>
        <v>0</v>
      </c>
      <c r="J8" s="360"/>
      <c r="K8" s="360"/>
      <c r="L8" s="360">
        <f t="shared" si="5"/>
        <v>0</v>
      </c>
      <c r="M8" s="360"/>
      <c r="N8" s="360"/>
      <c r="O8" s="360">
        <f t="shared" si="6"/>
        <v>0</v>
      </c>
      <c r="P8" s="360"/>
      <c r="Q8" s="360"/>
      <c r="R8" s="360"/>
      <c r="S8" s="360"/>
      <c r="T8" s="360"/>
      <c r="U8" s="360"/>
      <c r="V8" s="360">
        <f>SUM(V6:V7)</f>
        <v>7565</v>
      </c>
      <c r="W8" s="360">
        <f>SUM(W6:W7)</f>
        <v>-301</v>
      </c>
      <c r="X8" s="360">
        <f t="shared" si="7"/>
        <v>7264</v>
      </c>
      <c r="Y8" s="360"/>
      <c r="Z8" s="360"/>
      <c r="AA8" s="360">
        <f t="shared" si="8"/>
        <v>0</v>
      </c>
      <c r="AB8" s="360"/>
      <c r="AC8" s="360"/>
      <c r="AD8" s="360">
        <f t="shared" si="9"/>
        <v>0</v>
      </c>
      <c r="AE8" s="360">
        <v>0</v>
      </c>
      <c r="AF8" s="360"/>
      <c r="AG8" s="983">
        <f t="shared" si="10"/>
        <v>0</v>
      </c>
    </row>
    <row r="9" spans="1:33" ht="10.5" customHeight="1" x14ac:dyDescent="0.25">
      <c r="A9" s="562"/>
      <c r="B9" s="1044"/>
      <c r="C9" s="1044"/>
      <c r="D9" s="1056"/>
      <c r="E9" s="360"/>
      <c r="F9" s="983"/>
      <c r="G9" s="1023"/>
      <c r="H9" s="361"/>
      <c r="I9" s="360"/>
      <c r="J9" s="361"/>
      <c r="K9" s="361"/>
      <c r="L9" s="360"/>
      <c r="M9" s="361"/>
      <c r="N9" s="361"/>
      <c r="O9" s="360"/>
      <c r="P9" s="361"/>
      <c r="Q9" s="361"/>
      <c r="R9" s="361"/>
      <c r="S9" s="361"/>
      <c r="T9" s="361"/>
      <c r="U9" s="361"/>
      <c r="V9" s="361"/>
      <c r="W9" s="361"/>
      <c r="X9" s="360"/>
      <c r="Y9" s="361"/>
      <c r="Z9" s="361"/>
      <c r="AA9" s="360"/>
      <c r="AB9" s="361"/>
      <c r="AC9" s="361"/>
      <c r="AD9" s="360"/>
      <c r="AE9" s="361"/>
      <c r="AF9" s="361"/>
      <c r="AG9" s="983"/>
    </row>
    <row r="10" spans="1:33" s="44" customFormat="1" ht="12.95" customHeight="1" x14ac:dyDescent="0.2">
      <c r="A10" s="560" t="s">
        <v>35</v>
      </c>
      <c r="B10" s="1119" t="s">
        <v>171</v>
      </c>
      <c r="C10" s="1132"/>
      <c r="D10" s="1056">
        <f t="shared" si="1"/>
        <v>1530</v>
      </c>
      <c r="E10" s="360">
        <f t="shared" si="2"/>
        <v>0</v>
      </c>
      <c r="F10" s="983">
        <f t="shared" si="3"/>
        <v>1530</v>
      </c>
      <c r="G10" s="982"/>
      <c r="H10" s="360"/>
      <c r="I10" s="360">
        <f t="shared" si="4"/>
        <v>0</v>
      </c>
      <c r="J10" s="360"/>
      <c r="K10" s="360"/>
      <c r="L10" s="360">
        <f t="shared" si="5"/>
        <v>0</v>
      </c>
      <c r="M10" s="360"/>
      <c r="N10" s="360"/>
      <c r="O10" s="360">
        <f t="shared" si="6"/>
        <v>0</v>
      </c>
      <c r="P10" s="360"/>
      <c r="Q10" s="360"/>
      <c r="R10" s="360"/>
      <c r="S10" s="360"/>
      <c r="T10" s="360"/>
      <c r="U10" s="360"/>
      <c r="V10" s="360">
        <v>1530</v>
      </c>
      <c r="W10" s="360"/>
      <c r="X10" s="360">
        <f t="shared" si="7"/>
        <v>1530</v>
      </c>
      <c r="Y10" s="360"/>
      <c r="Z10" s="360"/>
      <c r="AA10" s="360">
        <f t="shared" si="8"/>
        <v>0</v>
      </c>
      <c r="AB10" s="360"/>
      <c r="AC10" s="360"/>
      <c r="AD10" s="360">
        <f t="shared" si="9"/>
        <v>0</v>
      </c>
      <c r="AE10" s="360">
        <v>0</v>
      </c>
      <c r="AF10" s="360"/>
      <c r="AG10" s="983">
        <f t="shared" si="10"/>
        <v>0</v>
      </c>
    </row>
    <row r="11" spans="1:33" ht="10.5" customHeight="1" x14ac:dyDescent="0.25">
      <c r="A11" s="102"/>
      <c r="C11" s="1051"/>
      <c r="D11" s="1057"/>
      <c r="E11" s="1021"/>
      <c r="F11" s="1022"/>
      <c r="G11" s="772"/>
      <c r="H11" s="772"/>
      <c r="I11" s="1021"/>
      <c r="J11" s="772"/>
      <c r="K11" s="772"/>
      <c r="L11" s="1021"/>
      <c r="M11" s="772"/>
      <c r="N11" s="772"/>
      <c r="O11" s="1021"/>
      <c r="P11" s="772"/>
      <c r="Q11" s="772"/>
      <c r="R11" s="772"/>
      <c r="S11" s="772"/>
      <c r="T11" s="772"/>
      <c r="U11" s="772"/>
      <c r="V11" s="772"/>
      <c r="W11" s="772"/>
      <c r="X11" s="1021"/>
      <c r="Y11" s="772"/>
      <c r="Z11" s="772"/>
      <c r="AA11" s="1021"/>
      <c r="AB11" s="772"/>
      <c r="AC11" s="772"/>
      <c r="AD11" s="1021"/>
      <c r="AE11" s="772"/>
      <c r="AF11" s="772"/>
      <c r="AG11" s="1022"/>
    </row>
    <row r="12" spans="1:33" ht="12.95" customHeight="1" x14ac:dyDescent="0.25">
      <c r="A12" s="563" t="s">
        <v>42</v>
      </c>
      <c r="B12" s="1115" t="s">
        <v>41</v>
      </c>
      <c r="C12" s="1128"/>
      <c r="D12" s="1056">
        <f t="shared" si="1"/>
        <v>0</v>
      </c>
      <c r="E12" s="360">
        <f t="shared" si="2"/>
        <v>0</v>
      </c>
      <c r="F12" s="983">
        <f t="shared" si="3"/>
        <v>0</v>
      </c>
      <c r="G12" s="1023"/>
      <c r="H12" s="361"/>
      <c r="I12" s="360">
        <f t="shared" si="4"/>
        <v>0</v>
      </c>
      <c r="J12" s="361"/>
      <c r="K12" s="361"/>
      <c r="L12" s="360">
        <f t="shared" si="5"/>
        <v>0</v>
      </c>
      <c r="M12" s="361"/>
      <c r="N12" s="361"/>
      <c r="O12" s="360">
        <f t="shared" si="6"/>
        <v>0</v>
      </c>
      <c r="P12" s="361"/>
      <c r="Q12" s="361"/>
      <c r="R12" s="361"/>
      <c r="S12" s="361"/>
      <c r="T12" s="361"/>
      <c r="U12" s="361"/>
      <c r="V12" s="361"/>
      <c r="W12" s="361"/>
      <c r="X12" s="360">
        <f t="shared" si="7"/>
        <v>0</v>
      </c>
      <c r="Y12" s="361"/>
      <c r="Z12" s="361"/>
      <c r="AA12" s="360">
        <f t="shared" si="8"/>
        <v>0</v>
      </c>
      <c r="AB12" s="361"/>
      <c r="AC12" s="361"/>
      <c r="AD12" s="360">
        <f t="shared" si="9"/>
        <v>0</v>
      </c>
      <c r="AE12" s="361">
        <v>0</v>
      </c>
      <c r="AF12" s="361"/>
      <c r="AG12" s="983">
        <f t="shared" si="10"/>
        <v>0</v>
      </c>
    </row>
    <row r="13" spans="1:33" ht="12.95" customHeight="1" x14ac:dyDescent="0.25">
      <c r="A13" s="563" t="s">
        <v>44</v>
      </c>
      <c r="B13" s="1115" t="s">
        <v>43</v>
      </c>
      <c r="C13" s="1128"/>
      <c r="D13" s="1056">
        <f t="shared" si="1"/>
        <v>1768</v>
      </c>
      <c r="E13" s="360">
        <f t="shared" si="2"/>
        <v>0</v>
      </c>
      <c r="F13" s="983">
        <f t="shared" si="3"/>
        <v>1768</v>
      </c>
      <c r="G13" s="1023">
        <v>500</v>
      </c>
      <c r="H13" s="361"/>
      <c r="I13" s="360">
        <f t="shared" si="4"/>
        <v>500</v>
      </c>
      <c r="J13" s="361"/>
      <c r="K13" s="361"/>
      <c r="L13" s="360">
        <f t="shared" si="5"/>
        <v>0</v>
      </c>
      <c r="M13" s="361"/>
      <c r="N13" s="361"/>
      <c r="O13" s="360">
        <f t="shared" si="6"/>
        <v>0</v>
      </c>
      <c r="P13" s="361"/>
      <c r="Q13" s="361"/>
      <c r="R13" s="361"/>
      <c r="S13" s="361"/>
      <c r="T13" s="361"/>
      <c r="U13" s="361"/>
      <c r="V13" s="361"/>
      <c r="W13" s="361"/>
      <c r="X13" s="360">
        <f t="shared" si="7"/>
        <v>0</v>
      </c>
      <c r="Y13" s="361"/>
      <c r="Z13" s="361"/>
      <c r="AA13" s="360">
        <f t="shared" si="8"/>
        <v>0</v>
      </c>
      <c r="AB13" s="361">
        <v>1268</v>
      </c>
      <c r="AC13" s="361"/>
      <c r="AD13" s="360">
        <f t="shared" si="9"/>
        <v>1268</v>
      </c>
      <c r="AE13" s="361">
        <v>0</v>
      </c>
      <c r="AF13" s="361"/>
      <c r="AG13" s="983">
        <f t="shared" si="10"/>
        <v>0</v>
      </c>
    </row>
    <row r="14" spans="1:33" ht="12.95" customHeight="1" x14ac:dyDescent="0.25">
      <c r="A14" s="563" t="s">
        <v>46</v>
      </c>
      <c r="B14" s="1115" t="s">
        <v>45</v>
      </c>
      <c r="C14" s="1128"/>
      <c r="D14" s="1056">
        <f t="shared" si="1"/>
        <v>0</v>
      </c>
      <c r="E14" s="360">
        <f t="shared" si="2"/>
        <v>0</v>
      </c>
      <c r="F14" s="983">
        <f t="shared" si="3"/>
        <v>0</v>
      </c>
      <c r="G14" s="1023"/>
      <c r="H14" s="361"/>
      <c r="I14" s="360">
        <f t="shared" si="4"/>
        <v>0</v>
      </c>
      <c r="J14" s="361"/>
      <c r="K14" s="361"/>
      <c r="L14" s="360">
        <f t="shared" si="5"/>
        <v>0</v>
      </c>
      <c r="M14" s="361"/>
      <c r="N14" s="361"/>
      <c r="O14" s="360">
        <f t="shared" si="6"/>
        <v>0</v>
      </c>
      <c r="P14" s="361"/>
      <c r="Q14" s="361"/>
      <c r="R14" s="361"/>
      <c r="S14" s="361"/>
      <c r="T14" s="361"/>
      <c r="U14" s="361"/>
      <c r="V14" s="361"/>
      <c r="W14" s="361"/>
      <c r="X14" s="360">
        <f t="shared" si="7"/>
        <v>0</v>
      </c>
      <c r="Y14" s="361"/>
      <c r="Z14" s="361"/>
      <c r="AA14" s="360">
        <f t="shared" si="8"/>
        <v>0</v>
      </c>
      <c r="AB14" s="361"/>
      <c r="AC14" s="361"/>
      <c r="AD14" s="360">
        <f t="shared" si="9"/>
        <v>0</v>
      </c>
      <c r="AE14" s="361">
        <v>0</v>
      </c>
      <c r="AF14" s="361"/>
      <c r="AG14" s="983">
        <f t="shared" si="10"/>
        <v>0</v>
      </c>
    </row>
    <row r="15" spans="1:33" s="44" customFormat="1" ht="12.95" customHeight="1" x14ac:dyDescent="0.2">
      <c r="A15" s="560" t="s">
        <v>47</v>
      </c>
      <c r="B15" s="1119" t="s">
        <v>170</v>
      </c>
      <c r="C15" s="1132"/>
      <c r="D15" s="1056">
        <f t="shared" si="1"/>
        <v>1768</v>
      </c>
      <c r="E15" s="360">
        <f t="shared" si="2"/>
        <v>0</v>
      </c>
      <c r="F15" s="983">
        <f t="shared" si="3"/>
        <v>1768</v>
      </c>
      <c r="G15" s="982">
        <f t="shared" ref="G15:H15" si="11">SUM(G12:G14)</f>
        <v>500</v>
      </c>
      <c r="H15" s="360">
        <f t="shared" si="11"/>
        <v>0</v>
      </c>
      <c r="I15" s="360">
        <f t="shared" si="4"/>
        <v>500</v>
      </c>
      <c r="J15" s="360"/>
      <c r="K15" s="360"/>
      <c r="L15" s="360">
        <f t="shared" si="5"/>
        <v>0</v>
      </c>
      <c r="M15" s="360">
        <f>SUM(M12:M14)</f>
        <v>0</v>
      </c>
      <c r="N15" s="360">
        <f>SUM(N12:N14)</f>
        <v>0</v>
      </c>
      <c r="O15" s="360">
        <f t="shared" si="6"/>
        <v>0</v>
      </c>
      <c r="P15" s="360">
        <f t="shared" ref="P15:R15" si="12">SUM(P12:P14)</f>
        <v>0</v>
      </c>
      <c r="Q15" s="360">
        <f t="shared" si="12"/>
        <v>0</v>
      </c>
      <c r="R15" s="360">
        <f t="shared" si="12"/>
        <v>0</v>
      </c>
      <c r="S15" s="360">
        <f t="shared" ref="S15:AC15" si="13">SUM(S12:S14)</f>
        <v>0</v>
      </c>
      <c r="T15" s="360">
        <f t="shared" si="13"/>
        <v>0</v>
      </c>
      <c r="U15" s="360">
        <f t="shared" si="13"/>
        <v>0</v>
      </c>
      <c r="V15" s="360">
        <f t="shared" si="13"/>
        <v>0</v>
      </c>
      <c r="W15" s="360">
        <f t="shared" si="13"/>
        <v>0</v>
      </c>
      <c r="X15" s="360">
        <f t="shared" si="7"/>
        <v>0</v>
      </c>
      <c r="Y15" s="360">
        <f t="shared" si="13"/>
        <v>0</v>
      </c>
      <c r="Z15" s="360">
        <f t="shared" si="13"/>
        <v>0</v>
      </c>
      <c r="AA15" s="360">
        <f t="shared" si="8"/>
        <v>0</v>
      </c>
      <c r="AB15" s="360">
        <f t="shared" si="13"/>
        <v>1268</v>
      </c>
      <c r="AC15" s="360">
        <f t="shared" si="13"/>
        <v>0</v>
      </c>
      <c r="AD15" s="360">
        <f t="shared" si="9"/>
        <v>1268</v>
      </c>
      <c r="AE15" s="360">
        <v>0</v>
      </c>
      <c r="AF15" s="360">
        <f>SUM(AF12:AF14)</f>
        <v>0</v>
      </c>
      <c r="AG15" s="983">
        <f t="shared" si="10"/>
        <v>0</v>
      </c>
    </row>
    <row r="16" spans="1:33" ht="12.95" customHeight="1" x14ac:dyDescent="0.25">
      <c r="A16" s="563" t="s">
        <v>49</v>
      </c>
      <c r="B16" s="1115" t="s">
        <v>48</v>
      </c>
      <c r="C16" s="1128"/>
      <c r="D16" s="1056">
        <f t="shared" si="1"/>
        <v>2880</v>
      </c>
      <c r="E16" s="360">
        <f t="shared" si="2"/>
        <v>0</v>
      </c>
      <c r="F16" s="983">
        <f t="shared" si="3"/>
        <v>2880</v>
      </c>
      <c r="G16" s="1023">
        <v>2880</v>
      </c>
      <c r="H16" s="361"/>
      <c r="I16" s="360">
        <f t="shared" si="4"/>
        <v>2880</v>
      </c>
      <c r="J16" s="361"/>
      <c r="K16" s="361"/>
      <c r="L16" s="360">
        <f t="shared" si="5"/>
        <v>0</v>
      </c>
      <c r="M16" s="361"/>
      <c r="N16" s="361"/>
      <c r="O16" s="360">
        <f t="shared" si="6"/>
        <v>0</v>
      </c>
      <c r="P16" s="361"/>
      <c r="Q16" s="361"/>
      <c r="R16" s="361"/>
      <c r="S16" s="361"/>
      <c r="T16" s="361"/>
      <c r="U16" s="361"/>
      <c r="V16" s="361"/>
      <c r="W16" s="361"/>
      <c r="X16" s="360">
        <f t="shared" si="7"/>
        <v>0</v>
      </c>
      <c r="Y16" s="361"/>
      <c r="Z16" s="361"/>
      <c r="AA16" s="360">
        <f t="shared" si="8"/>
        <v>0</v>
      </c>
      <c r="AB16" s="361"/>
      <c r="AC16" s="361"/>
      <c r="AD16" s="360">
        <f t="shared" si="9"/>
        <v>0</v>
      </c>
      <c r="AE16" s="361">
        <v>0</v>
      </c>
      <c r="AF16" s="361"/>
      <c r="AG16" s="983">
        <f t="shared" si="10"/>
        <v>0</v>
      </c>
    </row>
    <row r="17" spans="1:33" ht="12.95" customHeight="1" x14ac:dyDescent="0.25">
      <c r="A17" s="563" t="s">
        <v>51</v>
      </c>
      <c r="B17" s="1115" t="s">
        <v>50</v>
      </c>
      <c r="C17" s="1128"/>
      <c r="D17" s="1056">
        <f t="shared" si="1"/>
        <v>0</v>
      </c>
      <c r="E17" s="360">
        <f t="shared" si="2"/>
        <v>0</v>
      </c>
      <c r="F17" s="983">
        <f t="shared" si="3"/>
        <v>0</v>
      </c>
      <c r="G17" s="1023"/>
      <c r="H17" s="361"/>
      <c r="I17" s="360">
        <f t="shared" si="4"/>
        <v>0</v>
      </c>
      <c r="J17" s="361"/>
      <c r="K17" s="361"/>
      <c r="L17" s="360">
        <f t="shared" si="5"/>
        <v>0</v>
      </c>
      <c r="M17" s="361"/>
      <c r="N17" s="361"/>
      <c r="O17" s="360">
        <f t="shared" si="6"/>
        <v>0</v>
      </c>
      <c r="P17" s="361"/>
      <c r="Q17" s="361"/>
      <c r="R17" s="361"/>
      <c r="S17" s="361"/>
      <c r="T17" s="361"/>
      <c r="U17" s="361"/>
      <c r="V17" s="361"/>
      <c r="W17" s="361"/>
      <c r="X17" s="360">
        <f t="shared" si="7"/>
        <v>0</v>
      </c>
      <c r="Y17" s="361"/>
      <c r="Z17" s="361"/>
      <c r="AA17" s="360">
        <f t="shared" si="8"/>
        <v>0</v>
      </c>
      <c r="AB17" s="361"/>
      <c r="AC17" s="361"/>
      <c r="AD17" s="360">
        <f t="shared" si="9"/>
        <v>0</v>
      </c>
      <c r="AE17" s="361">
        <v>0</v>
      </c>
      <c r="AF17" s="361"/>
      <c r="AG17" s="983">
        <f t="shared" si="10"/>
        <v>0</v>
      </c>
    </row>
    <row r="18" spans="1:33" s="44" customFormat="1" ht="12.95" customHeight="1" x14ac:dyDescent="0.2">
      <c r="A18" s="560" t="s">
        <v>52</v>
      </c>
      <c r="B18" s="1119" t="s">
        <v>169</v>
      </c>
      <c r="C18" s="1132"/>
      <c r="D18" s="1056">
        <f t="shared" si="1"/>
        <v>2880</v>
      </c>
      <c r="E18" s="360">
        <f t="shared" si="2"/>
        <v>0</v>
      </c>
      <c r="F18" s="983">
        <f t="shared" si="3"/>
        <v>2880</v>
      </c>
      <c r="G18" s="982">
        <f t="shared" ref="G18:H18" si="14">+G16+G17</f>
        <v>2880</v>
      </c>
      <c r="H18" s="360">
        <f t="shared" si="14"/>
        <v>0</v>
      </c>
      <c r="I18" s="360">
        <f t="shared" si="4"/>
        <v>2880</v>
      </c>
      <c r="J18" s="360"/>
      <c r="K18" s="360"/>
      <c r="L18" s="360">
        <f t="shared" si="5"/>
        <v>0</v>
      </c>
      <c r="M18" s="360">
        <f>+M16+M17</f>
        <v>0</v>
      </c>
      <c r="N18" s="360">
        <f>+N16+N17</f>
        <v>0</v>
      </c>
      <c r="O18" s="360">
        <f t="shared" si="6"/>
        <v>0</v>
      </c>
      <c r="P18" s="360">
        <f t="shared" ref="P18:R18" si="15">+P16+P17</f>
        <v>0</v>
      </c>
      <c r="Q18" s="360">
        <f t="shared" si="15"/>
        <v>0</v>
      </c>
      <c r="R18" s="360">
        <f t="shared" si="15"/>
        <v>0</v>
      </c>
      <c r="S18" s="360">
        <f t="shared" ref="S18:AC18" si="16">+S16+S17</f>
        <v>0</v>
      </c>
      <c r="T18" s="360">
        <f t="shared" si="16"/>
        <v>0</v>
      </c>
      <c r="U18" s="360">
        <f t="shared" si="16"/>
        <v>0</v>
      </c>
      <c r="V18" s="360">
        <f t="shared" si="16"/>
        <v>0</v>
      </c>
      <c r="W18" s="360">
        <f t="shared" si="16"/>
        <v>0</v>
      </c>
      <c r="X18" s="360">
        <f t="shared" si="7"/>
        <v>0</v>
      </c>
      <c r="Y18" s="360">
        <f t="shared" si="16"/>
        <v>0</v>
      </c>
      <c r="Z18" s="360">
        <f t="shared" si="16"/>
        <v>0</v>
      </c>
      <c r="AA18" s="360">
        <f t="shared" si="8"/>
        <v>0</v>
      </c>
      <c r="AB18" s="360">
        <f t="shared" si="16"/>
        <v>0</v>
      </c>
      <c r="AC18" s="360">
        <f t="shared" si="16"/>
        <v>0</v>
      </c>
      <c r="AD18" s="360">
        <f t="shared" si="9"/>
        <v>0</v>
      </c>
      <c r="AE18" s="360">
        <v>0</v>
      </c>
      <c r="AF18" s="360">
        <f>+AF16+AF17</f>
        <v>0</v>
      </c>
      <c r="AG18" s="983">
        <f t="shared" si="10"/>
        <v>0</v>
      </c>
    </row>
    <row r="19" spans="1:33" ht="12.95" customHeight="1" x14ac:dyDescent="0.25">
      <c r="A19" s="563" t="s">
        <v>54</v>
      </c>
      <c r="B19" s="1115" t="s">
        <v>53</v>
      </c>
      <c r="C19" s="1128"/>
      <c r="D19" s="1056">
        <f t="shared" si="1"/>
        <v>0</v>
      </c>
      <c r="E19" s="360">
        <f t="shared" si="2"/>
        <v>0</v>
      </c>
      <c r="F19" s="983">
        <f t="shared" si="3"/>
        <v>0</v>
      </c>
      <c r="G19" s="1023"/>
      <c r="H19" s="361"/>
      <c r="I19" s="360">
        <f t="shared" si="4"/>
        <v>0</v>
      </c>
      <c r="J19" s="361"/>
      <c r="K19" s="361"/>
      <c r="L19" s="360">
        <f t="shared" si="5"/>
        <v>0</v>
      </c>
      <c r="M19" s="361"/>
      <c r="N19" s="361"/>
      <c r="O19" s="360">
        <f t="shared" si="6"/>
        <v>0</v>
      </c>
      <c r="P19" s="361"/>
      <c r="Q19" s="361"/>
      <c r="R19" s="361"/>
      <c r="S19" s="361"/>
      <c r="T19" s="361"/>
      <c r="U19" s="361"/>
      <c r="V19" s="361"/>
      <c r="W19" s="361"/>
      <c r="X19" s="360">
        <f t="shared" si="7"/>
        <v>0</v>
      </c>
      <c r="Y19" s="361"/>
      <c r="Z19" s="361"/>
      <c r="AA19" s="360">
        <f t="shared" si="8"/>
        <v>0</v>
      </c>
      <c r="AB19" s="361"/>
      <c r="AC19" s="361"/>
      <c r="AD19" s="360">
        <f t="shared" si="9"/>
        <v>0</v>
      </c>
      <c r="AE19" s="361">
        <v>0</v>
      </c>
      <c r="AF19" s="361"/>
      <c r="AG19" s="983">
        <f t="shared" si="10"/>
        <v>0</v>
      </c>
    </row>
    <row r="20" spans="1:33" ht="12.95" customHeight="1" x14ac:dyDescent="0.25">
      <c r="A20" s="563" t="s">
        <v>56</v>
      </c>
      <c r="B20" s="1115" t="s">
        <v>55</v>
      </c>
      <c r="C20" s="1128"/>
      <c r="D20" s="1056">
        <f t="shared" si="1"/>
        <v>57581</v>
      </c>
      <c r="E20" s="360">
        <f t="shared" si="2"/>
        <v>0</v>
      </c>
      <c r="F20" s="983">
        <f t="shared" si="3"/>
        <v>57581</v>
      </c>
      <c r="G20" s="1023"/>
      <c r="H20" s="361"/>
      <c r="I20" s="360">
        <f t="shared" si="4"/>
        <v>0</v>
      </c>
      <c r="J20" s="1024">
        <v>41739</v>
      </c>
      <c r="K20" s="1024"/>
      <c r="L20" s="360">
        <f t="shared" si="5"/>
        <v>41739</v>
      </c>
      <c r="M20" s="1024">
        <v>15392</v>
      </c>
      <c r="N20" s="361"/>
      <c r="O20" s="360">
        <f t="shared" si="6"/>
        <v>15392</v>
      </c>
      <c r="P20" s="361"/>
      <c r="Q20" s="361"/>
      <c r="R20" s="361"/>
      <c r="S20" s="361"/>
      <c r="T20" s="361"/>
      <c r="U20" s="361"/>
      <c r="V20" s="361"/>
      <c r="W20" s="361"/>
      <c r="X20" s="360">
        <f t="shared" si="7"/>
        <v>0</v>
      </c>
      <c r="Y20" s="361"/>
      <c r="Z20" s="361"/>
      <c r="AA20" s="360">
        <f t="shared" si="8"/>
        <v>0</v>
      </c>
      <c r="AB20" s="361"/>
      <c r="AC20" s="361"/>
      <c r="AD20" s="360">
        <f t="shared" si="9"/>
        <v>0</v>
      </c>
      <c r="AE20" s="361">
        <v>450</v>
      </c>
      <c r="AF20" s="361"/>
      <c r="AG20" s="983">
        <f t="shared" si="10"/>
        <v>450</v>
      </c>
    </row>
    <row r="21" spans="1:33" ht="12.95" customHeight="1" x14ac:dyDescent="0.25">
      <c r="A21" s="563" t="s">
        <v>57</v>
      </c>
      <c r="B21" s="1115" t="s">
        <v>167</v>
      </c>
      <c r="C21" s="1128"/>
      <c r="D21" s="1056">
        <f t="shared" si="1"/>
        <v>360</v>
      </c>
      <c r="E21" s="360">
        <f t="shared" si="2"/>
        <v>0</v>
      </c>
      <c r="F21" s="983">
        <f t="shared" si="3"/>
        <v>360</v>
      </c>
      <c r="G21" s="1023">
        <v>360</v>
      </c>
      <c r="H21" s="361"/>
      <c r="I21" s="360">
        <f t="shared" si="4"/>
        <v>360</v>
      </c>
      <c r="J21" s="1024"/>
      <c r="K21" s="1024"/>
      <c r="L21" s="360">
        <f t="shared" si="5"/>
        <v>0</v>
      </c>
      <c r="M21" s="1024"/>
      <c r="N21" s="361"/>
      <c r="O21" s="360">
        <f t="shared" si="6"/>
        <v>0</v>
      </c>
      <c r="P21" s="361"/>
      <c r="Q21" s="361"/>
      <c r="R21" s="361"/>
      <c r="S21" s="361"/>
      <c r="T21" s="361"/>
      <c r="U21" s="361"/>
      <c r="V21" s="361"/>
      <c r="W21" s="361"/>
      <c r="X21" s="360">
        <f t="shared" si="7"/>
        <v>0</v>
      </c>
      <c r="Y21" s="361"/>
      <c r="Z21" s="361"/>
      <c r="AA21" s="360">
        <f t="shared" si="8"/>
        <v>0</v>
      </c>
      <c r="AB21" s="361"/>
      <c r="AC21" s="361"/>
      <c r="AD21" s="360">
        <f t="shared" si="9"/>
        <v>0</v>
      </c>
      <c r="AE21" s="361">
        <v>0</v>
      </c>
      <c r="AF21" s="361"/>
      <c r="AG21" s="983">
        <f t="shared" si="10"/>
        <v>0</v>
      </c>
    </row>
    <row r="22" spans="1:33" ht="12.95" customHeight="1" x14ac:dyDescent="0.25">
      <c r="A22" s="563" t="s">
        <v>59</v>
      </c>
      <c r="B22" s="1115" t="s">
        <v>58</v>
      </c>
      <c r="C22" s="1128"/>
      <c r="D22" s="1056">
        <f t="shared" si="1"/>
        <v>0</v>
      </c>
      <c r="E22" s="360">
        <f t="shared" si="2"/>
        <v>45</v>
      </c>
      <c r="F22" s="983">
        <f t="shared" si="3"/>
        <v>45</v>
      </c>
      <c r="G22" s="1023"/>
      <c r="H22" s="361">
        <v>45</v>
      </c>
      <c r="I22" s="360">
        <f t="shared" si="4"/>
        <v>45</v>
      </c>
      <c r="J22" s="1024"/>
      <c r="K22" s="1024"/>
      <c r="L22" s="360">
        <f t="shared" si="5"/>
        <v>0</v>
      </c>
      <c r="M22" s="1024"/>
      <c r="N22" s="361"/>
      <c r="O22" s="360">
        <f t="shared" si="6"/>
        <v>0</v>
      </c>
      <c r="P22" s="361"/>
      <c r="Q22" s="361"/>
      <c r="R22" s="361"/>
      <c r="S22" s="361"/>
      <c r="T22" s="361"/>
      <c r="U22" s="361"/>
      <c r="V22" s="361"/>
      <c r="W22" s="361"/>
      <c r="X22" s="360">
        <f t="shared" si="7"/>
        <v>0</v>
      </c>
      <c r="Y22" s="361"/>
      <c r="Z22" s="361"/>
      <c r="AA22" s="360">
        <f t="shared" si="8"/>
        <v>0</v>
      </c>
      <c r="AB22" s="361"/>
      <c r="AC22" s="361"/>
      <c r="AD22" s="360">
        <f t="shared" si="9"/>
        <v>0</v>
      </c>
      <c r="AE22" s="361">
        <v>0</v>
      </c>
      <c r="AF22" s="361"/>
      <c r="AG22" s="983">
        <f t="shared" si="10"/>
        <v>0</v>
      </c>
    </row>
    <row r="23" spans="1:33" ht="12.95" customHeight="1" x14ac:dyDescent="0.25">
      <c r="A23" s="563" t="s">
        <v>60</v>
      </c>
      <c r="B23" s="1115" t="s">
        <v>166</v>
      </c>
      <c r="C23" s="1128"/>
      <c r="D23" s="1056">
        <f t="shared" si="1"/>
        <v>1500</v>
      </c>
      <c r="E23" s="360">
        <f t="shared" si="2"/>
        <v>0</v>
      </c>
      <c r="F23" s="983">
        <f t="shared" si="3"/>
        <v>1500</v>
      </c>
      <c r="G23" s="1023">
        <v>1500</v>
      </c>
      <c r="H23" s="361"/>
      <c r="I23" s="360">
        <f t="shared" si="4"/>
        <v>1500</v>
      </c>
      <c r="J23" s="1024"/>
      <c r="K23" s="1024"/>
      <c r="L23" s="360">
        <f t="shared" si="5"/>
        <v>0</v>
      </c>
      <c r="M23" s="1024"/>
      <c r="N23" s="361"/>
      <c r="O23" s="360">
        <f t="shared" si="6"/>
        <v>0</v>
      </c>
      <c r="P23" s="361"/>
      <c r="Q23" s="361"/>
      <c r="R23" s="361"/>
      <c r="S23" s="361"/>
      <c r="T23" s="361"/>
      <c r="U23" s="361"/>
      <c r="V23" s="361"/>
      <c r="W23" s="361"/>
      <c r="X23" s="360">
        <f t="shared" si="7"/>
        <v>0</v>
      </c>
      <c r="Y23" s="361"/>
      <c r="Z23" s="361"/>
      <c r="AA23" s="360">
        <f t="shared" si="8"/>
        <v>0</v>
      </c>
      <c r="AB23" s="361"/>
      <c r="AC23" s="361"/>
      <c r="AD23" s="360">
        <f t="shared" si="9"/>
        <v>0</v>
      </c>
      <c r="AE23" s="361">
        <v>0</v>
      </c>
      <c r="AF23" s="361"/>
      <c r="AG23" s="983">
        <f t="shared" si="10"/>
        <v>0</v>
      </c>
    </row>
    <row r="24" spans="1:33" ht="12.95" customHeight="1" x14ac:dyDescent="0.25">
      <c r="A24" s="563" t="s">
        <v>63</v>
      </c>
      <c r="B24" s="1115" t="s">
        <v>62</v>
      </c>
      <c r="C24" s="1128"/>
      <c r="D24" s="1056">
        <f t="shared" si="1"/>
        <v>0</v>
      </c>
      <c r="E24" s="360">
        <f t="shared" si="2"/>
        <v>0</v>
      </c>
      <c r="F24" s="983">
        <f t="shared" si="3"/>
        <v>0</v>
      </c>
      <c r="G24" s="1023"/>
      <c r="H24" s="361"/>
      <c r="I24" s="360">
        <f t="shared" si="4"/>
        <v>0</v>
      </c>
      <c r="J24" s="1024"/>
      <c r="K24" s="1024"/>
      <c r="L24" s="360">
        <f t="shared" si="5"/>
        <v>0</v>
      </c>
      <c r="M24" s="1024"/>
      <c r="N24" s="361"/>
      <c r="O24" s="360">
        <f t="shared" si="6"/>
        <v>0</v>
      </c>
      <c r="P24" s="361"/>
      <c r="Q24" s="361"/>
      <c r="R24" s="361"/>
      <c r="S24" s="361"/>
      <c r="T24" s="361"/>
      <c r="U24" s="361"/>
      <c r="V24" s="361"/>
      <c r="W24" s="361"/>
      <c r="X24" s="360">
        <f t="shared" si="7"/>
        <v>0</v>
      </c>
      <c r="Y24" s="361"/>
      <c r="Z24" s="361"/>
      <c r="AA24" s="360">
        <f t="shared" si="8"/>
        <v>0</v>
      </c>
      <c r="AB24" s="361"/>
      <c r="AC24" s="361"/>
      <c r="AD24" s="360">
        <f t="shared" si="9"/>
        <v>0</v>
      </c>
      <c r="AE24" s="361">
        <v>0</v>
      </c>
      <c r="AF24" s="361"/>
      <c r="AG24" s="983">
        <f t="shared" si="10"/>
        <v>0</v>
      </c>
    </row>
    <row r="25" spans="1:33" ht="12.95" customHeight="1" x14ac:dyDescent="0.25">
      <c r="A25" s="563" t="s">
        <v>65</v>
      </c>
      <c r="B25" s="1115" t="s">
        <v>64</v>
      </c>
      <c r="C25" s="1128"/>
      <c r="D25" s="1056">
        <f t="shared" si="1"/>
        <v>10352</v>
      </c>
      <c r="E25" s="360">
        <f t="shared" si="2"/>
        <v>-414</v>
      </c>
      <c r="F25" s="983">
        <f t="shared" si="3"/>
        <v>9938</v>
      </c>
      <c r="G25" s="1023">
        <f>1472+464+840+300</f>
        <v>3076</v>
      </c>
      <c r="H25" s="361"/>
      <c r="I25" s="360">
        <f t="shared" si="4"/>
        <v>3076</v>
      </c>
      <c r="J25" s="1024">
        <v>330</v>
      </c>
      <c r="K25" s="1024"/>
      <c r="L25" s="360">
        <f t="shared" si="5"/>
        <v>330</v>
      </c>
      <c r="M25" s="1024"/>
      <c r="N25" s="361"/>
      <c r="O25" s="360">
        <f t="shared" si="6"/>
        <v>0</v>
      </c>
      <c r="P25" s="361"/>
      <c r="Q25" s="361"/>
      <c r="R25" s="361"/>
      <c r="S25" s="361"/>
      <c r="T25" s="361"/>
      <c r="U25" s="361"/>
      <c r="V25" s="361"/>
      <c r="W25" s="361"/>
      <c r="X25" s="360">
        <f t="shared" si="7"/>
        <v>0</v>
      </c>
      <c r="Y25" s="361">
        <v>3658</v>
      </c>
      <c r="Z25" s="361"/>
      <c r="AA25" s="360">
        <f t="shared" si="8"/>
        <v>3658</v>
      </c>
      <c r="AB25" s="361">
        <v>3088</v>
      </c>
      <c r="AC25" s="361">
        <f>-200-214</f>
        <v>-414</v>
      </c>
      <c r="AD25" s="360">
        <f t="shared" si="9"/>
        <v>2674</v>
      </c>
      <c r="AE25" s="361">
        <v>200</v>
      </c>
      <c r="AF25" s="361"/>
      <c r="AG25" s="983">
        <f t="shared" si="10"/>
        <v>200</v>
      </c>
    </row>
    <row r="26" spans="1:33" s="44" customFormat="1" ht="12.95" customHeight="1" x14ac:dyDescent="0.2">
      <c r="A26" s="560" t="s">
        <v>66</v>
      </c>
      <c r="B26" s="1119" t="s">
        <v>156</v>
      </c>
      <c r="C26" s="1132"/>
      <c r="D26" s="1056">
        <f t="shared" si="1"/>
        <v>69793</v>
      </c>
      <c r="E26" s="360">
        <f t="shared" si="2"/>
        <v>-369</v>
      </c>
      <c r="F26" s="983">
        <f t="shared" si="3"/>
        <v>69424</v>
      </c>
      <c r="G26" s="982">
        <f t="shared" ref="G26:AF26" si="17">+G25+G24+G23+G22+G21+G20+G19</f>
        <v>4936</v>
      </c>
      <c r="H26" s="360">
        <f t="shared" si="17"/>
        <v>45</v>
      </c>
      <c r="I26" s="360">
        <f t="shared" si="4"/>
        <v>4981</v>
      </c>
      <c r="J26" s="1025">
        <f t="shared" si="17"/>
        <v>42069</v>
      </c>
      <c r="K26" s="1025">
        <f t="shared" si="17"/>
        <v>0</v>
      </c>
      <c r="L26" s="360">
        <f t="shared" si="5"/>
        <v>42069</v>
      </c>
      <c r="M26" s="1025">
        <f t="shared" si="17"/>
        <v>15392</v>
      </c>
      <c r="N26" s="360">
        <f t="shared" si="17"/>
        <v>0</v>
      </c>
      <c r="O26" s="360">
        <f t="shared" si="6"/>
        <v>15392</v>
      </c>
      <c r="P26" s="360">
        <f t="shared" si="17"/>
        <v>0</v>
      </c>
      <c r="Q26" s="360">
        <f t="shared" si="17"/>
        <v>0</v>
      </c>
      <c r="R26" s="360">
        <f t="shared" si="17"/>
        <v>0</v>
      </c>
      <c r="S26" s="360">
        <f t="shared" si="17"/>
        <v>0</v>
      </c>
      <c r="T26" s="360">
        <f t="shared" si="17"/>
        <v>0</v>
      </c>
      <c r="U26" s="360">
        <f t="shared" si="17"/>
        <v>0</v>
      </c>
      <c r="V26" s="360">
        <f t="shared" si="17"/>
        <v>0</v>
      </c>
      <c r="W26" s="360">
        <f t="shared" si="17"/>
        <v>0</v>
      </c>
      <c r="X26" s="360">
        <f t="shared" si="7"/>
        <v>0</v>
      </c>
      <c r="Y26" s="360">
        <f t="shared" si="17"/>
        <v>3658</v>
      </c>
      <c r="Z26" s="360">
        <f t="shared" si="17"/>
        <v>0</v>
      </c>
      <c r="AA26" s="360">
        <f t="shared" si="8"/>
        <v>3658</v>
      </c>
      <c r="AB26" s="360">
        <f t="shared" si="17"/>
        <v>3088</v>
      </c>
      <c r="AC26" s="360">
        <f t="shared" si="17"/>
        <v>-414</v>
      </c>
      <c r="AD26" s="360">
        <f t="shared" si="9"/>
        <v>2674</v>
      </c>
      <c r="AE26" s="360">
        <v>650</v>
      </c>
      <c r="AF26" s="360">
        <f t="shared" si="17"/>
        <v>0</v>
      </c>
      <c r="AG26" s="983">
        <f t="shared" si="10"/>
        <v>650</v>
      </c>
    </row>
    <row r="27" spans="1:33" ht="12.95" customHeight="1" x14ac:dyDescent="0.25">
      <c r="A27" s="563" t="s">
        <v>68</v>
      </c>
      <c r="B27" s="1115" t="s">
        <v>67</v>
      </c>
      <c r="C27" s="1128"/>
      <c r="D27" s="1056">
        <f t="shared" si="1"/>
        <v>0</v>
      </c>
      <c r="E27" s="360">
        <f t="shared" si="2"/>
        <v>150</v>
      </c>
      <c r="F27" s="983">
        <f t="shared" si="3"/>
        <v>150</v>
      </c>
      <c r="G27" s="1023"/>
      <c r="H27" s="361"/>
      <c r="I27" s="360">
        <f t="shared" si="4"/>
        <v>0</v>
      </c>
      <c r="J27" s="1024"/>
      <c r="K27" s="1024"/>
      <c r="L27" s="360">
        <f t="shared" si="5"/>
        <v>0</v>
      </c>
      <c r="M27" s="1024"/>
      <c r="N27" s="361"/>
      <c r="O27" s="360">
        <f t="shared" si="6"/>
        <v>0</v>
      </c>
      <c r="P27" s="361"/>
      <c r="Q27" s="361"/>
      <c r="R27" s="361"/>
      <c r="S27" s="361"/>
      <c r="T27" s="361"/>
      <c r="U27" s="361"/>
      <c r="V27" s="361"/>
      <c r="W27" s="361"/>
      <c r="X27" s="360">
        <f t="shared" si="7"/>
        <v>0</v>
      </c>
      <c r="Y27" s="361"/>
      <c r="Z27" s="361"/>
      <c r="AA27" s="360">
        <f t="shared" si="8"/>
        <v>0</v>
      </c>
      <c r="AB27" s="361"/>
      <c r="AC27" s="361">
        <v>150</v>
      </c>
      <c r="AD27" s="360">
        <f t="shared" si="9"/>
        <v>150</v>
      </c>
      <c r="AE27" s="361">
        <v>0</v>
      </c>
      <c r="AF27" s="361"/>
      <c r="AG27" s="983">
        <f t="shared" si="10"/>
        <v>0</v>
      </c>
    </row>
    <row r="28" spans="1:33" ht="12.95" customHeight="1" x14ac:dyDescent="0.25">
      <c r="A28" s="563" t="s">
        <v>70</v>
      </c>
      <c r="B28" s="1115" t="s">
        <v>69</v>
      </c>
      <c r="C28" s="1128"/>
      <c r="D28" s="1056">
        <f t="shared" si="1"/>
        <v>22</v>
      </c>
      <c r="E28" s="360">
        <f t="shared" si="2"/>
        <v>0</v>
      </c>
      <c r="F28" s="983">
        <f t="shared" si="3"/>
        <v>22</v>
      </c>
      <c r="G28" s="1023"/>
      <c r="H28" s="361"/>
      <c r="I28" s="360">
        <f t="shared" si="4"/>
        <v>0</v>
      </c>
      <c r="J28" s="1024"/>
      <c r="K28" s="1024"/>
      <c r="L28" s="360">
        <f t="shared" si="5"/>
        <v>0</v>
      </c>
      <c r="M28" s="1024"/>
      <c r="N28" s="361"/>
      <c r="O28" s="360">
        <f t="shared" si="6"/>
        <v>0</v>
      </c>
      <c r="P28" s="361"/>
      <c r="Q28" s="361"/>
      <c r="R28" s="361"/>
      <c r="S28" s="361"/>
      <c r="T28" s="361"/>
      <c r="U28" s="361"/>
      <c r="V28" s="361"/>
      <c r="W28" s="361"/>
      <c r="X28" s="360">
        <f t="shared" si="7"/>
        <v>0</v>
      </c>
      <c r="Y28" s="361"/>
      <c r="Z28" s="361"/>
      <c r="AA28" s="360">
        <f t="shared" si="8"/>
        <v>0</v>
      </c>
      <c r="AB28" s="361">
        <v>22</v>
      </c>
      <c r="AC28" s="361"/>
      <c r="AD28" s="360">
        <f t="shared" si="9"/>
        <v>22</v>
      </c>
      <c r="AE28" s="361">
        <v>0</v>
      </c>
      <c r="AF28" s="361"/>
      <c r="AG28" s="983">
        <f t="shared" si="10"/>
        <v>0</v>
      </c>
    </row>
    <row r="29" spans="1:33" s="44" customFormat="1" ht="12.95" customHeight="1" x14ac:dyDescent="0.2">
      <c r="A29" s="560" t="s">
        <v>71</v>
      </c>
      <c r="B29" s="1119" t="s">
        <v>155</v>
      </c>
      <c r="C29" s="1132"/>
      <c r="D29" s="1056">
        <f t="shared" si="1"/>
        <v>22</v>
      </c>
      <c r="E29" s="360">
        <f t="shared" si="2"/>
        <v>150</v>
      </c>
      <c r="F29" s="983">
        <f t="shared" si="3"/>
        <v>172</v>
      </c>
      <c r="G29" s="982">
        <f t="shared" ref="G29:H29" si="18">+G27+G28</f>
        <v>0</v>
      </c>
      <c r="H29" s="360">
        <f t="shared" si="18"/>
        <v>0</v>
      </c>
      <c r="I29" s="360">
        <f t="shared" si="4"/>
        <v>0</v>
      </c>
      <c r="J29" s="1025"/>
      <c r="K29" s="1025"/>
      <c r="L29" s="360">
        <f t="shared" si="5"/>
        <v>0</v>
      </c>
      <c r="M29" s="1025">
        <f>+M27+M28</f>
        <v>0</v>
      </c>
      <c r="N29" s="360">
        <f>+N27+N28</f>
        <v>0</v>
      </c>
      <c r="O29" s="360">
        <f t="shared" si="6"/>
        <v>0</v>
      </c>
      <c r="P29" s="360">
        <f t="shared" ref="P29:AC29" si="19">+P27+P28</f>
        <v>0</v>
      </c>
      <c r="Q29" s="360">
        <f t="shared" si="19"/>
        <v>0</v>
      </c>
      <c r="R29" s="360">
        <f t="shared" si="19"/>
        <v>0</v>
      </c>
      <c r="S29" s="360">
        <f t="shared" si="19"/>
        <v>0</v>
      </c>
      <c r="T29" s="360">
        <f t="shared" si="19"/>
        <v>0</v>
      </c>
      <c r="U29" s="360">
        <f t="shared" si="19"/>
        <v>0</v>
      </c>
      <c r="V29" s="360">
        <f t="shared" si="19"/>
        <v>0</v>
      </c>
      <c r="W29" s="360">
        <f t="shared" si="19"/>
        <v>0</v>
      </c>
      <c r="X29" s="360">
        <f t="shared" si="7"/>
        <v>0</v>
      </c>
      <c r="Y29" s="360">
        <f t="shared" si="19"/>
        <v>0</v>
      </c>
      <c r="Z29" s="360">
        <f t="shared" si="19"/>
        <v>0</v>
      </c>
      <c r="AA29" s="360">
        <f t="shared" si="8"/>
        <v>0</v>
      </c>
      <c r="AB29" s="360">
        <f t="shared" si="19"/>
        <v>22</v>
      </c>
      <c r="AC29" s="360">
        <f t="shared" si="19"/>
        <v>150</v>
      </c>
      <c r="AD29" s="360">
        <f t="shared" si="9"/>
        <v>172</v>
      </c>
      <c r="AE29" s="360">
        <v>0</v>
      </c>
      <c r="AF29" s="360">
        <f>+AF27+AF28</f>
        <v>0</v>
      </c>
      <c r="AG29" s="983">
        <f t="shared" si="10"/>
        <v>0</v>
      </c>
    </row>
    <row r="30" spans="1:33" ht="12.95" customHeight="1" x14ac:dyDescent="0.25">
      <c r="A30" s="563" t="s">
        <v>73</v>
      </c>
      <c r="B30" s="1115" t="s">
        <v>72</v>
      </c>
      <c r="C30" s="1128"/>
      <c r="D30" s="1056">
        <f t="shared" si="1"/>
        <v>17540</v>
      </c>
      <c r="E30" s="360">
        <f t="shared" si="2"/>
        <v>0</v>
      </c>
      <c r="F30" s="983">
        <f t="shared" si="3"/>
        <v>17540</v>
      </c>
      <c r="G30" s="1026">
        <v>757</v>
      </c>
      <c r="H30" s="361"/>
      <c r="I30" s="360">
        <f t="shared" si="4"/>
        <v>757</v>
      </c>
      <c r="J30" s="367">
        <v>11270</v>
      </c>
      <c r="K30" s="1024"/>
      <c r="L30" s="360">
        <f t="shared" si="5"/>
        <v>11270</v>
      </c>
      <c r="M30" s="1024">
        <v>4156</v>
      </c>
      <c r="N30" s="361"/>
      <c r="O30" s="360">
        <f t="shared" si="6"/>
        <v>4156</v>
      </c>
      <c r="P30" s="1027"/>
      <c r="Q30" s="361"/>
      <c r="R30" s="361"/>
      <c r="S30" s="361"/>
      <c r="T30" s="361"/>
      <c r="U30" s="361"/>
      <c r="V30" s="361"/>
      <c r="W30" s="361"/>
      <c r="X30" s="360">
        <f t="shared" si="7"/>
        <v>0</v>
      </c>
      <c r="Y30" s="361">
        <v>175</v>
      </c>
      <c r="Z30" s="361"/>
      <c r="AA30" s="360">
        <f t="shared" si="8"/>
        <v>175</v>
      </c>
      <c r="AB30" s="361">
        <f>840+342</f>
        <v>1182</v>
      </c>
      <c r="AC30" s="361"/>
      <c r="AD30" s="360">
        <f t="shared" si="9"/>
        <v>1182</v>
      </c>
      <c r="AE30" s="361">
        <v>0</v>
      </c>
      <c r="AF30" s="361"/>
      <c r="AG30" s="983">
        <f t="shared" si="10"/>
        <v>0</v>
      </c>
    </row>
    <row r="31" spans="1:33" ht="12.95" customHeight="1" x14ac:dyDescent="0.25">
      <c r="A31" s="563" t="s">
        <v>75</v>
      </c>
      <c r="B31" s="1115" t="s">
        <v>74</v>
      </c>
      <c r="C31" s="1128"/>
      <c r="D31" s="1056">
        <f t="shared" si="1"/>
        <v>9617</v>
      </c>
      <c r="E31" s="360">
        <f t="shared" si="2"/>
        <v>3449</v>
      </c>
      <c r="F31" s="983">
        <f t="shared" si="3"/>
        <v>13066</v>
      </c>
      <c r="G31" s="1026">
        <f>405+405</f>
        <v>810</v>
      </c>
      <c r="H31" s="361">
        <v>3449</v>
      </c>
      <c r="I31" s="360">
        <f t="shared" si="4"/>
        <v>4259</v>
      </c>
      <c r="J31" s="1024">
        <v>3900</v>
      </c>
      <c r="K31" s="1024"/>
      <c r="L31" s="360">
        <f t="shared" si="5"/>
        <v>3900</v>
      </c>
      <c r="M31" s="1024">
        <v>681</v>
      </c>
      <c r="N31" s="361"/>
      <c r="O31" s="360">
        <f t="shared" si="6"/>
        <v>681</v>
      </c>
      <c r="P31" s="361"/>
      <c r="Q31" s="361"/>
      <c r="R31" s="361"/>
      <c r="S31" s="361"/>
      <c r="T31" s="361"/>
      <c r="U31" s="361"/>
      <c r="V31" s="361"/>
      <c r="W31" s="361"/>
      <c r="X31" s="360">
        <f t="shared" si="7"/>
        <v>0</v>
      </c>
      <c r="Y31" s="1027">
        <v>68</v>
      </c>
      <c r="Z31" s="361"/>
      <c r="AA31" s="360">
        <f t="shared" si="8"/>
        <v>68</v>
      </c>
      <c r="AB31" s="361"/>
      <c r="AC31" s="361"/>
      <c r="AD31" s="360">
        <f t="shared" si="9"/>
        <v>0</v>
      </c>
      <c r="AE31" s="1027">
        <v>4158</v>
      </c>
      <c r="AF31" s="361"/>
      <c r="AG31" s="983">
        <f t="shared" si="10"/>
        <v>4158</v>
      </c>
    </row>
    <row r="32" spans="1:33" ht="12.95" customHeight="1" x14ac:dyDescent="0.25">
      <c r="A32" s="563" t="s">
        <v>76</v>
      </c>
      <c r="B32" s="1115" t="s">
        <v>154</v>
      </c>
      <c r="C32" s="1128"/>
      <c r="D32" s="1056">
        <f t="shared" si="1"/>
        <v>0</v>
      </c>
      <c r="E32" s="360">
        <f t="shared" si="2"/>
        <v>0</v>
      </c>
      <c r="F32" s="983">
        <f t="shared" si="3"/>
        <v>0</v>
      </c>
      <c r="G32" s="1023"/>
      <c r="H32" s="361"/>
      <c r="I32" s="360">
        <f t="shared" si="4"/>
        <v>0</v>
      </c>
      <c r="J32" s="1024"/>
      <c r="K32" s="1024"/>
      <c r="L32" s="360">
        <f t="shared" si="5"/>
        <v>0</v>
      </c>
      <c r="M32" s="1024"/>
      <c r="N32" s="361"/>
      <c r="O32" s="360">
        <f t="shared" si="6"/>
        <v>0</v>
      </c>
      <c r="P32" s="361"/>
      <c r="Q32" s="361"/>
      <c r="R32" s="361"/>
      <c r="S32" s="361"/>
      <c r="T32" s="361"/>
      <c r="U32" s="361"/>
      <c r="V32" s="361"/>
      <c r="W32" s="361"/>
      <c r="X32" s="360">
        <f t="shared" si="7"/>
        <v>0</v>
      </c>
      <c r="Y32" s="361"/>
      <c r="Z32" s="361"/>
      <c r="AA32" s="360">
        <f t="shared" si="8"/>
        <v>0</v>
      </c>
      <c r="AB32" s="361"/>
      <c r="AC32" s="361"/>
      <c r="AD32" s="360">
        <f t="shared" si="9"/>
        <v>0</v>
      </c>
      <c r="AE32" s="361">
        <v>0</v>
      </c>
      <c r="AF32" s="361"/>
      <c r="AG32" s="983">
        <f t="shared" si="10"/>
        <v>0</v>
      </c>
    </row>
    <row r="33" spans="1:33" ht="12.95" customHeight="1" x14ac:dyDescent="0.25">
      <c r="A33" s="563" t="s">
        <v>77</v>
      </c>
      <c r="B33" s="1115" t="s">
        <v>153</v>
      </c>
      <c r="C33" s="1128"/>
      <c r="D33" s="1056">
        <f t="shared" si="1"/>
        <v>0</v>
      </c>
      <c r="E33" s="360">
        <f t="shared" si="2"/>
        <v>0</v>
      </c>
      <c r="F33" s="983">
        <f t="shared" si="3"/>
        <v>0</v>
      </c>
      <c r="G33" s="1023"/>
      <c r="H33" s="361"/>
      <c r="I33" s="360">
        <f t="shared" si="4"/>
        <v>0</v>
      </c>
      <c r="J33" s="361"/>
      <c r="K33" s="361"/>
      <c r="L33" s="360">
        <f t="shared" si="5"/>
        <v>0</v>
      </c>
      <c r="M33" s="361"/>
      <c r="N33" s="361"/>
      <c r="O33" s="360">
        <f t="shared" si="6"/>
        <v>0</v>
      </c>
      <c r="P33" s="361"/>
      <c r="Q33" s="361"/>
      <c r="R33" s="361"/>
      <c r="S33" s="361"/>
      <c r="T33" s="361"/>
      <c r="U33" s="361"/>
      <c r="V33" s="361"/>
      <c r="W33" s="361"/>
      <c r="X33" s="360">
        <f t="shared" si="7"/>
        <v>0</v>
      </c>
      <c r="Y33" s="361"/>
      <c r="Z33" s="361"/>
      <c r="AA33" s="360">
        <f t="shared" si="8"/>
        <v>0</v>
      </c>
      <c r="AB33" s="361"/>
      <c r="AC33" s="361"/>
      <c r="AD33" s="360">
        <f t="shared" si="9"/>
        <v>0</v>
      </c>
      <c r="AE33" s="361">
        <v>0</v>
      </c>
      <c r="AF33" s="361"/>
      <c r="AG33" s="983">
        <f t="shared" si="10"/>
        <v>0</v>
      </c>
    </row>
    <row r="34" spans="1:33" ht="12.95" customHeight="1" x14ac:dyDescent="0.25">
      <c r="A34" s="563" t="s">
        <v>79</v>
      </c>
      <c r="B34" s="1115" t="s">
        <v>78</v>
      </c>
      <c r="C34" s="1128"/>
      <c r="D34" s="1056">
        <f t="shared" si="1"/>
        <v>200</v>
      </c>
      <c r="E34" s="360">
        <f t="shared" si="2"/>
        <v>309</v>
      </c>
      <c r="F34" s="983">
        <f t="shared" si="3"/>
        <v>509</v>
      </c>
      <c r="G34" s="1023"/>
      <c r="H34" s="361"/>
      <c r="I34" s="360">
        <f t="shared" si="4"/>
        <v>0</v>
      </c>
      <c r="J34" s="361"/>
      <c r="K34" s="361"/>
      <c r="L34" s="360">
        <f t="shared" si="5"/>
        <v>0</v>
      </c>
      <c r="M34" s="361"/>
      <c r="N34" s="361"/>
      <c r="O34" s="360">
        <f t="shared" si="6"/>
        <v>0</v>
      </c>
      <c r="P34" s="361"/>
      <c r="Q34" s="361"/>
      <c r="R34" s="361"/>
      <c r="S34" s="361"/>
      <c r="T34" s="361"/>
      <c r="U34" s="361"/>
      <c r="V34" s="361">
        <v>200</v>
      </c>
      <c r="W34" s="361">
        <v>309</v>
      </c>
      <c r="X34" s="360">
        <f t="shared" si="7"/>
        <v>509</v>
      </c>
      <c r="Y34" s="361"/>
      <c r="Z34" s="361"/>
      <c r="AA34" s="360">
        <f t="shared" si="8"/>
        <v>0</v>
      </c>
      <c r="AB34" s="361"/>
      <c r="AC34" s="361"/>
      <c r="AD34" s="360">
        <f t="shared" si="9"/>
        <v>0</v>
      </c>
      <c r="AE34" s="361">
        <v>0</v>
      </c>
      <c r="AF34" s="361"/>
      <c r="AG34" s="983">
        <f t="shared" si="10"/>
        <v>0</v>
      </c>
    </row>
    <row r="35" spans="1:33" s="44" customFormat="1" ht="12.95" customHeight="1" x14ac:dyDescent="0.2">
      <c r="A35" s="560" t="s">
        <v>80</v>
      </c>
      <c r="B35" s="1119" t="s">
        <v>152</v>
      </c>
      <c r="C35" s="1132"/>
      <c r="D35" s="1056">
        <f t="shared" si="1"/>
        <v>27357</v>
      </c>
      <c r="E35" s="360">
        <f t="shared" si="2"/>
        <v>3758</v>
      </c>
      <c r="F35" s="983">
        <f t="shared" si="3"/>
        <v>31115</v>
      </c>
      <c r="G35" s="982">
        <f t="shared" ref="G35:M35" si="20">SUM(G30:G34)</f>
        <v>1567</v>
      </c>
      <c r="H35" s="360">
        <f t="shared" si="20"/>
        <v>3449</v>
      </c>
      <c r="I35" s="360">
        <f t="shared" si="4"/>
        <v>5016</v>
      </c>
      <c r="J35" s="360">
        <f t="shared" si="20"/>
        <v>15170</v>
      </c>
      <c r="K35" s="360">
        <f t="shared" si="20"/>
        <v>0</v>
      </c>
      <c r="L35" s="360">
        <f t="shared" si="5"/>
        <v>15170</v>
      </c>
      <c r="M35" s="360">
        <f t="shared" si="20"/>
        <v>4837</v>
      </c>
      <c r="N35" s="360">
        <f>SUM(N30:N34)</f>
        <v>0</v>
      </c>
      <c r="O35" s="360">
        <f t="shared" si="6"/>
        <v>4837</v>
      </c>
      <c r="P35" s="360">
        <f t="shared" ref="P35:Z35" si="21">SUM(P30:P34)</f>
        <v>0</v>
      </c>
      <c r="Q35" s="360">
        <f t="shared" si="21"/>
        <v>0</v>
      </c>
      <c r="R35" s="360">
        <f t="shared" si="21"/>
        <v>0</v>
      </c>
      <c r="S35" s="360">
        <f t="shared" si="21"/>
        <v>0</v>
      </c>
      <c r="T35" s="360">
        <f t="shared" si="21"/>
        <v>0</v>
      </c>
      <c r="U35" s="360">
        <f t="shared" si="21"/>
        <v>0</v>
      </c>
      <c r="V35" s="360">
        <f t="shared" si="21"/>
        <v>200</v>
      </c>
      <c r="W35" s="360">
        <f t="shared" si="21"/>
        <v>309</v>
      </c>
      <c r="X35" s="360">
        <f t="shared" si="7"/>
        <v>509</v>
      </c>
      <c r="Y35" s="360">
        <f t="shared" si="21"/>
        <v>243</v>
      </c>
      <c r="Z35" s="360">
        <f t="shared" si="21"/>
        <v>0</v>
      </c>
      <c r="AA35" s="360">
        <f t="shared" si="8"/>
        <v>243</v>
      </c>
      <c r="AB35" s="360">
        <f t="shared" ref="AB35:AC35" si="22">SUM(AB30:AB34)</f>
        <v>1182</v>
      </c>
      <c r="AC35" s="360">
        <f t="shared" si="22"/>
        <v>0</v>
      </c>
      <c r="AD35" s="360">
        <f t="shared" si="9"/>
        <v>1182</v>
      </c>
      <c r="AE35" s="360">
        <v>4158</v>
      </c>
      <c r="AF35" s="360">
        <f>SUM(AF30:AF34)</f>
        <v>0</v>
      </c>
      <c r="AG35" s="983">
        <f t="shared" si="10"/>
        <v>4158</v>
      </c>
    </row>
    <row r="36" spans="1:33" s="44" customFormat="1" ht="12.95" customHeight="1" x14ac:dyDescent="0.2">
      <c r="A36" s="560" t="s">
        <v>81</v>
      </c>
      <c r="B36" s="1119" t="s">
        <v>151</v>
      </c>
      <c r="C36" s="1132"/>
      <c r="D36" s="1056">
        <f t="shared" si="1"/>
        <v>101820</v>
      </c>
      <c r="E36" s="360">
        <f t="shared" si="2"/>
        <v>3539</v>
      </c>
      <c r="F36" s="983">
        <f t="shared" si="3"/>
        <v>105359</v>
      </c>
      <c r="G36" s="982">
        <f>+G35+G29+G26+G18+G15</f>
        <v>9883</v>
      </c>
      <c r="H36" s="360">
        <f t="shared" ref="H36:AF36" si="23">+H35+H29+H26+H18+H15</f>
        <v>3494</v>
      </c>
      <c r="I36" s="360">
        <f t="shared" si="4"/>
        <v>13377</v>
      </c>
      <c r="J36" s="360">
        <f t="shared" si="23"/>
        <v>57239</v>
      </c>
      <c r="K36" s="360">
        <f t="shared" si="23"/>
        <v>0</v>
      </c>
      <c r="L36" s="360">
        <f t="shared" si="5"/>
        <v>57239</v>
      </c>
      <c r="M36" s="360">
        <f t="shared" si="23"/>
        <v>20229</v>
      </c>
      <c r="N36" s="360">
        <f t="shared" si="23"/>
        <v>0</v>
      </c>
      <c r="O36" s="360">
        <f t="shared" si="6"/>
        <v>20229</v>
      </c>
      <c r="P36" s="360">
        <f t="shared" si="23"/>
        <v>0</v>
      </c>
      <c r="Q36" s="360">
        <f t="shared" si="23"/>
        <v>0</v>
      </c>
      <c r="R36" s="360">
        <f t="shared" si="23"/>
        <v>0</v>
      </c>
      <c r="S36" s="360">
        <f t="shared" si="23"/>
        <v>0</v>
      </c>
      <c r="T36" s="360">
        <f t="shared" si="23"/>
        <v>0</v>
      </c>
      <c r="U36" s="360">
        <f t="shared" si="23"/>
        <v>0</v>
      </c>
      <c r="V36" s="360">
        <f t="shared" si="23"/>
        <v>200</v>
      </c>
      <c r="W36" s="360">
        <f t="shared" si="23"/>
        <v>309</v>
      </c>
      <c r="X36" s="360">
        <f t="shared" si="7"/>
        <v>509</v>
      </c>
      <c r="Y36" s="360">
        <f t="shared" si="23"/>
        <v>3901</v>
      </c>
      <c r="Z36" s="360">
        <f t="shared" si="23"/>
        <v>0</v>
      </c>
      <c r="AA36" s="360">
        <f t="shared" si="8"/>
        <v>3901</v>
      </c>
      <c r="AB36" s="360">
        <f t="shared" ref="AB36:AC36" si="24">+AB35+AB29+AB26+AB18+AB15</f>
        <v>5560</v>
      </c>
      <c r="AC36" s="360">
        <f t="shared" si="24"/>
        <v>-264</v>
      </c>
      <c r="AD36" s="360">
        <f t="shared" si="9"/>
        <v>5296</v>
      </c>
      <c r="AE36" s="360">
        <v>4808</v>
      </c>
      <c r="AF36" s="360">
        <f t="shared" si="23"/>
        <v>0</v>
      </c>
      <c r="AG36" s="983">
        <f t="shared" si="10"/>
        <v>4808</v>
      </c>
    </row>
    <row r="37" spans="1:33" ht="8.25" customHeight="1" x14ac:dyDescent="0.25">
      <c r="A37" s="562"/>
      <c r="B37" s="1044"/>
      <c r="C37" s="1044"/>
      <c r="D37" s="1057"/>
      <c r="E37" s="1021"/>
      <c r="F37" s="1022"/>
      <c r="G37" s="772"/>
      <c r="H37" s="772"/>
      <c r="I37" s="1021"/>
      <c r="J37" s="772"/>
      <c r="K37" s="772"/>
      <c r="L37" s="1021"/>
      <c r="M37" s="772"/>
      <c r="N37" s="772"/>
      <c r="O37" s="1021"/>
      <c r="P37" s="772"/>
      <c r="Q37" s="772"/>
      <c r="R37" s="772"/>
      <c r="S37" s="772"/>
      <c r="T37" s="772"/>
      <c r="U37" s="772"/>
      <c r="V37" s="772"/>
      <c r="W37" s="772"/>
      <c r="X37" s="1021"/>
      <c r="Y37" s="772"/>
      <c r="Z37" s="772"/>
      <c r="AA37" s="1021"/>
      <c r="AB37" s="772"/>
      <c r="AC37" s="772"/>
      <c r="AD37" s="1021"/>
      <c r="AE37" s="772"/>
      <c r="AF37" s="772"/>
      <c r="AG37" s="1022"/>
    </row>
    <row r="38" spans="1:33" ht="12.95" hidden="1" customHeight="1" x14ac:dyDescent="0.25">
      <c r="A38" s="102" t="s">
        <v>83</v>
      </c>
      <c r="B38" s="1133" t="s">
        <v>82</v>
      </c>
      <c r="C38" s="1133"/>
      <c r="D38" s="1057">
        <f t="shared" si="1"/>
        <v>0</v>
      </c>
      <c r="E38" s="1021">
        <f t="shared" si="2"/>
        <v>0</v>
      </c>
      <c r="F38" s="1022">
        <f t="shared" si="3"/>
        <v>0</v>
      </c>
      <c r="G38" s="772"/>
      <c r="H38" s="772"/>
      <c r="I38" s="1021">
        <f t="shared" si="4"/>
        <v>0</v>
      </c>
      <c r="J38" s="772"/>
      <c r="K38" s="772"/>
      <c r="L38" s="1021">
        <f t="shared" si="5"/>
        <v>0</v>
      </c>
      <c r="M38" s="772"/>
      <c r="N38" s="772"/>
      <c r="O38" s="1021">
        <f t="shared" si="6"/>
        <v>0</v>
      </c>
      <c r="P38" s="772"/>
      <c r="Q38" s="772"/>
      <c r="R38" s="772"/>
      <c r="S38" s="772"/>
      <c r="T38" s="772"/>
      <c r="U38" s="772"/>
      <c r="V38" s="772"/>
      <c r="W38" s="772"/>
      <c r="X38" s="1021">
        <f t="shared" si="7"/>
        <v>0</v>
      </c>
      <c r="Y38" s="772"/>
      <c r="Z38" s="772"/>
      <c r="AA38" s="1021">
        <f t="shared" si="8"/>
        <v>0</v>
      </c>
      <c r="AB38" s="772"/>
      <c r="AC38" s="772"/>
      <c r="AD38" s="1021">
        <f t="shared" si="9"/>
        <v>0</v>
      </c>
      <c r="AE38" s="772">
        <v>0</v>
      </c>
      <c r="AF38" s="772"/>
      <c r="AG38" s="1022">
        <f t="shared" si="10"/>
        <v>0</v>
      </c>
    </row>
    <row r="39" spans="1:33" ht="12.95" hidden="1" customHeight="1" x14ac:dyDescent="0.25">
      <c r="A39" s="917" t="s">
        <v>84</v>
      </c>
      <c r="B39" s="1133" t="s">
        <v>136</v>
      </c>
      <c r="C39" s="1133"/>
      <c r="D39" s="1057">
        <f t="shared" si="1"/>
        <v>0</v>
      </c>
      <c r="E39" s="1021">
        <f t="shared" si="2"/>
        <v>0</v>
      </c>
      <c r="F39" s="1022">
        <f t="shared" si="3"/>
        <v>0</v>
      </c>
      <c r="G39" s="772"/>
      <c r="H39" s="772"/>
      <c r="I39" s="1021">
        <f t="shared" si="4"/>
        <v>0</v>
      </c>
      <c r="J39" s="772"/>
      <c r="K39" s="772"/>
      <c r="L39" s="1021">
        <f t="shared" si="5"/>
        <v>0</v>
      </c>
      <c r="M39" s="772"/>
      <c r="N39" s="772"/>
      <c r="O39" s="1021">
        <f t="shared" si="6"/>
        <v>0</v>
      </c>
      <c r="P39" s="772"/>
      <c r="Q39" s="772"/>
      <c r="R39" s="772"/>
      <c r="S39" s="772"/>
      <c r="T39" s="772"/>
      <c r="U39" s="772"/>
      <c r="V39" s="772"/>
      <c r="W39" s="772"/>
      <c r="X39" s="1021">
        <f t="shared" si="7"/>
        <v>0</v>
      </c>
      <c r="Y39" s="772"/>
      <c r="Z39" s="772"/>
      <c r="AA39" s="1021">
        <f t="shared" si="8"/>
        <v>0</v>
      </c>
      <c r="AB39" s="772"/>
      <c r="AC39" s="772"/>
      <c r="AD39" s="1021">
        <f t="shared" si="9"/>
        <v>0</v>
      </c>
      <c r="AE39" s="772">
        <v>0</v>
      </c>
      <c r="AF39" s="772"/>
      <c r="AG39" s="1022">
        <f t="shared" si="10"/>
        <v>0</v>
      </c>
    </row>
    <row r="40" spans="1:33" s="40" customFormat="1" ht="12.95" hidden="1" customHeight="1" x14ac:dyDescent="0.2">
      <c r="A40" s="918" t="s">
        <v>84</v>
      </c>
      <c r="B40" s="915"/>
      <c r="C40" s="1052" t="s">
        <v>138</v>
      </c>
      <c r="D40" s="1057">
        <f t="shared" si="1"/>
        <v>0</v>
      </c>
      <c r="E40" s="1021">
        <f t="shared" si="2"/>
        <v>0</v>
      </c>
      <c r="F40" s="1022">
        <f t="shared" si="3"/>
        <v>0</v>
      </c>
      <c r="G40" s="1028"/>
      <c r="H40" s="1028"/>
      <c r="I40" s="1021">
        <f t="shared" si="4"/>
        <v>0</v>
      </c>
      <c r="J40" s="1028"/>
      <c r="K40" s="1028"/>
      <c r="L40" s="1021">
        <f t="shared" si="5"/>
        <v>0</v>
      </c>
      <c r="M40" s="1028"/>
      <c r="N40" s="1028"/>
      <c r="O40" s="1021">
        <f t="shared" si="6"/>
        <v>0</v>
      </c>
      <c r="P40" s="1028"/>
      <c r="Q40" s="1028"/>
      <c r="R40" s="1028"/>
      <c r="S40" s="1028"/>
      <c r="T40" s="1028"/>
      <c r="U40" s="1028"/>
      <c r="V40" s="1028"/>
      <c r="W40" s="1028"/>
      <c r="X40" s="1021">
        <f t="shared" si="7"/>
        <v>0</v>
      </c>
      <c r="Y40" s="1028"/>
      <c r="Z40" s="1028"/>
      <c r="AA40" s="1021">
        <f t="shared" si="8"/>
        <v>0</v>
      </c>
      <c r="AB40" s="1028"/>
      <c r="AC40" s="1028"/>
      <c r="AD40" s="1021">
        <f t="shared" si="9"/>
        <v>0</v>
      </c>
      <c r="AE40" s="1028">
        <v>0</v>
      </c>
      <c r="AF40" s="1028"/>
      <c r="AG40" s="1022">
        <f t="shared" si="10"/>
        <v>0</v>
      </c>
    </row>
    <row r="41" spans="1:33" ht="12.95" hidden="1" customHeight="1" x14ac:dyDescent="0.25">
      <c r="A41" s="102" t="s">
        <v>86</v>
      </c>
      <c r="B41" s="1133" t="s">
        <v>85</v>
      </c>
      <c r="C41" s="1133"/>
      <c r="D41" s="1057">
        <f t="shared" si="1"/>
        <v>0</v>
      </c>
      <c r="E41" s="1021">
        <f t="shared" si="2"/>
        <v>0</v>
      </c>
      <c r="F41" s="1022">
        <f t="shared" si="3"/>
        <v>0</v>
      </c>
      <c r="G41" s="772"/>
      <c r="H41" s="772"/>
      <c r="I41" s="1021">
        <f t="shared" si="4"/>
        <v>0</v>
      </c>
      <c r="J41" s="772"/>
      <c r="K41" s="772"/>
      <c r="L41" s="1021">
        <f t="shared" si="5"/>
        <v>0</v>
      </c>
      <c r="M41" s="772"/>
      <c r="N41" s="772"/>
      <c r="O41" s="1021">
        <f t="shared" si="6"/>
        <v>0</v>
      </c>
      <c r="P41" s="772"/>
      <c r="Q41" s="772"/>
      <c r="R41" s="772"/>
      <c r="S41" s="772"/>
      <c r="T41" s="772"/>
      <c r="U41" s="772"/>
      <c r="V41" s="772"/>
      <c r="W41" s="772"/>
      <c r="X41" s="1021">
        <f t="shared" si="7"/>
        <v>0</v>
      </c>
      <c r="Y41" s="772"/>
      <c r="Z41" s="772"/>
      <c r="AA41" s="1021">
        <f t="shared" si="8"/>
        <v>0</v>
      </c>
      <c r="AB41" s="772"/>
      <c r="AC41" s="772"/>
      <c r="AD41" s="1021">
        <f t="shared" si="9"/>
        <v>0</v>
      </c>
      <c r="AE41" s="772">
        <v>0</v>
      </c>
      <c r="AF41" s="772"/>
      <c r="AG41" s="1022">
        <f t="shared" si="10"/>
        <v>0</v>
      </c>
    </row>
    <row r="42" spans="1:33" ht="12.95" hidden="1" customHeight="1" x14ac:dyDescent="0.25">
      <c r="A42" s="917" t="s">
        <v>87</v>
      </c>
      <c r="B42" s="1133" t="s">
        <v>139</v>
      </c>
      <c r="C42" s="1133"/>
      <c r="D42" s="1057">
        <f t="shared" si="1"/>
        <v>0</v>
      </c>
      <c r="E42" s="1021">
        <f t="shared" si="2"/>
        <v>0</v>
      </c>
      <c r="F42" s="1022">
        <f t="shared" si="3"/>
        <v>0</v>
      </c>
      <c r="G42" s="772"/>
      <c r="H42" s="772"/>
      <c r="I42" s="1021">
        <f t="shared" si="4"/>
        <v>0</v>
      </c>
      <c r="J42" s="772"/>
      <c r="K42" s="772"/>
      <c r="L42" s="1021">
        <f t="shared" si="5"/>
        <v>0</v>
      </c>
      <c r="M42" s="772"/>
      <c r="N42" s="772"/>
      <c r="O42" s="1021">
        <f t="shared" si="6"/>
        <v>0</v>
      </c>
      <c r="P42" s="772"/>
      <c r="Q42" s="772"/>
      <c r="R42" s="772"/>
      <c r="S42" s="772"/>
      <c r="T42" s="772"/>
      <c r="U42" s="772"/>
      <c r="V42" s="772"/>
      <c r="W42" s="772"/>
      <c r="X42" s="1021">
        <f t="shared" si="7"/>
        <v>0</v>
      </c>
      <c r="Y42" s="772"/>
      <c r="Z42" s="772"/>
      <c r="AA42" s="1021">
        <f t="shared" si="8"/>
        <v>0</v>
      </c>
      <c r="AB42" s="772"/>
      <c r="AC42" s="772"/>
      <c r="AD42" s="1021">
        <f t="shared" si="9"/>
        <v>0</v>
      </c>
      <c r="AE42" s="772">
        <v>0</v>
      </c>
      <c r="AF42" s="772"/>
      <c r="AG42" s="1022">
        <f t="shared" si="10"/>
        <v>0</v>
      </c>
    </row>
    <row r="43" spans="1:33" s="40" customFormat="1" ht="12.95" hidden="1" customHeight="1" x14ac:dyDescent="0.2">
      <c r="A43" s="918" t="s">
        <v>87</v>
      </c>
      <c r="B43" s="915"/>
      <c r="C43" s="1053" t="s">
        <v>88</v>
      </c>
      <c r="D43" s="1057">
        <f t="shared" si="1"/>
        <v>0</v>
      </c>
      <c r="E43" s="1021">
        <f t="shared" si="2"/>
        <v>0</v>
      </c>
      <c r="F43" s="1022">
        <f t="shared" si="3"/>
        <v>0</v>
      </c>
      <c r="G43" s="1028"/>
      <c r="H43" s="1028"/>
      <c r="I43" s="1021">
        <f t="shared" si="4"/>
        <v>0</v>
      </c>
      <c r="J43" s="1028"/>
      <c r="K43" s="1028"/>
      <c r="L43" s="1021">
        <f t="shared" si="5"/>
        <v>0</v>
      </c>
      <c r="M43" s="1028"/>
      <c r="N43" s="1028"/>
      <c r="O43" s="1021">
        <f t="shared" si="6"/>
        <v>0</v>
      </c>
      <c r="P43" s="1028"/>
      <c r="Q43" s="1028"/>
      <c r="R43" s="1028"/>
      <c r="S43" s="1028"/>
      <c r="T43" s="1028"/>
      <c r="U43" s="1028"/>
      <c r="V43" s="1028"/>
      <c r="W43" s="1028"/>
      <c r="X43" s="1021">
        <f t="shared" si="7"/>
        <v>0</v>
      </c>
      <c r="Y43" s="1028"/>
      <c r="Z43" s="1028"/>
      <c r="AA43" s="1021">
        <f t="shared" si="8"/>
        <v>0</v>
      </c>
      <c r="AB43" s="1028"/>
      <c r="AC43" s="1028"/>
      <c r="AD43" s="1021">
        <f t="shared" si="9"/>
        <v>0</v>
      </c>
      <c r="AE43" s="1028">
        <v>0</v>
      </c>
      <c r="AF43" s="1028"/>
      <c r="AG43" s="1022">
        <f t="shared" si="10"/>
        <v>0</v>
      </c>
    </row>
    <row r="44" spans="1:33" s="40" customFormat="1" ht="12.95" hidden="1" customHeight="1" x14ac:dyDescent="0.2">
      <c r="A44" s="918" t="s">
        <v>87</v>
      </c>
      <c r="B44" s="915"/>
      <c r="C44" s="1052" t="s">
        <v>140</v>
      </c>
      <c r="D44" s="1057">
        <f t="shared" si="1"/>
        <v>0</v>
      </c>
      <c r="E44" s="1021">
        <f t="shared" si="2"/>
        <v>0</v>
      </c>
      <c r="F44" s="1022">
        <f t="shared" si="3"/>
        <v>0</v>
      </c>
      <c r="G44" s="1028"/>
      <c r="H44" s="1028"/>
      <c r="I44" s="1021">
        <f t="shared" si="4"/>
        <v>0</v>
      </c>
      <c r="J44" s="1028"/>
      <c r="K44" s="1028"/>
      <c r="L44" s="1021">
        <f t="shared" si="5"/>
        <v>0</v>
      </c>
      <c r="M44" s="1028"/>
      <c r="N44" s="1028"/>
      <c r="O44" s="1021">
        <f t="shared" si="6"/>
        <v>0</v>
      </c>
      <c r="P44" s="1028"/>
      <c r="Q44" s="1028"/>
      <c r="R44" s="1028"/>
      <c r="S44" s="1028"/>
      <c r="T44" s="1028"/>
      <c r="U44" s="1028"/>
      <c r="V44" s="1028"/>
      <c r="W44" s="1028"/>
      <c r="X44" s="1021">
        <f t="shared" si="7"/>
        <v>0</v>
      </c>
      <c r="Y44" s="1028"/>
      <c r="Z44" s="1028"/>
      <c r="AA44" s="1021">
        <f t="shared" si="8"/>
        <v>0</v>
      </c>
      <c r="AB44" s="1028"/>
      <c r="AC44" s="1028"/>
      <c r="AD44" s="1021">
        <f t="shared" si="9"/>
        <v>0</v>
      </c>
      <c r="AE44" s="1028">
        <v>0</v>
      </c>
      <c r="AF44" s="1028"/>
      <c r="AG44" s="1022">
        <f t="shared" si="10"/>
        <v>0</v>
      </c>
    </row>
    <row r="45" spans="1:33" ht="12.95" hidden="1" customHeight="1" x14ac:dyDescent="0.25">
      <c r="A45" s="917" t="s">
        <v>89</v>
      </c>
      <c r="B45" s="1152" t="s">
        <v>141</v>
      </c>
      <c r="C45" s="1152"/>
      <c r="D45" s="1057">
        <f t="shared" si="1"/>
        <v>0</v>
      </c>
      <c r="E45" s="1021">
        <f t="shared" si="2"/>
        <v>0</v>
      </c>
      <c r="F45" s="1022">
        <f t="shared" si="3"/>
        <v>0</v>
      </c>
      <c r="G45" s="772"/>
      <c r="H45" s="772"/>
      <c r="I45" s="1021">
        <f t="shared" si="4"/>
        <v>0</v>
      </c>
      <c r="J45" s="772"/>
      <c r="K45" s="772"/>
      <c r="L45" s="1021">
        <f t="shared" si="5"/>
        <v>0</v>
      </c>
      <c r="M45" s="772"/>
      <c r="N45" s="772"/>
      <c r="O45" s="1021">
        <f t="shared" si="6"/>
        <v>0</v>
      </c>
      <c r="P45" s="772"/>
      <c r="Q45" s="772"/>
      <c r="R45" s="772"/>
      <c r="S45" s="772"/>
      <c r="T45" s="772"/>
      <c r="U45" s="772"/>
      <c r="V45" s="772"/>
      <c r="W45" s="772"/>
      <c r="X45" s="1021">
        <f t="shared" si="7"/>
        <v>0</v>
      </c>
      <c r="Y45" s="772"/>
      <c r="Z45" s="772"/>
      <c r="AA45" s="1021">
        <f t="shared" si="8"/>
        <v>0</v>
      </c>
      <c r="AB45" s="772"/>
      <c r="AC45" s="772"/>
      <c r="AD45" s="1021">
        <f t="shared" si="9"/>
        <v>0</v>
      </c>
      <c r="AE45" s="772">
        <v>0</v>
      </c>
      <c r="AF45" s="772"/>
      <c r="AG45" s="1022">
        <f t="shared" si="10"/>
        <v>0</v>
      </c>
    </row>
    <row r="46" spans="1:33" s="40" customFormat="1" ht="12.95" hidden="1" customHeight="1" x14ac:dyDescent="0.2">
      <c r="A46" s="918" t="s">
        <v>89</v>
      </c>
      <c r="B46" s="915"/>
      <c r="C46" s="1052" t="s">
        <v>142</v>
      </c>
      <c r="D46" s="1057">
        <f t="shared" si="1"/>
        <v>0</v>
      </c>
      <c r="E46" s="1021">
        <f t="shared" si="2"/>
        <v>0</v>
      </c>
      <c r="F46" s="1022">
        <f t="shared" si="3"/>
        <v>0</v>
      </c>
      <c r="G46" s="1028"/>
      <c r="H46" s="1028"/>
      <c r="I46" s="1021">
        <f t="shared" si="4"/>
        <v>0</v>
      </c>
      <c r="J46" s="1028"/>
      <c r="K46" s="1028"/>
      <c r="L46" s="1021">
        <f t="shared" si="5"/>
        <v>0</v>
      </c>
      <c r="M46" s="1028"/>
      <c r="N46" s="1028"/>
      <c r="O46" s="1021">
        <f t="shared" si="6"/>
        <v>0</v>
      </c>
      <c r="P46" s="1028"/>
      <c r="Q46" s="1028"/>
      <c r="R46" s="1028"/>
      <c r="S46" s="1028"/>
      <c r="T46" s="1028"/>
      <c r="U46" s="1028"/>
      <c r="V46" s="1028"/>
      <c r="W46" s="1028"/>
      <c r="X46" s="1021">
        <f t="shared" si="7"/>
        <v>0</v>
      </c>
      <c r="Y46" s="1028"/>
      <c r="Z46" s="1028"/>
      <c r="AA46" s="1021">
        <f t="shared" si="8"/>
        <v>0</v>
      </c>
      <c r="AB46" s="1028"/>
      <c r="AC46" s="1028"/>
      <c r="AD46" s="1021">
        <f t="shared" si="9"/>
        <v>0</v>
      </c>
      <c r="AE46" s="1028">
        <v>0</v>
      </c>
      <c r="AF46" s="1028"/>
      <c r="AG46" s="1022">
        <f t="shared" si="10"/>
        <v>0</v>
      </c>
    </row>
    <row r="47" spans="1:33" ht="12.95" hidden="1" customHeight="1" x14ac:dyDescent="0.25">
      <c r="A47" s="917" t="s">
        <v>90</v>
      </c>
      <c r="B47" s="1152" t="s">
        <v>143</v>
      </c>
      <c r="C47" s="1152"/>
      <c r="D47" s="1057">
        <f t="shared" si="1"/>
        <v>0</v>
      </c>
      <c r="E47" s="1021">
        <f t="shared" si="2"/>
        <v>0</v>
      </c>
      <c r="F47" s="1022">
        <f t="shared" si="3"/>
        <v>0</v>
      </c>
      <c r="G47" s="772"/>
      <c r="H47" s="772"/>
      <c r="I47" s="1021">
        <f t="shared" si="4"/>
        <v>0</v>
      </c>
      <c r="J47" s="772"/>
      <c r="K47" s="772"/>
      <c r="L47" s="1021">
        <f t="shared" si="5"/>
        <v>0</v>
      </c>
      <c r="M47" s="772"/>
      <c r="N47" s="772"/>
      <c r="O47" s="1021">
        <f t="shared" si="6"/>
        <v>0</v>
      </c>
      <c r="P47" s="772"/>
      <c r="Q47" s="772"/>
      <c r="R47" s="772"/>
      <c r="S47" s="772"/>
      <c r="T47" s="772"/>
      <c r="U47" s="772"/>
      <c r="V47" s="772"/>
      <c r="W47" s="772"/>
      <c r="X47" s="1021">
        <f t="shared" si="7"/>
        <v>0</v>
      </c>
      <c r="Y47" s="772"/>
      <c r="Z47" s="772"/>
      <c r="AA47" s="1021">
        <f t="shared" si="8"/>
        <v>0</v>
      </c>
      <c r="AB47" s="772"/>
      <c r="AC47" s="772"/>
      <c r="AD47" s="1021">
        <f t="shared" si="9"/>
        <v>0</v>
      </c>
      <c r="AE47" s="772">
        <v>0</v>
      </c>
      <c r="AF47" s="772"/>
      <c r="AG47" s="1022">
        <f t="shared" si="10"/>
        <v>0</v>
      </c>
    </row>
    <row r="48" spans="1:33" s="40" customFormat="1" ht="12.95" hidden="1" customHeight="1" x14ac:dyDescent="0.2">
      <c r="A48" s="918" t="s">
        <v>90</v>
      </c>
      <c r="B48" s="915"/>
      <c r="C48" s="1052" t="s">
        <v>144</v>
      </c>
      <c r="D48" s="1057">
        <f t="shared" si="1"/>
        <v>0</v>
      </c>
      <c r="E48" s="1021">
        <f t="shared" si="2"/>
        <v>0</v>
      </c>
      <c r="F48" s="1022">
        <f t="shared" si="3"/>
        <v>0</v>
      </c>
      <c r="G48" s="1028"/>
      <c r="H48" s="1028"/>
      <c r="I48" s="1021">
        <f t="shared" si="4"/>
        <v>0</v>
      </c>
      <c r="J48" s="1028"/>
      <c r="K48" s="1028"/>
      <c r="L48" s="1021">
        <f t="shared" si="5"/>
        <v>0</v>
      </c>
      <c r="M48" s="1028"/>
      <c r="N48" s="1028"/>
      <c r="O48" s="1021">
        <f t="shared" si="6"/>
        <v>0</v>
      </c>
      <c r="P48" s="1028"/>
      <c r="Q48" s="1028"/>
      <c r="R48" s="1028"/>
      <c r="S48" s="1028"/>
      <c r="T48" s="1028"/>
      <c r="U48" s="1028"/>
      <c r="V48" s="1028"/>
      <c r="W48" s="1028"/>
      <c r="X48" s="1021">
        <f t="shared" si="7"/>
        <v>0</v>
      </c>
      <c r="Y48" s="1028"/>
      <c r="Z48" s="1028"/>
      <c r="AA48" s="1021">
        <f t="shared" si="8"/>
        <v>0</v>
      </c>
      <c r="AB48" s="1028"/>
      <c r="AC48" s="1028"/>
      <c r="AD48" s="1021">
        <f t="shared" si="9"/>
        <v>0</v>
      </c>
      <c r="AE48" s="1028">
        <v>0</v>
      </c>
      <c r="AF48" s="1028"/>
      <c r="AG48" s="1022">
        <f t="shared" si="10"/>
        <v>0</v>
      </c>
    </row>
    <row r="49" spans="1:33" ht="12.95" hidden="1" customHeight="1" x14ac:dyDescent="0.25">
      <c r="A49" s="102" t="s">
        <v>91</v>
      </c>
      <c r="B49" s="1152" t="s">
        <v>145</v>
      </c>
      <c r="C49" s="1152"/>
      <c r="D49" s="1057">
        <f t="shared" si="1"/>
        <v>0</v>
      </c>
      <c r="E49" s="1021">
        <f t="shared" si="2"/>
        <v>0</v>
      </c>
      <c r="F49" s="1022">
        <f t="shared" si="3"/>
        <v>0</v>
      </c>
      <c r="G49" s="772"/>
      <c r="H49" s="772"/>
      <c r="I49" s="1021">
        <f t="shared" si="4"/>
        <v>0</v>
      </c>
      <c r="J49" s="772"/>
      <c r="K49" s="772"/>
      <c r="L49" s="1021">
        <f t="shared" si="5"/>
        <v>0</v>
      </c>
      <c r="M49" s="772"/>
      <c r="N49" s="772"/>
      <c r="O49" s="1021">
        <f t="shared" si="6"/>
        <v>0</v>
      </c>
      <c r="P49" s="772"/>
      <c r="Q49" s="772"/>
      <c r="R49" s="772"/>
      <c r="S49" s="772"/>
      <c r="T49" s="772"/>
      <c r="U49" s="772"/>
      <c r="V49" s="772"/>
      <c r="W49" s="772"/>
      <c r="X49" s="1021">
        <f t="shared" si="7"/>
        <v>0</v>
      </c>
      <c r="Y49" s="772"/>
      <c r="Z49" s="772"/>
      <c r="AA49" s="1021">
        <f t="shared" si="8"/>
        <v>0</v>
      </c>
      <c r="AB49" s="772"/>
      <c r="AC49" s="772"/>
      <c r="AD49" s="1021">
        <f t="shared" si="9"/>
        <v>0</v>
      </c>
      <c r="AE49" s="772">
        <v>0</v>
      </c>
      <c r="AF49" s="772"/>
      <c r="AG49" s="1022">
        <f t="shared" si="10"/>
        <v>0</v>
      </c>
    </row>
    <row r="50" spans="1:33" s="40" customFormat="1" ht="12.95" hidden="1" customHeight="1" x14ac:dyDescent="0.2">
      <c r="A50" s="918" t="s">
        <v>91</v>
      </c>
      <c r="B50" s="915"/>
      <c r="C50" s="1052" t="s">
        <v>92</v>
      </c>
      <c r="D50" s="1057">
        <f t="shared" si="1"/>
        <v>0</v>
      </c>
      <c r="E50" s="1021">
        <f t="shared" si="2"/>
        <v>0</v>
      </c>
      <c r="F50" s="1022">
        <f t="shared" si="3"/>
        <v>0</v>
      </c>
      <c r="G50" s="1028"/>
      <c r="H50" s="1028"/>
      <c r="I50" s="1021">
        <f t="shared" si="4"/>
        <v>0</v>
      </c>
      <c r="J50" s="1028"/>
      <c r="K50" s="1028"/>
      <c r="L50" s="1021">
        <f t="shared" si="5"/>
        <v>0</v>
      </c>
      <c r="M50" s="1028"/>
      <c r="N50" s="1028"/>
      <c r="O50" s="1021">
        <f t="shared" si="6"/>
        <v>0</v>
      </c>
      <c r="P50" s="1028"/>
      <c r="Q50" s="1028"/>
      <c r="R50" s="1028"/>
      <c r="S50" s="1028"/>
      <c r="T50" s="1028"/>
      <c r="U50" s="1028"/>
      <c r="V50" s="1028"/>
      <c r="W50" s="1028"/>
      <c r="X50" s="1021">
        <f t="shared" si="7"/>
        <v>0</v>
      </c>
      <c r="Y50" s="1028"/>
      <c r="Z50" s="1028"/>
      <c r="AA50" s="1021">
        <f t="shared" si="8"/>
        <v>0</v>
      </c>
      <c r="AB50" s="1028"/>
      <c r="AC50" s="1028"/>
      <c r="AD50" s="1021">
        <f t="shared" si="9"/>
        <v>0</v>
      </c>
      <c r="AE50" s="1028">
        <v>0</v>
      </c>
      <c r="AF50" s="1028"/>
      <c r="AG50" s="1022">
        <f t="shared" si="10"/>
        <v>0</v>
      </c>
    </row>
    <row r="51" spans="1:33" ht="12.95" hidden="1" customHeight="1" x14ac:dyDescent="0.25">
      <c r="A51" s="917" t="s">
        <v>93</v>
      </c>
      <c r="B51" s="1152" t="s">
        <v>146</v>
      </c>
      <c r="C51" s="1152"/>
      <c r="D51" s="1057">
        <f t="shared" si="1"/>
        <v>0</v>
      </c>
      <c r="E51" s="1021">
        <f t="shared" si="2"/>
        <v>0</v>
      </c>
      <c r="F51" s="1022">
        <f t="shared" si="3"/>
        <v>0</v>
      </c>
      <c r="G51" s="772"/>
      <c r="H51" s="772"/>
      <c r="I51" s="1021">
        <f t="shared" si="4"/>
        <v>0</v>
      </c>
      <c r="J51" s="772"/>
      <c r="K51" s="772"/>
      <c r="L51" s="1021">
        <f t="shared" si="5"/>
        <v>0</v>
      </c>
      <c r="M51" s="772"/>
      <c r="N51" s="772"/>
      <c r="O51" s="1021">
        <f t="shared" si="6"/>
        <v>0</v>
      </c>
      <c r="P51" s="772"/>
      <c r="Q51" s="772"/>
      <c r="R51" s="772"/>
      <c r="S51" s="772"/>
      <c r="T51" s="772"/>
      <c r="U51" s="772"/>
      <c r="V51" s="772"/>
      <c r="W51" s="772"/>
      <c r="X51" s="1021">
        <f t="shared" si="7"/>
        <v>0</v>
      </c>
      <c r="Y51" s="772"/>
      <c r="Z51" s="772"/>
      <c r="AA51" s="1021">
        <f t="shared" si="8"/>
        <v>0</v>
      </c>
      <c r="AB51" s="772"/>
      <c r="AC51" s="772"/>
      <c r="AD51" s="1021">
        <f t="shared" si="9"/>
        <v>0</v>
      </c>
      <c r="AE51" s="772">
        <v>0</v>
      </c>
      <c r="AF51" s="772"/>
      <c r="AG51" s="1022">
        <f t="shared" si="10"/>
        <v>0</v>
      </c>
    </row>
    <row r="52" spans="1:33" s="40" customFormat="1" ht="12.95" hidden="1" customHeight="1" x14ac:dyDescent="0.2">
      <c r="A52" s="918" t="s">
        <v>93</v>
      </c>
      <c r="B52" s="915"/>
      <c r="C52" s="1052" t="s">
        <v>147</v>
      </c>
      <c r="D52" s="1057">
        <f t="shared" si="1"/>
        <v>0</v>
      </c>
      <c r="E52" s="1021">
        <f t="shared" si="2"/>
        <v>0</v>
      </c>
      <c r="F52" s="1022">
        <f t="shared" si="3"/>
        <v>0</v>
      </c>
      <c r="G52" s="1028"/>
      <c r="H52" s="1028"/>
      <c r="I52" s="1021">
        <f t="shared" si="4"/>
        <v>0</v>
      </c>
      <c r="J52" s="1028"/>
      <c r="K52" s="1028"/>
      <c r="L52" s="1021">
        <f t="shared" si="5"/>
        <v>0</v>
      </c>
      <c r="M52" s="1028"/>
      <c r="N52" s="1028"/>
      <c r="O52" s="1021">
        <f t="shared" si="6"/>
        <v>0</v>
      </c>
      <c r="P52" s="1028"/>
      <c r="Q52" s="1028"/>
      <c r="R52" s="1028"/>
      <c r="S52" s="1028"/>
      <c r="T52" s="1028"/>
      <c r="U52" s="1028"/>
      <c r="V52" s="1028"/>
      <c r="W52" s="1028"/>
      <c r="X52" s="1021">
        <f t="shared" si="7"/>
        <v>0</v>
      </c>
      <c r="Y52" s="1028"/>
      <c r="Z52" s="1028"/>
      <c r="AA52" s="1021">
        <f t="shared" si="8"/>
        <v>0</v>
      </c>
      <c r="AB52" s="1028"/>
      <c r="AC52" s="1028"/>
      <c r="AD52" s="1021">
        <f t="shared" si="9"/>
        <v>0</v>
      </c>
      <c r="AE52" s="1028">
        <v>0</v>
      </c>
      <c r="AF52" s="1028"/>
      <c r="AG52" s="1022">
        <f t="shared" si="10"/>
        <v>0</v>
      </c>
    </row>
    <row r="53" spans="1:33" s="40" customFormat="1" ht="12.95" hidden="1" customHeight="1" x14ac:dyDescent="0.2">
      <c r="A53" s="918" t="s">
        <v>93</v>
      </c>
      <c r="B53" s="915"/>
      <c r="C53" s="1052" t="s">
        <v>137</v>
      </c>
      <c r="D53" s="1057">
        <f t="shared" si="1"/>
        <v>0</v>
      </c>
      <c r="E53" s="1021">
        <f t="shared" si="2"/>
        <v>0</v>
      </c>
      <c r="F53" s="1022">
        <f t="shared" si="3"/>
        <v>0</v>
      </c>
      <c r="G53" s="1028"/>
      <c r="H53" s="1028"/>
      <c r="I53" s="1021">
        <f t="shared" si="4"/>
        <v>0</v>
      </c>
      <c r="J53" s="1028"/>
      <c r="K53" s="1028"/>
      <c r="L53" s="1021">
        <f t="shared" si="5"/>
        <v>0</v>
      </c>
      <c r="M53" s="1028"/>
      <c r="N53" s="1028"/>
      <c r="O53" s="1021">
        <f t="shared" si="6"/>
        <v>0</v>
      </c>
      <c r="P53" s="1028"/>
      <c r="Q53" s="1028"/>
      <c r="R53" s="1028"/>
      <c r="S53" s="1028"/>
      <c r="T53" s="1028"/>
      <c r="U53" s="1028"/>
      <c r="V53" s="1028"/>
      <c r="W53" s="1028"/>
      <c r="X53" s="1021">
        <f t="shared" si="7"/>
        <v>0</v>
      </c>
      <c r="Y53" s="1028"/>
      <c r="Z53" s="1028"/>
      <c r="AA53" s="1021">
        <f t="shared" si="8"/>
        <v>0</v>
      </c>
      <c r="AB53" s="1028"/>
      <c r="AC53" s="1028"/>
      <c r="AD53" s="1021">
        <f t="shared" si="9"/>
        <v>0</v>
      </c>
      <c r="AE53" s="1028">
        <v>0</v>
      </c>
      <c r="AF53" s="1028"/>
      <c r="AG53" s="1022">
        <f t="shared" si="10"/>
        <v>0</v>
      </c>
    </row>
    <row r="54" spans="1:33" s="40" customFormat="1" ht="12.95" hidden="1" customHeight="1" x14ac:dyDescent="0.2">
      <c r="A54" s="919" t="s">
        <v>93</v>
      </c>
      <c r="B54" s="915"/>
      <c r="C54" s="1052" t="s">
        <v>148</v>
      </c>
      <c r="D54" s="1057">
        <f t="shared" si="1"/>
        <v>0</v>
      </c>
      <c r="E54" s="1021">
        <f t="shared" si="2"/>
        <v>0</v>
      </c>
      <c r="F54" s="1022">
        <f t="shared" si="3"/>
        <v>0</v>
      </c>
      <c r="G54" s="1029"/>
      <c r="H54" s="1029"/>
      <c r="I54" s="1021">
        <f t="shared" si="4"/>
        <v>0</v>
      </c>
      <c r="J54" s="1029"/>
      <c r="K54" s="1029"/>
      <c r="L54" s="1021">
        <f t="shared" si="5"/>
        <v>0</v>
      </c>
      <c r="M54" s="1029"/>
      <c r="N54" s="1029"/>
      <c r="O54" s="1021">
        <f t="shared" si="6"/>
        <v>0</v>
      </c>
      <c r="P54" s="1029"/>
      <c r="Q54" s="1029"/>
      <c r="R54" s="1029"/>
      <c r="S54" s="1029"/>
      <c r="T54" s="1029"/>
      <c r="U54" s="1029"/>
      <c r="V54" s="1029"/>
      <c r="W54" s="1029"/>
      <c r="X54" s="1021">
        <f t="shared" si="7"/>
        <v>0</v>
      </c>
      <c r="Y54" s="1029"/>
      <c r="Z54" s="1029"/>
      <c r="AA54" s="1021">
        <f t="shared" si="8"/>
        <v>0</v>
      </c>
      <c r="AB54" s="1029"/>
      <c r="AC54" s="1029"/>
      <c r="AD54" s="1021">
        <f t="shared" si="9"/>
        <v>0</v>
      </c>
      <c r="AE54" s="1029">
        <v>0</v>
      </c>
      <c r="AF54" s="1029"/>
      <c r="AG54" s="1022">
        <f t="shared" si="10"/>
        <v>0</v>
      </c>
    </row>
    <row r="55" spans="1:33" s="40" customFormat="1" ht="12.95" hidden="1" customHeight="1" x14ac:dyDescent="0.2">
      <c r="A55" s="918" t="s">
        <v>93</v>
      </c>
      <c r="B55" s="915"/>
      <c r="C55" s="1052" t="s">
        <v>149</v>
      </c>
      <c r="D55" s="1057">
        <f t="shared" si="1"/>
        <v>0</v>
      </c>
      <c r="E55" s="1021">
        <f t="shared" si="2"/>
        <v>0</v>
      </c>
      <c r="F55" s="1022">
        <f t="shared" si="3"/>
        <v>0</v>
      </c>
      <c r="G55" s="1028"/>
      <c r="H55" s="1028"/>
      <c r="I55" s="1021">
        <f t="shared" si="4"/>
        <v>0</v>
      </c>
      <c r="J55" s="1028"/>
      <c r="K55" s="1028"/>
      <c r="L55" s="1021">
        <f t="shared" si="5"/>
        <v>0</v>
      </c>
      <c r="M55" s="1028"/>
      <c r="N55" s="1028"/>
      <c r="O55" s="1021">
        <f t="shared" si="6"/>
        <v>0</v>
      </c>
      <c r="P55" s="1028"/>
      <c r="Q55" s="1028"/>
      <c r="R55" s="1028"/>
      <c r="S55" s="1028"/>
      <c r="T55" s="1028"/>
      <c r="U55" s="1028"/>
      <c r="V55" s="1028"/>
      <c r="W55" s="1028"/>
      <c r="X55" s="1021">
        <f t="shared" si="7"/>
        <v>0</v>
      </c>
      <c r="Y55" s="1028"/>
      <c r="Z55" s="1028"/>
      <c r="AA55" s="1021">
        <f t="shared" si="8"/>
        <v>0</v>
      </c>
      <c r="AB55" s="1028"/>
      <c r="AC55" s="1028"/>
      <c r="AD55" s="1021">
        <f t="shared" si="9"/>
        <v>0</v>
      </c>
      <c r="AE55" s="1028">
        <v>0</v>
      </c>
      <c r="AF55" s="1028"/>
      <c r="AG55" s="1022">
        <f t="shared" si="10"/>
        <v>0</v>
      </c>
    </row>
    <row r="56" spans="1:33" s="44" customFormat="1" ht="12.95" hidden="1" customHeight="1" x14ac:dyDescent="0.2">
      <c r="A56" s="562" t="s">
        <v>94</v>
      </c>
      <c r="B56" s="1151" t="s">
        <v>150</v>
      </c>
      <c r="C56" s="1151"/>
      <c r="D56" s="1057">
        <f t="shared" si="1"/>
        <v>0</v>
      </c>
      <c r="E56" s="1021">
        <f t="shared" si="2"/>
        <v>0</v>
      </c>
      <c r="F56" s="1022">
        <f t="shared" si="3"/>
        <v>0</v>
      </c>
      <c r="G56" s="1021"/>
      <c r="H56" s="1021"/>
      <c r="I56" s="1021">
        <f t="shared" si="4"/>
        <v>0</v>
      </c>
      <c r="J56" s="1021"/>
      <c r="K56" s="1021"/>
      <c r="L56" s="1021">
        <f t="shared" si="5"/>
        <v>0</v>
      </c>
      <c r="M56" s="1021"/>
      <c r="N56" s="1021"/>
      <c r="O56" s="1021">
        <f t="shared" si="6"/>
        <v>0</v>
      </c>
      <c r="P56" s="1021"/>
      <c r="Q56" s="1021"/>
      <c r="R56" s="1021"/>
      <c r="S56" s="1021"/>
      <c r="T56" s="1021"/>
      <c r="U56" s="1021"/>
      <c r="V56" s="1021"/>
      <c r="W56" s="1021"/>
      <c r="X56" s="1021">
        <f t="shared" si="7"/>
        <v>0</v>
      </c>
      <c r="Y56" s="1021"/>
      <c r="Z56" s="1021"/>
      <c r="AA56" s="1021">
        <f t="shared" si="8"/>
        <v>0</v>
      </c>
      <c r="AB56" s="1021"/>
      <c r="AC56" s="1021"/>
      <c r="AD56" s="1021">
        <f t="shared" si="9"/>
        <v>0</v>
      </c>
      <c r="AE56" s="1021">
        <v>0</v>
      </c>
      <c r="AF56" s="1021"/>
      <c r="AG56" s="1022">
        <f t="shared" si="10"/>
        <v>0</v>
      </c>
    </row>
    <row r="57" spans="1:33" ht="7.5" hidden="1" customHeight="1" x14ac:dyDescent="0.25">
      <c r="A57" s="562"/>
      <c r="B57" s="1151"/>
      <c r="C57" s="1151"/>
      <c r="D57" s="1057">
        <f t="shared" si="1"/>
        <v>0</v>
      </c>
      <c r="E57" s="1021">
        <f t="shared" si="2"/>
        <v>0</v>
      </c>
      <c r="F57" s="1022">
        <f t="shared" si="3"/>
        <v>0</v>
      </c>
      <c r="G57" s="1021"/>
      <c r="H57" s="1021"/>
      <c r="I57" s="1021">
        <f t="shared" si="4"/>
        <v>0</v>
      </c>
      <c r="J57" s="1021"/>
      <c r="K57" s="1021"/>
      <c r="L57" s="1021">
        <f t="shared" si="5"/>
        <v>0</v>
      </c>
      <c r="M57" s="1021"/>
      <c r="N57" s="1021"/>
      <c r="O57" s="1021">
        <f t="shared" si="6"/>
        <v>0</v>
      </c>
      <c r="P57" s="772"/>
      <c r="Q57" s="772"/>
      <c r="R57" s="772"/>
      <c r="S57" s="772"/>
      <c r="T57" s="772"/>
      <c r="U57" s="772"/>
      <c r="V57" s="772"/>
      <c r="W57" s="772"/>
      <c r="X57" s="1021">
        <f t="shared" si="7"/>
        <v>0</v>
      </c>
      <c r="Y57" s="772"/>
      <c r="Z57" s="772"/>
      <c r="AA57" s="1021">
        <f t="shared" si="8"/>
        <v>0</v>
      </c>
      <c r="AB57" s="772"/>
      <c r="AC57" s="772"/>
      <c r="AD57" s="1021">
        <f t="shared" si="9"/>
        <v>0</v>
      </c>
      <c r="AE57" s="772">
        <v>0</v>
      </c>
      <c r="AF57" s="772"/>
      <c r="AG57" s="1022">
        <f t="shared" si="10"/>
        <v>0</v>
      </c>
    </row>
    <row r="58" spans="1:33" ht="12.95" customHeight="1" x14ac:dyDescent="0.25">
      <c r="A58" s="563" t="s">
        <v>96</v>
      </c>
      <c r="B58" s="1124" t="s">
        <v>95</v>
      </c>
      <c r="C58" s="1212"/>
      <c r="D58" s="1056">
        <f t="shared" si="1"/>
        <v>1033</v>
      </c>
      <c r="E58" s="360">
        <f t="shared" si="2"/>
        <v>0</v>
      </c>
      <c r="F58" s="983">
        <f t="shared" si="3"/>
        <v>1033</v>
      </c>
      <c r="G58" s="1023"/>
      <c r="H58" s="361"/>
      <c r="I58" s="360">
        <f t="shared" si="4"/>
        <v>0</v>
      </c>
      <c r="J58" s="361"/>
      <c r="K58" s="361"/>
      <c r="L58" s="360">
        <f t="shared" si="5"/>
        <v>0</v>
      </c>
      <c r="M58" s="361"/>
      <c r="N58" s="361"/>
      <c r="O58" s="360">
        <f t="shared" si="6"/>
        <v>0</v>
      </c>
      <c r="P58" s="361"/>
      <c r="Q58" s="361"/>
      <c r="R58" s="361"/>
      <c r="S58" s="361"/>
      <c r="T58" s="361"/>
      <c r="U58" s="361"/>
      <c r="V58" s="361"/>
      <c r="W58" s="361"/>
      <c r="X58" s="360">
        <f t="shared" si="7"/>
        <v>0</v>
      </c>
      <c r="Y58" s="361"/>
      <c r="Z58" s="361"/>
      <c r="AA58" s="360">
        <f t="shared" si="8"/>
        <v>0</v>
      </c>
      <c r="AB58" s="361"/>
      <c r="AC58" s="361"/>
      <c r="AD58" s="360">
        <f t="shared" si="9"/>
        <v>0</v>
      </c>
      <c r="AE58" s="361">
        <v>1033</v>
      </c>
      <c r="AF58" s="361"/>
      <c r="AG58" s="983">
        <f t="shared" si="10"/>
        <v>1033</v>
      </c>
    </row>
    <row r="59" spans="1:33" ht="12.95" customHeight="1" x14ac:dyDescent="0.25">
      <c r="A59" s="563" t="s">
        <v>98</v>
      </c>
      <c r="B59" s="1124" t="s">
        <v>97</v>
      </c>
      <c r="C59" s="1212"/>
      <c r="D59" s="1056">
        <f t="shared" si="1"/>
        <v>0</v>
      </c>
      <c r="E59" s="360">
        <f t="shared" si="2"/>
        <v>0</v>
      </c>
      <c r="F59" s="983">
        <f t="shared" si="3"/>
        <v>0</v>
      </c>
      <c r="G59" s="1023"/>
      <c r="H59" s="361"/>
      <c r="I59" s="360">
        <f t="shared" si="4"/>
        <v>0</v>
      </c>
      <c r="J59" s="361"/>
      <c r="K59" s="361"/>
      <c r="L59" s="360">
        <f t="shared" si="5"/>
        <v>0</v>
      </c>
      <c r="M59" s="361"/>
      <c r="N59" s="361"/>
      <c r="O59" s="360">
        <f t="shared" si="6"/>
        <v>0</v>
      </c>
      <c r="P59" s="361"/>
      <c r="Q59" s="361"/>
      <c r="R59" s="361"/>
      <c r="S59" s="361"/>
      <c r="T59" s="361"/>
      <c r="U59" s="361"/>
      <c r="V59" s="361"/>
      <c r="W59" s="361"/>
      <c r="X59" s="360">
        <f t="shared" si="7"/>
        <v>0</v>
      </c>
      <c r="Y59" s="361"/>
      <c r="Z59" s="361"/>
      <c r="AA59" s="360">
        <f t="shared" si="8"/>
        <v>0</v>
      </c>
      <c r="AB59" s="361"/>
      <c r="AC59" s="361"/>
      <c r="AD59" s="360">
        <f t="shared" si="9"/>
        <v>0</v>
      </c>
      <c r="AE59" s="361">
        <v>0</v>
      </c>
      <c r="AF59" s="361"/>
      <c r="AG59" s="983">
        <f t="shared" si="10"/>
        <v>0</v>
      </c>
    </row>
    <row r="60" spans="1:33" ht="12.95" customHeight="1" x14ac:dyDescent="0.25">
      <c r="A60" s="563" t="s">
        <v>101</v>
      </c>
      <c r="B60" s="1124" t="s">
        <v>165</v>
      </c>
      <c r="C60" s="1212"/>
      <c r="D60" s="1056">
        <f t="shared" si="1"/>
        <v>0</v>
      </c>
      <c r="E60" s="360">
        <f t="shared" si="2"/>
        <v>0</v>
      </c>
      <c r="F60" s="983">
        <f t="shared" si="3"/>
        <v>0</v>
      </c>
      <c r="G60" s="1023"/>
      <c r="H60" s="361"/>
      <c r="I60" s="360">
        <f t="shared" si="4"/>
        <v>0</v>
      </c>
      <c r="J60" s="361"/>
      <c r="K60" s="361"/>
      <c r="L60" s="360">
        <f t="shared" si="5"/>
        <v>0</v>
      </c>
      <c r="M60" s="361"/>
      <c r="N60" s="361"/>
      <c r="O60" s="360">
        <f t="shared" si="6"/>
        <v>0</v>
      </c>
      <c r="P60" s="361"/>
      <c r="Q60" s="361"/>
      <c r="R60" s="361"/>
      <c r="S60" s="361"/>
      <c r="T60" s="361"/>
      <c r="U60" s="361"/>
      <c r="V60" s="361"/>
      <c r="W60" s="361"/>
      <c r="X60" s="360">
        <f t="shared" si="7"/>
        <v>0</v>
      </c>
      <c r="Y60" s="361"/>
      <c r="Z60" s="361"/>
      <c r="AA60" s="360">
        <f t="shared" si="8"/>
        <v>0</v>
      </c>
      <c r="AB60" s="361"/>
      <c r="AC60" s="361"/>
      <c r="AD60" s="360">
        <f t="shared" si="9"/>
        <v>0</v>
      </c>
      <c r="AE60" s="361">
        <v>0</v>
      </c>
      <c r="AF60" s="361"/>
      <c r="AG60" s="983">
        <f t="shared" si="10"/>
        <v>0</v>
      </c>
    </row>
    <row r="61" spans="1:33" ht="12.95" customHeight="1" x14ac:dyDescent="0.25">
      <c r="A61" s="563" t="s">
        <v>103</v>
      </c>
      <c r="B61" s="1124" t="s">
        <v>102</v>
      </c>
      <c r="C61" s="1212"/>
      <c r="D61" s="1056">
        <f t="shared" si="1"/>
        <v>0</v>
      </c>
      <c r="E61" s="360">
        <f t="shared" si="2"/>
        <v>0</v>
      </c>
      <c r="F61" s="983">
        <f t="shared" si="3"/>
        <v>0</v>
      </c>
      <c r="G61" s="1023"/>
      <c r="H61" s="361"/>
      <c r="I61" s="360">
        <f t="shared" si="4"/>
        <v>0</v>
      </c>
      <c r="J61" s="361"/>
      <c r="K61" s="361"/>
      <c r="L61" s="360">
        <f t="shared" si="5"/>
        <v>0</v>
      </c>
      <c r="M61" s="361"/>
      <c r="N61" s="361"/>
      <c r="O61" s="360">
        <f t="shared" si="6"/>
        <v>0</v>
      </c>
      <c r="P61" s="361"/>
      <c r="Q61" s="361"/>
      <c r="R61" s="361"/>
      <c r="S61" s="361"/>
      <c r="T61" s="361"/>
      <c r="U61" s="361"/>
      <c r="V61" s="361"/>
      <c r="W61" s="361"/>
      <c r="X61" s="360">
        <f t="shared" si="7"/>
        <v>0</v>
      </c>
      <c r="Y61" s="361"/>
      <c r="Z61" s="361"/>
      <c r="AA61" s="360">
        <f t="shared" si="8"/>
        <v>0</v>
      </c>
      <c r="AB61" s="361"/>
      <c r="AC61" s="361"/>
      <c r="AD61" s="360">
        <f t="shared" si="9"/>
        <v>0</v>
      </c>
      <c r="AE61" s="361">
        <v>0</v>
      </c>
      <c r="AF61" s="361"/>
      <c r="AG61" s="983">
        <f t="shared" si="10"/>
        <v>0</v>
      </c>
    </row>
    <row r="62" spans="1:33" ht="12.95" customHeight="1" x14ac:dyDescent="0.25">
      <c r="A62" s="563" t="s">
        <v>105</v>
      </c>
      <c r="B62" s="1124" t="s">
        <v>164</v>
      </c>
      <c r="C62" s="1212"/>
      <c r="D62" s="1056">
        <f t="shared" si="1"/>
        <v>0</v>
      </c>
      <c r="E62" s="360">
        <f t="shared" si="2"/>
        <v>0</v>
      </c>
      <c r="F62" s="983">
        <f t="shared" si="3"/>
        <v>0</v>
      </c>
      <c r="G62" s="1023"/>
      <c r="H62" s="361"/>
      <c r="I62" s="360">
        <f t="shared" si="4"/>
        <v>0</v>
      </c>
      <c r="J62" s="361"/>
      <c r="K62" s="361"/>
      <c r="L62" s="360">
        <f t="shared" si="5"/>
        <v>0</v>
      </c>
      <c r="M62" s="361"/>
      <c r="N62" s="361"/>
      <c r="O62" s="360">
        <f t="shared" si="6"/>
        <v>0</v>
      </c>
      <c r="P62" s="361"/>
      <c r="Q62" s="361"/>
      <c r="R62" s="361"/>
      <c r="S62" s="361"/>
      <c r="T62" s="361"/>
      <c r="U62" s="361"/>
      <c r="V62" s="361"/>
      <c r="W62" s="361"/>
      <c r="X62" s="360">
        <f t="shared" si="7"/>
        <v>0</v>
      </c>
      <c r="Y62" s="361"/>
      <c r="Z62" s="361"/>
      <c r="AA62" s="360">
        <f t="shared" si="8"/>
        <v>0</v>
      </c>
      <c r="AB62" s="361"/>
      <c r="AC62" s="361"/>
      <c r="AD62" s="360">
        <f t="shared" si="9"/>
        <v>0</v>
      </c>
      <c r="AE62" s="361">
        <v>0</v>
      </c>
      <c r="AF62" s="361"/>
      <c r="AG62" s="983">
        <f t="shared" si="10"/>
        <v>0</v>
      </c>
    </row>
    <row r="63" spans="1:33" ht="12.95" customHeight="1" x14ac:dyDescent="0.25">
      <c r="A63" s="563" t="s">
        <v>107</v>
      </c>
      <c r="B63" s="1115" t="s">
        <v>106</v>
      </c>
      <c r="C63" s="1128"/>
      <c r="D63" s="1056">
        <f t="shared" si="1"/>
        <v>364685</v>
      </c>
      <c r="E63" s="360">
        <f t="shared" si="2"/>
        <v>3796</v>
      </c>
      <c r="F63" s="983">
        <f t="shared" si="3"/>
        <v>368481</v>
      </c>
      <c r="G63" s="1023"/>
      <c r="H63" s="361"/>
      <c r="I63" s="360">
        <f t="shared" si="4"/>
        <v>0</v>
      </c>
      <c r="J63" s="361"/>
      <c r="K63" s="361"/>
      <c r="L63" s="360">
        <f t="shared" si="5"/>
        <v>0</v>
      </c>
      <c r="M63" s="361"/>
      <c r="N63" s="361"/>
      <c r="O63" s="360">
        <f t="shared" si="6"/>
        <v>0</v>
      </c>
      <c r="P63" s="361"/>
      <c r="Q63" s="361"/>
      <c r="R63" s="361"/>
      <c r="S63" s="361"/>
      <c r="T63" s="361"/>
      <c r="U63" s="361"/>
      <c r="V63" s="361"/>
      <c r="W63" s="361"/>
      <c r="X63" s="360">
        <f t="shared" si="7"/>
        <v>0</v>
      </c>
      <c r="Y63" s="361"/>
      <c r="Z63" s="361"/>
      <c r="AA63" s="360">
        <f t="shared" si="8"/>
        <v>0</v>
      </c>
      <c r="AB63" s="361"/>
      <c r="AC63" s="361"/>
      <c r="AD63" s="360">
        <f t="shared" si="9"/>
        <v>0</v>
      </c>
      <c r="AE63" s="360">
        <v>364685</v>
      </c>
      <c r="AF63" s="360">
        <f>SUM(AF64:AF74)</f>
        <v>3796</v>
      </c>
      <c r="AG63" s="983">
        <f t="shared" si="10"/>
        <v>368481</v>
      </c>
    </row>
    <row r="64" spans="1:33" ht="12.95" customHeight="1" x14ac:dyDescent="0.25">
      <c r="A64" s="563"/>
      <c r="B64" s="1043"/>
      <c r="C64" s="9" t="s">
        <v>838</v>
      </c>
      <c r="D64" s="1058">
        <f t="shared" si="1"/>
        <v>5000</v>
      </c>
      <c r="E64" s="361">
        <f t="shared" si="2"/>
        <v>-4896</v>
      </c>
      <c r="F64" s="1030">
        <f t="shared" si="3"/>
        <v>104</v>
      </c>
      <c r="G64" s="1023"/>
      <c r="H64" s="361"/>
      <c r="I64" s="360">
        <f t="shared" si="4"/>
        <v>0</v>
      </c>
      <c r="J64" s="361"/>
      <c r="K64" s="361"/>
      <c r="L64" s="360">
        <f t="shared" si="5"/>
        <v>0</v>
      </c>
      <c r="M64" s="361"/>
      <c r="N64" s="361"/>
      <c r="O64" s="360">
        <f t="shared" si="6"/>
        <v>0</v>
      </c>
      <c r="P64" s="361"/>
      <c r="Q64" s="361"/>
      <c r="R64" s="361"/>
      <c r="S64" s="361"/>
      <c r="T64" s="361"/>
      <c r="U64" s="361"/>
      <c r="V64" s="361"/>
      <c r="W64" s="361"/>
      <c r="X64" s="360">
        <f t="shared" si="7"/>
        <v>0</v>
      </c>
      <c r="Y64" s="361"/>
      <c r="Z64" s="361"/>
      <c r="AA64" s="360">
        <f t="shared" si="8"/>
        <v>0</v>
      </c>
      <c r="AB64" s="361"/>
      <c r="AC64" s="361"/>
      <c r="AD64" s="360">
        <f t="shared" si="9"/>
        <v>0</v>
      </c>
      <c r="AE64" s="1027">
        <v>5000</v>
      </c>
      <c r="AF64" s="361">
        <v>-4896</v>
      </c>
      <c r="AG64" s="983">
        <f t="shared" si="10"/>
        <v>104</v>
      </c>
    </row>
    <row r="65" spans="1:36" ht="12.95" customHeight="1" x14ac:dyDescent="0.25">
      <c r="A65" s="563"/>
      <c r="B65" s="1043"/>
      <c r="C65" s="9" t="s">
        <v>671</v>
      </c>
      <c r="D65" s="1058">
        <f t="shared" si="1"/>
        <v>0</v>
      </c>
      <c r="E65" s="361">
        <f t="shared" si="2"/>
        <v>0</v>
      </c>
      <c r="F65" s="1030">
        <f t="shared" si="3"/>
        <v>0</v>
      </c>
      <c r="G65" s="1023"/>
      <c r="H65" s="361"/>
      <c r="I65" s="360">
        <f t="shared" si="4"/>
        <v>0</v>
      </c>
      <c r="J65" s="361"/>
      <c r="K65" s="361"/>
      <c r="L65" s="360">
        <f t="shared" si="5"/>
        <v>0</v>
      </c>
      <c r="M65" s="361"/>
      <c r="N65" s="361"/>
      <c r="O65" s="360">
        <f t="shared" si="6"/>
        <v>0</v>
      </c>
      <c r="P65" s="361"/>
      <c r="Q65" s="361"/>
      <c r="R65" s="361"/>
      <c r="S65" s="361"/>
      <c r="T65" s="361"/>
      <c r="U65" s="361"/>
      <c r="V65" s="361"/>
      <c r="W65" s="361"/>
      <c r="X65" s="360">
        <f t="shared" si="7"/>
        <v>0</v>
      </c>
      <c r="Y65" s="361"/>
      <c r="Z65" s="361"/>
      <c r="AA65" s="360">
        <f t="shared" si="8"/>
        <v>0</v>
      </c>
      <c r="AB65" s="361"/>
      <c r="AC65" s="361"/>
      <c r="AD65" s="360">
        <f t="shared" si="9"/>
        <v>0</v>
      </c>
      <c r="AE65" s="1027">
        <v>0</v>
      </c>
      <c r="AF65" s="361"/>
      <c r="AG65" s="983">
        <f t="shared" si="10"/>
        <v>0</v>
      </c>
    </row>
    <row r="66" spans="1:36" ht="12.95" customHeight="1" x14ac:dyDescent="0.25">
      <c r="A66" s="563"/>
      <c r="B66" s="1043"/>
      <c r="C66" s="9" t="s">
        <v>673</v>
      </c>
      <c r="D66" s="1058">
        <f t="shared" si="1"/>
        <v>0</v>
      </c>
      <c r="E66" s="361">
        <f t="shared" si="2"/>
        <v>0</v>
      </c>
      <c r="F66" s="1030">
        <f t="shared" si="3"/>
        <v>0</v>
      </c>
      <c r="G66" s="1023"/>
      <c r="H66" s="361"/>
      <c r="I66" s="360">
        <f t="shared" si="4"/>
        <v>0</v>
      </c>
      <c r="J66" s="361"/>
      <c r="K66" s="361"/>
      <c r="L66" s="360">
        <f t="shared" si="5"/>
        <v>0</v>
      </c>
      <c r="M66" s="361"/>
      <c r="N66" s="361"/>
      <c r="O66" s="360">
        <f t="shared" si="6"/>
        <v>0</v>
      </c>
      <c r="P66" s="361"/>
      <c r="Q66" s="361"/>
      <c r="R66" s="361"/>
      <c r="S66" s="361"/>
      <c r="T66" s="361"/>
      <c r="U66" s="361"/>
      <c r="V66" s="361"/>
      <c r="W66" s="361"/>
      <c r="X66" s="360">
        <f t="shared" si="7"/>
        <v>0</v>
      </c>
      <c r="Y66" s="361"/>
      <c r="Z66" s="361"/>
      <c r="AA66" s="360">
        <f t="shared" si="8"/>
        <v>0</v>
      </c>
      <c r="AB66" s="361"/>
      <c r="AC66" s="361"/>
      <c r="AD66" s="360">
        <f t="shared" si="9"/>
        <v>0</v>
      </c>
      <c r="AE66" s="1027">
        <v>0</v>
      </c>
      <c r="AF66" s="361"/>
      <c r="AG66" s="983">
        <f t="shared" si="10"/>
        <v>0</v>
      </c>
    </row>
    <row r="67" spans="1:36" ht="12.95" customHeight="1" x14ac:dyDescent="0.25">
      <c r="A67" s="563"/>
      <c r="B67" s="1043"/>
      <c r="C67" s="9" t="s">
        <v>626</v>
      </c>
      <c r="D67" s="1058">
        <f t="shared" si="1"/>
        <v>0</v>
      </c>
      <c r="E67" s="361">
        <f t="shared" si="2"/>
        <v>11846</v>
      </c>
      <c r="F67" s="1030">
        <f t="shared" si="3"/>
        <v>11846</v>
      </c>
      <c r="G67" s="1023"/>
      <c r="H67" s="361"/>
      <c r="I67" s="360">
        <f t="shared" si="4"/>
        <v>0</v>
      </c>
      <c r="J67" s="361"/>
      <c r="K67" s="361"/>
      <c r="L67" s="360">
        <f t="shared" si="5"/>
        <v>0</v>
      </c>
      <c r="M67" s="361"/>
      <c r="N67" s="361"/>
      <c r="O67" s="360">
        <f t="shared" si="6"/>
        <v>0</v>
      </c>
      <c r="P67" s="361"/>
      <c r="Q67" s="361"/>
      <c r="R67" s="361"/>
      <c r="S67" s="361"/>
      <c r="T67" s="361"/>
      <c r="U67" s="361"/>
      <c r="V67" s="361"/>
      <c r="W67" s="361"/>
      <c r="X67" s="360">
        <f t="shared" si="7"/>
        <v>0</v>
      </c>
      <c r="Y67" s="361"/>
      <c r="Z67" s="361"/>
      <c r="AA67" s="360">
        <f t="shared" si="8"/>
        <v>0</v>
      </c>
      <c r="AB67" s="361"/>
      <c r="AC67" s="361"/>
      <c r="AD67" s="360">
        <f t="shared" si="9"/>
        <v>0</v>
      </c>
      <c r="AE67" s="361">
        <v>0</v>
      </c>
      <c r="AF67" s="361">
        <v>11846</v>
      </c>
      <c r="AG67" s="983">
        <f t="shared" si="10"/>
        <v>11846</v>
      </c>
    </row>
    <row r="68" spans="1:36" ht="12.95" customHeight="1" x14ac:dyDescent="0.25">
      <c r="A68" s="563"/>
      <c r="B68" s="1043"/>
      <c r="C68" s="9" t="s">
        <v>731</v>
      </c>
      <c r="D68" s="1058">
        <f t="shared" si="1"/>
        <v>239565</v>
      </c>
      <c r="E68" s="361">
        <f t="shared" si="2"/>
        <v>0</v>
      </c>
      <c r="F68" s="1030">
        <f t="shared" si="3"/>
        <v>239565</v>
      </c>
      <c r="G68" s="1023"/>
      <c r="H68" s="361"/>
      <c r="I68" s="360">
        <f t="shared" si="4"/>
        <v>0</v>
      </c>
      <c r="J68" s="361"/>
      <c r="K68" s="361"/>
      <c r="L68" s="360">
        <f t="shared" si="5"/>
        <v>0</v>
      </c>
      <c r="M68" s="361"/>
      <c r="N68" s="361"/>
      <c r="O68" s="360">
        <f t="shared" si="6"/>
        <v>0</v>
      </c>
      <c r="P68" s="361"/>
      <c r="Q68" s="361"/>
      <c r="R68" s="361"/>
      <c r="S68" s="361"/>
      <c r="T68" s="361"/>
      <c r="U68" s="361"/>
      <c r="V68" s="361"/>
      <c r="W68" s="361"/>
      <c r="X68" s="360">
        <f t="shared" si="7"/>
        <v>0</v>
      </c>
      <c r="Y68" s="361"/>
      <c r="Z68" s="361"/>
      <c r="AA68" s="360">
        <f t="shared" si="8"/>
        <v>0</v>
      </c>
      <c r="AB68" s="361"/>
      <c r="AC68" s="361"/>
      <c r="AD68" s="360">
        <f t="shared" si="9"/>
        <v>0</v>
      </c>
      <c r="AE68" s="361">
        <v>239565</v>
      </c>
      <c r="AF68" s="361"/>
      <c r="AG68" s="983">
        <f t="shared" si="10"/>
        <v>239565</v>
      </c>
    </row>
    <row r="69" spans="1:36" ht="12.95" customHeight="1" x14ac:dyDescent="0.25">
      <c r="A69" s="563"/>
      <c r="B69" s="1043"/>
      <c r="C69" s="9" t="s">
        <v>628</v>
      </c>
      <c r="D69" s="1058">
        <f t="shared" si="1"/>
        <v>0</v>
      </c>
      <c r="E69" s="361">
        <f t="shared" si="2"/>
        <v>0</v>
      </c>
      <c r="F69" s="1030">
        <f t="shared" si="3"/>
        <v>0</v>
      </c>
      <c r="G69" s="1023"/>
      <c r="H69" s="361"/>
      <c r="I69" s="360">
        <f t="shared" si="4"/>
        <v>0</v>
      </c>
      <c r="J69" s="361"/>
      <c r="K69" s="361"/>
      <c r="L69" s="360">
        <f t="shared" si="5"/>
        <v>0</v>
      </c>
      <c r="M69" s="361"/>
      <c r="N69" s="361"/>
      <c r="O69" s="360">
        <f t="shared" si="6"/>
        <v>0</v>
      </c>
      <c r="P69" s="361"/>
      <c r="Q69" s="361"/>
      <c r="R69" s="361"/>
      <c r="S69" s="361"/>
      <c r="T69" s="361"/>
      <c r="U69" s="361"/>
      <c r="V69" s="361"/>
      <c r="W69" s="361"/>
      <c r="X69" s="360">
        <f t="shared" si="7"/>
        <v>0</v>
      </c>
      <c r="Y69" s="361"/>
      <c r="Z69" s="361"/>
      <c r="AA69" s="360">
        <f t="shared" si="8"/>
        <v>0</v>
      </c>
      <c r="AB69" s="361"/>
      <c r="AC69" s="361"/>
      <c r="AD69" s="360">
        <f t="shared" si="9"/>
        <v>0</v>
      </c>
      <c r="AE69" s="361">
        <v>0</v>
      </c>
      <c r="AF69" s="361"/>
      <c r="AG69" s="983">
        <f t="shared" si="10"/>
        <v>0</v>
      </c>
    </row>
    <row r="70" spans="1:36" ht="12.95" customHeight="1" x14ac:dyDescent="0.25">
      <c r="A70" s="563"/>
      <c r="B70" s="1043"/>
      <c r="C70" s="9" t="s">
        <v>762</v>
      </c>
      <c r="D70" s="1058">
        <f t="shared" si="1"/>
        <v>1050</v>
      </c>
      <c r="E70" s="361">
        <f t="shared" si="2"/>
        <v>0</v>
      </c>
      <c r="F70" s="1030">
        <f t="shared" si="3"/>
        <v>1050</v>
      </c>
      <c r="G70" s="1023"/>
      <c r="H70" s="361"/>
      <c r="I70" s="360">
        <f t="shared" si="4"/>
        <v>0</v>
      </c>
      <c r="J70" s="361"/>
      <c r="K70" s="361"/>
      <c r="L70" s="360">
        <f t="shared" si="5"/>
        <v>0</v>
      </c>
      <c r="M70" s="361"/>
      <c r="N70" s="361"/>
      <c r="O70" s="360">
        <f t="shared" si="6"/>
        <v>0</v>
      </c>
      <c r="P70" s="361"/>
      <c r="Q70" s="361"/>
      <c r="R70" s="361"/>
      <c r="S70" s="361"/>
      <c r="T70" s="361"/>
      <c r="U70" s="361"/>
      <c r="V70" s="361"/>
      <c r="W70" s="361"/>
      <c r="X70" s="360">
        <f t="shared" si="7"/>
        <v>0</v>
      </c>
      <c r="Y70" s="361"/>
      <c r="Z70" s="361"/>
      <c r="AA70" s="360">
        <f t="shared" si="8"/>
        <v>0</v>
      </c>
      <c r="AB70" s="361"/>
      <c r="AC70" s="361"/>
      <c r="AD70" s="360">
        <f t="shared" si="9"/>
        <v>0</v>
      </c>
      <c r="AE70" s="361">
        <v>1050</v>
      </c>
      <c r="AF70" s="361"/>
      <c r="AG70" s="983">
        <f t="shared" si="10"/>
        <v>1050</v>
      </c>
    </row>
    <row r="71" spans="1:36" s="716" customFormat="1" ht="12.95" customHeight="1" x14ac:dyDescent="0.25">
      <c r="A71" s="563"/>
      <c r="B71" s="1043"/>
      <c r="C71" s="9" t="s">
        <v>760</v>
      </c>
      <c r="D71" s="1059">
        <f t="shared" ref="D71:D107" si="25">+G71+M71+P71+S71+V71+AE71+J71+Y71+AB71</f>
        <v>11262</v>
      </c>
      <c r="E71" s="1027">
        <f t="shared" ref="E71:E107" si="26">+H71+N71+Q71+T71+W71+AF71+K71+Z71+AC71</f>
        <v>0</v>
      </c>
      <c r="F71" s="1031">
        <f t="shared" ref="F71:F107" si="27">+I71+O71+R71+U71+X71+AG71+L71+AA71+AD71</f>
        <v>11262</v>
      </c>
      <c r="G71" s="1026"/>
      <c r="H71" s="1027"/>
      <c r="I71" s="360">
        <f t="shared" ref="I71:I107" si="28">+H71+G71</f>
        <v>0</v>
      </c>
      <c r="J71" s="1027"/>
      <c r="K71" s="1027"/>
      <c r="L71" s="360">
        <f t="shared" ref="L71:L107" si="29">+K71+J71</f>
        <v>0</v>
      </c>
      <c r="M71" s="1027"/>
      <c r="N71" s="1027"/>
      <c r="O71" s="360">
        <f t="shared" ref="O71:O107" si="30">+N71+M71</f>
        <v>0</v>
      </c>
      <c r="P71" s="1027"/>
      <c r="Q71" s="1027"/>
      <c r="R71" s="1027"/>
      <c r="S71" s="1027"/>
      <c r="T71" s="1027"/>
      <c r="U71" s="1027"/>
      <c r="V71" s="1027"/>
      <c r="W71" s="1027"/>
      <c r="X71" s="360">
        <f t="shared" ref="X71:X107" si="31">+W71+V71</f>
        <v>0</v>
      </c>
      <c r="Y71" s="1027"/>
      <c r="Z71" s="1027"/>
      <c r="AA71" s="360">
        <f t="shared" ref="AA71:AA107" si="32">+Z71+Y71</f>
        <v>0</v>
      </c>
      <c r="AB71" s="1027"/>
      <c r="AC71" s="1027"/>
      <c r="AD71" s="360">
        <f t="shared" ref="AD71:AD107" si="33">+AC71+AB71</f>
        <v>0</v>
      </c>
      <c r="AE71" s="1027">
        <v>11262</v>
      </c>
      <c r="AF71" s="1027"/>
      <c r="AG71" s="983">
        <f t="shared" ref="AG71:AG106" si="34">+AF71+AE71</f>
        <v>11262</v>
      </c>
      <c r="AH71" s="916"/>
      <c r="AI71" s="916"/>
      <c r="AJ71" s="916"/>
    </row>
    <row r="72" spans="1:36" s="716" customFormat="1" ht="12.95" customHeight="1" x14ac:dyDescent="0.25">
      <c r="A72" s="563"/>
      <c r="B72" s="1043"/>
      <c r="C72" s="9" t="s">
        <v>877</v>
      </c>
      <c r="D72" s="1059">
        <f t="shared" si="25"/>
        <v>0</v>
      </c>
      <c r="E72" s="1027">
        <f t="shared" si="26"/>
        <v>0</v>
      </c>
      <c r="F72" s="1031">
        <f t="shared" si="27"/>
        <v>0</v>
      </c>
      <c r="G72" s="1026"/>
      <c r="H72" s="1027"/>
      <c r="I72" s="360"/>
      <c r="J72" s="1027"/>
      <c r="K72" s="1027"/>
      <c r="L72" s="360"/>
      <c r="M72" s="1027"/>
      <c r="N72" s="1027"/>
      <c r="O72" s="360"/>
      <c r="P72" s="1027"/>
      <c r="Q72" s="1027"/>
      <c r="R72" s="1027"/>
      <c r="S72" s="1027"/>
      <c r="T72" s="1027"/>
      <c r="U72" s="1027"/>
      <c r="V72" s="1027"/>
      <c r="W72" s="1027"/>
      <c r="X72" s="360"/>
      <c r="Y72" s="1027"/>
      <c r="Z72" s="1027"/>
      <c r="AA72" s="360"/>
      <c r="AB72" s="1027"/>
      <c r="AC72" s="1027"/>
      <c r="AD72" s="360"/>
      <c r="AE72" s="1027"/>
      <c r="AF72" s="1027"/>
      <c r="AG72" s="983"/>
      <c r="AH72" s="916"/>
      <c r="AI72" s="916"/>
      <c r="AJ72" s="916"/>
    </row>
    <row r="73" spans="1:36" ht="12.95" customHeight="1" x14ac:dyDescent="0.25">
      <c r="A73" s="563"/>
      <c r="B73" s="1043"/>
      <c r="C73" s="9" t="s">
        <v>627</v>
      </c>
      <c r="D73" s="1058">
        <f t="shared" si="25"/>
        <v>18242</v>
      </c>
      <c r="E73" s="1027">
        <f t="shared" si="26"/>
        <v>-3154</v>
      </c>
      <c r="F73" s="1031">
        <f t="shared" si="27"/>
        <v>15088</v>
      </c>
      <c r="G73" s="1023"/>
      <c r="H73" s="361"/>
      <c r="I73" s="360">
        <f t="shared" si="28"/>
        <v>0</v>
      </c>
      <c r="J73" s="361"/>
      <c r="K73" s="361"/>
      <c r="L73" s="360">
        <f t="shared" si="29"/>
        <v>0</v>
      </c>
      <c r="M73" s="361"/>
      <c r="N73" s="361"/>
      <c r="O73" s="360">
        <f t="shared" si="30"/>
        <v>0</v>
      </c>
      <c r="P73" s="361"/>
      <c r="Q73" s="361"/>
      <c r="R73" s="361"/>
      <c r="S73" s="361"/>
      <c r="T73" s="361"/>
      <c r="U73" s="361"/>
      <c r="V73" s="361"/>
      <c r="W73" s="361"/>
      <c r="X73" s="360">
        <f t="shared" si="31"/>
        <v>0</v>
      </c>
      <c r="Y73" s="361"/>
      <c r="Z73" s="361"/>
      <c r="AA73" s="360">
        <f t="shared" si="32"/>
        <v>0</v>
      </c>
      <c r="AB73" s="361"/>
      <c r="AC73" s="361"/>
      <c r="AD73" s="360">
        <f t="shared" si="33"/>
        <v>0</v>
      </c>
      <c r="AE73" s="1027">
        <v>18242</v>
      </c>
      <c r="AF73" s="361">
        <f>-2426-728</f>
        <v>-3154</v>
      </c>
      <c r="AG73" s="983">
        <f t="shared" si="34"/>
        <v>15088</v>
      </c>
    </row>
    <row r="74" spans="1:36" ht="12.95" customHeight="1" x14ac:dyDescent="0.25">
      <c r="A74" s="563"/>
      <c r="B74" s="1043"/>
      <c r="C74" s="9" t="s">
        <v>606</v>
      </c>
      <c r="D74" s="1058">
        <f t="shared" si="25"/>
        <v>69566</v>
      </c>
      <c r="E74" s="361">
        <f t="shared" si="26"/>
        <v>0</v>
      </c>
      <c r="F74" s="1031">
        <f t="shared" si="27"/>
        <v>69566</v>
      </c>
      <c r="G74" s="1023"/>
      <c r="H74" s="361"/>
      <c r="I74" s="360">
        <f t="shared" si="28"/>
        <v>0</v>
      </c>
      <c r="J74" s="361"/>
      <c r="K74" s="361"/>
      <c r="L74" s="360">
        <f t="shared" si="29"/>
        <v>0</v>
      </c>
      <c r="M74" s="361"/>
      <c r="N74" s="361"/>
      <c r="O74" s="360">
        <f t="shared" si="30"/>
        <v>0</v>
      </c>
      <c r="P74" s="361"/>
      <c r="Q74" s="361"/>
      <c r="R74" s="361"/>
      <c r="S74" s="361"/>
      <c r="T74" s="361"/>
      <c r="U74" s="361"/>
      <c r="V74" s="361"/>
      <c r="W74" s="361"/>
      <c r="X74" s="360">
        <f t="shared" si="31"/>
        <v>0</v>
      </c>
      <c r="Y74" s="361"/>
      <c r="Z74" s="361"/>
      <c r="AA74" s="360">
        <f t="shared" si="32"/>
        <v>0</v>
      </c>
      <c r="AB74" s="361"/>
      <c r="AC74" s="361"/>
      <c r="AD74" s="360">
        <f t="shared" si="33"/>
        <v>0</v>
      </c>
      <c r="AE74" s="361">
        <v>69566</v>
      </c>
      <c r="AF74" s="361"/>
      <c r="AG74" s="983">
        <f t="shared" si="34"/>
        <v>69566</v>
      </c>
    </row>
    <row r="75" spans="1:36" s="44" customFormat="1" ht="12.95" customHeight="1" x14ac:dyDescent="0.2">
      <c r="A75" s="560" t="s">
        <v>108</v>
      </c>
      <c r="B75" s="1119" t="s">
        <v>163</v>
      </c>
      <c r="C75" s="1132"/>
      <c r="D75" s="1056">
        <f t="shared" si="25"/>
        <v>365718</v>
      </c>
      <c r="E75" s="360">
        <f t="shared" si="26"/>
        <v>3796</v>
      </c>
      <c r="F75" s="983">
        <f t="shared" si="27"/>
        <v>369514</v>
      </c>
      <c r="G75" s="982">
        <f>+G63+G62+G61+G60+G59+G58</f>
        <v>0</v>
      </c>
      <c r="H75" s="360">
        <f>+H63+H62+H61+H60+H59+H58</f>
        <v>0</v>
      </c>
      <c r="I75" s="360">
        <f t="shared" si="28"/>
        <v>0</v>
      </c>
      <c r="J75" s="360"/>
      <c r="K75" s="360"/>
      <c r="L75" s="360">
        <f t="shared" si="29"/>
        <v>0</v>
      </c>
      <c r="M75" s="360"/>
      <c r="N75" s="360"/>
      <c r="O75" s="360">
        <f t="shared" si="30"/>
        <v>0</v>
      </c>
      <c r="P75" s="360">
        <f t="shared" ref="P75:W75" si="35">+P63+P62+P61+P60+P59+P58</f>
        <v>0</v>
      </c>
      <c r="Q75" s="360">
        <f t="shared" si="35"/>
        <v>0</v>
      </c>
      <c r="R75" s="360">
        <f t="shared" si="35"/>
        <v>0</v>
      </c>
      <c r="S75" s="360">
        <f t="shared" si="35"/>
        <v>0</v>
      </c>
      <c r="T75" s="360">
        <f t="shared" si="35"/>
        <v>0</v>
      </c>
      <c r="U75" s="360">
        <f t="shared" si="35"/>
        <v>0</v>
      </c>
      <c r="V75" s="360">
        <f t="shared" si="35"/>
        <v>0</v>
      </c>
      <c r="W75" s="360">
        <f t="shared" si="35"/>
        <v>0</v>
      </c>
      <c r="X75" s="360">
        <f t="shared" si="31"/>
        <v>0</v>
      </c>
      <c r="Y75" s="360">
        <f>+Y63+Y62+Y61+Y60+Y59+Y58</f>
        <v>0</v>
      </c>
      <c r="Z75" s="360">
        <f>+Z63+Z62+Z61+Z60+Z59+Z58</f>
        <v>0</v>
      </c>
      <c r="AA75" s="360">
        <f t="shared" si="32"/>
        <v>0</v>
      </c>
      <c r="AB75" s="360"/>
      <c r="AC75" s="360"/>
      <c r="AD75" s="360">
        <f t="shared" si="33"/>
        <v>0</v>
      </c>
      <c r="AE75" s="360">
        <v>365718</v>
      </c>
      <c r="AF75" s="360">
        <f>+AF63+AF62+AF61+AF60+AF59+AF58</f>
        <v>3796</v>
      </c>
      <c r="AG75" s="983">
        <f t="shared" si="34"/>
        <v>369514</v>
      </c>
    </row>
    <row r="76" spans="1:36" ht="11.25" customHeight="1" x14ac:dyDescent="0.25">
      <c r="A76" s="562"/>
      <c r="B76" s="1044"/>
      <c r="C76" s="1044"/>
      <c r="D76" s="1057"/>
      <c r="E76" s="1021"/>
      <c r="F76" s="1022"/>
      <c r="G76" s="772"/>
      <c r="H76" s="772"/>
      <c r="I76" s="1021"/>
      <c r="J76" s="772"/>
      <c r="K76" s="772"/>
      <c r="L76" s="1021"/>
      <c r="M76" s="772"/>
      <c r="N76" s="772"/>
      <c r="O76" s="1021"/>
      <c r="P76" s="772"/>
      <c r="Q76" s="772"/>
      <c r="R76" s="772"/>
      <c r="S76" s="772"/>
      <c r="T76" s="772"/>
      <c r="U76" s="772"/>
      <c r="V76" s="772"/>
      <c r="W76" s="772"/>
      <c r="X76" s="1021"/>
      <c r="Y76" s="772"/>
      <c r="Z76" s="772"/>
      <c r="AA76" s="1021"/>
      <c r="AB76" s="772"/>
      <c r="AC76" s="772"/>
      <c r="AD76" s="1021"/>
      <c r="AE76" s="772"/>
      <c r="AF76" s="772"/>
      <c r="AG76" s="1022"/>
    </row>
    <row r="77" spans="1:36" ht="12.95" hidden="1" customHeight="1" x14ac:dyDescent="0.25">
      <c r="A77" s="102" t="s">
        <v>110</v>
      </c>
      <c r="B77" s="1133" t="s">
        <v>109</v>
      </c>
      <c r="C77" s="1133"/>
      <c r="D77" s="1057">
        <f t="shared" si="25"/>
        <v>0</v>
      </c>
      <c r="E77" s="1021">
        <f t="shared" si="26"/>
        <v>0</v>
      </c>
      <c r="F77" s="1022">
        <f t="shared" si="27"/>
        <v>0</v>
      </c>
      <c r="G77" s="772"/>
      <c r="H77" s="772"/>
      <c r="I77" s="1021">
        <f t="shared" si="28"/>
        <v>0</v>
      </c>
      <c r="J77" s="772"/>
      <c r="K77" s="772"/>
      <c r="L77" s="1021">
        <f t="shared" si="29"/>
        <v>0</v>
      </c>
      <c r="M77" s="772"/>
      <c r="N77" s="772"/>
      <c r="O77" s="1021">
        <f t="shared" si="30"/>
        <v>0</v>
      </c>
      <c r="P77" s="772"/>
      <c r="Q77" s="772"/>
      <c r="R77" s="772"/>
      <c r="S77" s="772"/>
      <c r="T77" s="772"/>
      <c r="U77" s="772"/>
      <c r="V77" s="772"/>
      <c r="W77" s="772"/>
      <c r="X77" s="1021">
        <f t="shared" si="31"/>
        <v>0</v>
      </c>
      <c r="Y77" s="772"/>
      <c r="Z77" s="772"/>
      <c r="AA77" s="1021">
        <f t="shared" si="32"/>
        <v>0</v>
      </c>
      <c r="AB77" s="772"/>
      <c r="AC77" s="772"/>
      <c r="AD77" s="1021">
        <f t="shared" si="33"/>
        <v>0</v>
      </c>
      <c r="AE77" s="772">
        <v>0</v>
      </c>
      <c r="AF77" s="772"/>
      <c r="AG77" s="1022">
        <f t="shared" si="34"/>
        <v>0</v>
      </c>
    </row>
    <row r="78" spans="1:36" ht="12.95" hidden="1" customHeight="1" x14ac:dyDescent="0.25">
      <c r="A78" s="102" t="s">
        <v>111</v>
      </c>
      <c r="B78" s="1133" t="s">
        <v>162</v>
      </c>
      <c r="C78" s="1133"/>
      <c r="D78" s="1057">
        <f t="shared" si="25"/>
        <v>0</v>
      </c>
      <c r="E78" s="1021">
        <f t="shared" si="26"/>
        <v>0</v>
      </c>
      <c r="F78" s="1022">
        <f t="shared" si="27"/>
        <v>0</v>
      </c>
      <c r="G78" s="772"/>
      <c r="H78" s="772"/>
      <c r="I78" s="1021">
        <f t="shared" si="28"/>
        <v>0</v>
      </c>
      <c r="J78" s="772"/>
      <c r="K78" s="772"/>
      <c r="L78" s="1021">
        <f t="shared" si="29"/>
        <v>0</v>
      </c>
      <c r="M78" s="772"/>
      <c r="N78" s="772"/>
      <c r="O78" s="1021">
        <f t="shared" si="30"/>
        <v>0</v>
      </c>
      <c r="P78" s="772"/>
      <c r="Q78" s="772"/>
      <c r="R78" s="772"/>
      <c r="S78" s="772"/>
      <c r="T78" s="772"/>
      <c r="U78" s="772"/>
      <c r="V78" s="772"/>
      <c r="W78" s="772"/>
      <c r="X78" s="1021">
        <f t="shared" si="31"/>
        <v>0</v>
      </c>
      <c r="Y78" s="772"/>
      <c r="Z78" s="772"/>
      <c r="AA78" s="1021">
        <f t="shared" si="32"/>
        <v>0</v>
      </c>
      <c r="AB78" s="772"/>
      <c r="AC78" s="772"/>
      <c r="AD78" s="1021">
        <f t="shared" si="33"/>
        <v>0</v>
      </c>
      <c r="AE78" s="772">
        <v>0</v>
      </c>
      <c r="AF78" s="772"/>
      <c r="AG78" s="1022">
        <f t="shared" si="34"/>
        <v>0</v>
      </c>
    </row>
    <row r="79" spans="1:36" s="40" customFormat="1" ht="12.95" hidden="1" customHeight="1" x14ac:dyDescent="0.2">
      <c r="A79" s="918" t="s">
        <v>111</v>
      </c>
      <c r="B79" s="915"/>
      <c r="C79" s="1054" t="s">
        <v>112</v>
      </c>
      <c r="D79" s="1057">
        <f t="shared" si="25"/>
        <v>0</v>
      </c>
      <c r="E79" s="1021">
        <f t="shared" si="26"/>
        <v>0</v>
      </c>
      <c r="F79" s="1022">
        <f t="shared" si="27"/>
        <v>0</v>
      </c>
      <c r="G79" s="1028"/>
      <c r="H79" s="1028"/>
      <c r="I79" s="1021">
        <f t="shared" si="28"/>
        <v>0</v>
      </c>
      <c r="J79" s="1028"/>
      <c r="K79" s="1028"/>
      <c r="L79" s="1021">
        <f t="shared" si="29"/>
        <v>0</v>
      </c>
      <c r="M79" s="1028"/>
      <c r="N79" s="1028"/>
      <c r="O79" s="1021">
        <f t="shared" si="30"/>
        <v>0</v>
      </c>
      <c r="P79" s="1028"/>
      <c r="Q79" s="1028"/>
      <c r="R79" s="1028"/>
      <c r="S79" s="1028"/>
      <c r="T79" s="1028"/>
      <c r="U79" s="1028"/>
      <c r="V79" s="1028"/>
      <c r="W79" s="1028"/>
      <c r="X79" s="1021">
        <f t="shared" si="31"/>
        <v>0</v>
      </c>
      <c r="Y79" s="1028"/>
      <c r="Z79" s="1028"/>
      <c r="AA79" s="1021">
        <f t="shared" si="32"/>
        <v>0</v>
      </c>
      <c r="AB79" s="1028"/>
      <c r="AC79" s="1028"/>
      <c r="AD79" s="1021">
        <f t="shared" si="33"/>
        <v>0</v>
      </c>
      <c r="AE79" s="1028">
        <v>0</v>
      </c>
      <c r="AF79" s="1028"/>
      <c r="AG79" s="1022">
        <f t="shared" si="34"/>
        <v>0</v>
      </c>
    </row>
    <row r="80" spans="1:36" ht="12.95" hidden="1" customHeight="1" x14ac:dyDescent="0.25">
      <c r="A80" s="102" t="s">
        <v>114</v>
      </c>
      <c r="B80" s="1133" t="s">
        <v>113</v>
      </c>
      <c r="C80" s="1133"/>
      <c r="D80" s="1057">
        <f t="shared" si="25"/>
        <v>0</v>
      </c>
      <c r="E80" s="1021">
        <f t="shared" si="26"/>
        <v>0</v>
      </c>
      <c r="F80" s="1022">
        <f t="shared" si="27"/>
        <v>0</v>
      </c>
      <c r="G80" s="772"/>
      <c r="H80" s="772"/>
      <c r="I80" s="1021">
        <f t="shared" si="28"/>
        <v>0</v>
      </c>
      <c r="J80" s="772"/>
      <c r="K80" s="772"/>
      <c r="L80" s="1021">
        <f t="shared" si="29"/>
        <v>0</v>
      </c>
      <c r="M80" s="772"/>
      <c r="N80" s="772"/>
      <c r="O80" s="1021">
        <f t="shared" si="30"/>
        <v>0</v>
      </c>
      <c r="P80" s="772"/>
      <c r="Q80" s="772"/>
      <c r="R80" s="772"/>
      <c r="S80" s="772"/>
      <c r="T80" s="772"/>
      <c r="U80" s="772"/>
      <c r="V80" s="772"/>
      <c r="W80" s="772"/>
      <c r="X80" s="1021">
        <f t="shared" si="31"/>
        <v>0</v>
      </c>
      <c r="Y80" s="772"/>
      <c r="Z80" s="772"/>
      <c r="AA80" s="1021">
        <f t="shared" si="32"/>
        <v>0</v>
      </c>
      <c r="AB80" s="772"/>
      <c r="AC80" s="772"/>
      <c r="AD80" s="1021">
        <f t="shared" si="33"/>
        <v>0</v>
      </c>
      <c r="AE80" s="772">
        <v>0</v>
      </c>
      <c r="AF80" s="772"/>
      <c r="AG80" s="1022">
        <f t="shared" si="34"/>
        <v>0</v>
      </c>
    </row>
    <row r="81" spans="1:33" ht="12.95" hidden="1" customHeight="1" x14ac:dyDescent="0.25">
      <c r="A81" s="102" t="s">
        <v>116</v>
      </c>
      <c r="B81" s="1133" t="s">
        <v>115</v>
      </c>
      <c r="C81" s="1133"/>
      <c r="D81" s="1057">
        <f t="shared" si="25"/>
        <v>0</v>
      </c>
      <c r="E81" s="1021">
        <f t="shared" si="26"/>
        <v>0</v>
      </c>
      <c r="F81" s="1022">
        <f t="shared" si="27"/>
        <v>0</v>
      </c>
      <c r="G81" s="772"/>
      <c r="H81" s="772"/>
      <c r="I81" s="1021">
        <f t="shared" si="28"/>
        <v>0</v>
      </c>
      <c r="J81" s="772"/>
      <c r="K81" s="772"/>
      <c r="L81" s="1021">
        <f t="shared" si="29"/>
        <v>0</v>
      </c>
      <c r="M81" s="772"/>
      <c r="N81" s="772"/>
      <c r="O81" s="1021">
        <f t="shared" si="30"/>
        <v>0</v>
      </c>
      <c r="P81" s="772"/>
      <c r="Q81" s="772"/>
      <c r="R81" s="772"/>
      <c r="S81" s="772"/>
      <c r="T81" s="772"/>
      <c r="U81" s="772"/>
      <c r="V81" s="772"/>
      <c r="W81" s="772"/>
      <c r="X81" s="1021">
        <f t="shared" si="31"/>
        <v>0</v>
      </c>
      <c r="Y81" s="772"/>
      <c r="Z81" s="772"/>
      <c r="AA81" s="1021">
        <f t="shared" si="32"/>
        <v>0</v>
      </c>
      <c r="AB81" s="772"/>
      <c r="AC81" s="772"/>
      <c r="AD81" s="1021">
        <f t="shared" si="33"/>
        <v>0</v>
      </c>
      <c r="AE81" s="772">
        <v>0</v>
      </c>
      <c r="AF81" s="772"/>
      <c r="AG81" s="1022">
        <f t="shared" si="34"/>
        <v>0</v>
      </c>
    </row>
    <row r="82" spans="1:33" ht="12.95" hidden="1" customHeight="1" x14ac:dyDescent="0.25">
      <c r="A82" s="102" t="s">
        <v>118</v>
      </c>
      <c r="B82" s="1133" t="s">
        <v>117</v>
      </c>
      <c r="C82" s="1133"/>
      <c r="D82" s="1057">
        <f t="shared" si="25"/>
        <v>0</v>
      </c>
      <c r="E82" s="1021">
        <f t="shared" si="26"/>
        <v>0</v>
      </c>
      <c r="F82" s="1022">
        <f t="shared" si="27"/>
        <v>0</v>
      </c>
      <c r="G82" s="772"/>
      <c r="H82" s="772"/>
      <c r="I82" s="1021">
        <f t="shared" si="28"/>
        <v>0</v>
      </c>
      <c r="J82" s="772"/>
      <c r="K82" s="772"/>
      <c r="L82" s="1021">
        <f t="shared" si="29"/>
        <v>0</v>
      </c>
      <c r="M82" s="772"/>
      <c r="N82" s="772"/>
      <c r="O82" s="1021">
        <f t="shared" si="30"/>
        <v>0</v>
      </c>
      <c r="P82" s="772"/>
      <c r="Q82" s="772"/>
      <c r="R82" s="772"/>
      <c r="S82" s="772"/>
      <c r="T82" s="772"/>
      <c r="U82" s="772"/>
      <c r="V82" s="772"/>
      <c r="W82" s="772"/>
      <c r="X82" s="1021">
        <f t="shared" si="31"/>
        <v>0</v>
      </c>
      <c r="Y82" s="772"/>
      <c r="Z82" s="772"/>
      <c r="AA82" s="1021">
        <f t="shared" si="32"/>
        <v>0</v>
      </c>
      <c r="AB82" s="772"/>
      <c r="AC82" s="772"/>
      <c r="AD82" s="1021">
        <f t="shared" si="33"/>
        <v>0</v>
      </c>
      <c r="AE82" s="772">
        <v>0</v>
      </c>
      <c r="AF82" s="772"/>
      <c r="AG82" s="1022">
        <f t="shared" si="34"/>
        <v>0</v>
      </c>
    </row>
    <row r="83" spans="1:33" ht="12.95" hidden="1" customHeight="1" x14ac:dyDescent="0.25">
      <c r="A83" s="102" t="s">
        <v>120</v>
      </c>
      <c r="B83" s="1133" t="s">
        <v>119</v>
      </c>
      <c r="C83" s="1133"/>
      <c r="D83" s="1057">
        <f t="shared" si="25"/>
        <v>0</v>
      </c>
      <c r="E83" s="1021">
        <f t="shared" si="26"/>
        <v>0</v>
      </c>
      <c r="F83" s="1022">
        <f t="shared" si="27"/>
        <v>0</v>
      </c>
      <c r="G83" s="772"/>
      <c r="H83" s="772"/>
      <c r="I83" s="1021">
        <f t="shared" si="28"/>
        <v>0</v>
      </c>
      <c r="J83" s="772"/>
      <c r="K83" s="772"/>
      <c r="L83" s="1021">
        <f t="shared" si="29"/>
        <v>0</v>
      </c>
      <c r="M83" s="772"/>
      <c r="N83" s="772"/>
      <c r="O83" s="1021">
        <f t="shared" si="30"/>
        <v>0</v>
      </c>
      <c r="P83" s="772"/>
      <c r="Q83" s="772"/>
      <c r="R83" s="772"/>
      <c r="S83" s="772"/>
      <c r="T83" s="772"/>
      <c r="U83" s="772"/>
      <c r="V83" s="772"/>
      <c r="W83" s="772"/>
      <c r="X83" s="1021">
        <f t="shared" si="31"/>
        <v>0</v>
      </c>
      <c r="Y83" s="772"/>
      <c r="Z83" s="772"/>
      <c r="AA83" s="1021">
        <f t="shared" si="32"/>
        <v>0</v>
      </c>
      <c r="AB83" s="772"/>
      <c r="AC83" s="772"/>
      <c r="AD83" s="1021">
        <f t="shared" si="33"/>
        <v>0</v>
      </c>
      <c r="AE83" s="772">
        <v>0</v>
      </c>
      <c r="AF83" s="772"/>
      <c r="AG83" s="1022">
        <f t="shared" si="34"/>
        <v>0</v>
      </c>
    </row>
    <row r="84" spans="1:33" ht="12.95" hidden="1" customHeight="1" x14ac:dyDescent="0.25">
      <c r="A84" s="102" t="s">
        <v>122</v>
      </c>
      <c r="B84" s="1133" t="s">
        <v>121</v>
      </c>
      <c r="C84" s="1133"/>
      <c r="D84" s="1057">
        <f t="shared" si="25"/>
        <v>0</v>
      </c>
      <c r="E84" s="1021">
        <f t="shared" si="26"/>
        <v>0</v>
      </c>
      <c r="F84" s="1022">
        <f t="shared" si="27"/>
        <v>0</v>
      </c>
      <c r="G84" s="772"/>
      <c r="H84" s="772"/>
      <c r="I84" s="1021">
        <f t="shared" si="28"/>
        <v>0</v>
      </c>
      <c r="J84" s="772"/>
      <c r="K84" s="772"/>
      <c r="L84" s="1021">
        <f t="shared" si="29"/>
        <v>0</v>
      </c>
      <c r="M84" s="772"/>
      <c r="N84" s="772"/>
      <c r="O84" s="1021">
        <f t="shared" si="30"/>
        <v>0</v>
      </c>
      <c r="P84" s="772"/>
      <c r="Q84" s="772"/>
      <c r="R84" s="772"/>
      <c r="S84" s="772"/>
      <c r="T84" s="772"/>
      <c r="U84" s="772"/>
      <c r="V84" s="772"/>
      <c r="W84" s="772"/>
      <c r="X84" s="1021">
        <f t="shared" si="31"/>
        <v>0</v>
      </c>
      <c r="Y84" s="772"/>
      <c r="Z84" s="772"/>
      <c r="AA84" s="1021">
        <f t="shared" si="32"/>
        <v>0</v>
      </c>
      <c r="AB84" s="772"/>
      <c r="AC84" s="772"/>
      <c r="AD84" s="1021">
        <f t="shared" si="33"/>
        <v>0</v>
      </c>
      <c r="AE84" s="772">
        <v>0</v>
      </c>
      <c r="AF84" s="772"/>
      <c r="AG84" s="1022">
        <f t="shared" si="34"/>
        <v>0</v>
      </c>
    </row>
    <row r="85" spans="1:33" s="44" customFormat="1" ht="12.95" hidden="1" customHeight="1" x14ac:dyDescent="0.2">
      <c r="A85" s="562" t="s">
        <v>123</v>
      </c>
      <c r="B85" s="1213" t="s">
        <v>161</v>
      </c>
      <c r="C85" s="1213"/>
      <c r="D85" s="1057">
        <f t="shared" si="25"/>
        <v>0</v>
      </c>
      <c r="E85" s="1021">
        <f t="shared" si="26"/>
        <v>0</v>
      </c>
      <c r="F85" s="1022">
        <f t="shared" si="27"/>
        <v>0</v>
      </c>
      <c r="G85" s="1021"/>
      <c r="H85" s="1021"/>
      <c r="I85" s="1021">
        <f t="shared" si="28"/>
        <v>0</v>
      </c>
      <c r="J85" s="1021"/>
      <c r="K85" s="1021"/>
      <c r="L85" s="1021">
        <f t="shared" si="29"/>
        <v>0</v>
      </c>
      <c r="M85" s="1021"/>
      <c r="N85" s="1021"/>
      <c r="O85" s="1021">
        <f t="shared" si="30"/>
        <v>0</v>
      </c>
      <c r="P85" s="1021"/>
      <c r="Q85" s="1021"/>
      <c r="R85" s="1021"/>
      <c r="S85" s="1021"/>
      <c r="T85" s="1021"/>
      <c r="U85" s="1021"/>
      <c r="V85" s="1021"/>
      <c r="W85" s="1021"/>
      <c r="X85" s="1021">
        <f t="shared" si="31"/>
        <v>0</v>
      </c>
      <c r="Y85" s="1021"/>
      <c r="Z85" s="1021"/>
      <c r="AA85" s="1021">
        <f t="shared" si="32"/>
        <v>0</v>
      </c>
      <c r="AB85" s="1021"/>
      <c r="AC85" s="1021"/>
      <c r="AD85" s="1021">
        <f t="shared" si="33"/>
        <v>0</v>
      </c>
      <c r="AE85" s="1021">
        <v>0</v>
      </c>
      <c r="AF85" s="1021"/>
      <c r="AG85" s="1022">
        <f t="shared" si="34"/>
        <v>0</v>
      </c>
    </row>
    <row r="86" spans="1:33" ht="5.25" hidden="1" customHeight="1" x14ac:dyDescent="0.25">
      <c r="A86" s="562"/>
      <c r="B86" s="1044"/>
      <c r="C86" s="1044"/>
      <c r="D86" s="1057">
        <f t="shared" si="25"/>
        <v>0</v>
      </c>
      <c r="E86" s="1021">
        <f t="shared" si="26"/>
        <v>0</v>
      </c>
      <c r="F86" s="1022">
        <f t="shared" si="27"/>
        <v>0</v>
      </c>
      <c r="G86" s="772"/>
      <c r="H86" s="772"/>
      <c r="I86" s="1021">
        <f t="shared" si="28"/>
        <v>0</v>
      </c>
      <c r="J86" s="772"/>
      <c r="K86" s="772"/>
      <c r="L86" s="1021">
        <f t="shared" si="29"/>
        <v>0</v>
      </c>
      <c r="M86" s="772"/>
      <c r="N86" s="772"/>
      <c r="O86" s="1021">
        <f t="shared" si="30"/>
        <v>0</v>
      </c>
      <c r="P86" s="772"/>
      <c r="Q86" s="772"/>
      <c r="R86" s="772"/>
      <c r="S86" s="772"/>
      <c r="T86" s="772"/>
      <c r="U86" s="772"/>
      <c r="V86" s="772"/>
      <c r="W86" s="772"/>
      <c r="X86" s="1021">
        <f t="shared" si="31"/>
        <v>0</v>
      </c>
      <c r="Y86" s="772"/>
      <c r="Z86" s="772"/>
      <c r="AA86" s="1021">
        <f t="shared" si="32"/>
        <v>0</v>
      </c>
      <c r="AB86" s="772"/>
      <c r="AC86" s="772"/>
      <c r="AD86" s="1021">
        <f t="shared" si="33"/>
        <v>0</v>
      </c>
      <c r="AE86" s="772">
        <v>0</v>
      </c>
      <c r="AF86" s="772"/>
      <c r="AG86" s="1022">
        <f t="shared" si="34"/>
        <v>0</v>
      </c>
    </row>
    <row r="87" spans="1:33" ht="12.95" hidden="1" customHeight="1" x14ac:dyDescent="0.25">
      <c r="A87" s="102" t="s">
        <v>125</v>
      </c>
      <c r="B87" s="1133" t="s">
        <v>124</v>
      </c>
      <c r="C87" s="1133"/>
      <c r="D87" s="1057">
        <f t="shared" si="25"/>
        <v>0</v>
      </c>
      <c r="E87" s="1021">
        <f t="shared" si="26"/>
        <v>0</v>
      </c>
      <c r="F87" s="1022">
        <f t="shared" si="27"/>
        <v>0</v>
      </c>
      <c r="G87" s="772"/>
      <c r="H87" s="772"/>
      <c r="I87" s="1021">
        <f t="shared" si="28"/>
        <v>0</v>
      </c>
      <c r="J87" s="772"/>
      <c r="K87" s="772"/>
      <c r="L87" s="1021">
        <f t="shared" si="29"/>
        <v>0</v>
      </c>
      <c r="M87" s="772"/>
      <c r="N87" s="772"/>
      <c r="O87" s="1021">
        <f t="shared" si="30"/>
        <v>0</v>
      </c>
      <c r="P87" s="772"/>
      <c r="Q87" s="772"/>
      <c r="R87" s="772"/>
      <c r="S87" s="772"/>
      <c r="T87" s="772"/>
      <c r="U87" s="772"/>
      <c r="V87" s="772"/>
      <c r="W87" s="772"/>
      <c r="X87" s="1021">
        <f t="shared" si="31"/>
        <v>0</v>
      </c>
      <c r="Y87" s="772"/>
      <c r="Z87" s="772"/>
      <c r="AA87" s="1021">
        <f t="shared" si="32"/>
        <v>0</v>
      </c>
      <c r="AB87" s="772"/>
      <c r="AC87" s="772"/>
      <c r="AD87" s="1021">
        <f t="shared" si="33"/>
        <v>0</v>
      </c>
      <c r="AE87" s="772">
        <v>0</v>
      </c>
      <c r="AF87" s="772"/>
      <c r="AG87" s="1022">
        <f t="shared" si="34"/>
        <v>0</v>
      </c>
    </row>
    <row r="88" spans="1:33" ht="12.95" hidden="1" customHeight="1" x14ac:dyDescent="0.25">
      <c r="A88" s="102" t="s">
        <v>127</v>
      </c>
      <c r="B88" s="1133" t="s">
        <v>126</v>
      </c>
      <c r="C88" s="1133"/>
      <c r="D88" s="1057">
        <f t="shared" si="25"/>
        <v>0</v>
      </c>
      <c r="E88" s="1021">
        <f t="shared" si="26"/>
        <v>0</v>
      </c>
      <c r="F88" s="1022">
        <f t="shared" si="27"/>
        <v>0</v>
      </c>
      <c r="G88" s="772"/>
      <c r="H88" s="772"/>
      <c r="I88" s="1021">
        <f t="shared" si="28"/>
        <v>0</v>
      </c>
      <c r="J88" s="772"/>
      <c r="K88" s="772"/>
      <c r="L88" s="1021">
        <f t="shared" si="29"/>
        <v>0</v>
      </c>
      <c r="M88" s="772"/>
      <c r="N88" s="772"/>
      <c r="O88" s="1021">
        <f t="shared" si="30"/>
        <v>0</v>
      </c>
      <c r="P88" s="772"/>
      <c r="Q88" s="772"/>
      <c r="R88" s="772"/>
      <c r="S88" s="772"/>
      <c r="T88" s="772"/>
      <c r="U88" s="772"/>
      <c r="V88" s="772"/>
      <c r="W88" s="772"/>
      <c r="X88" s="1021">
        <f t="shared" si="31"/>
        <v>0</v>
      </c>
      <c r="Y88" s="772"/>
      <c r="Z88" s="772"/>
      <c r="AA88" s="1021">
        <f t="shared" si="32"/>
        <v>0</v>
      </c>
      <c r="AB88" s="772"/>
      <c r="AC88" s="772"/>
      <c r="AD88" s="1021">
        <f t="shared" si="33"/>
        <v>0</v>
      </c>
      <c r="AE88" s="772">
        <v>0</v>
      </c>
      <c r="AF88" s="772"/>
      <c r="AG88" s="1022">
        <f t="shared" si="34"/>
        <v>0</v>
      </c>
    </row>
    <row r="89" spans="1:33" ht="12.95" hidden="1" customHeight="1" x14ac:dyDescent="0.25">
      <c r="A89" s="102" t="s">
        <v>129</v>
      </c>
      <c r="B89" s="1133" t="s">
        <v>128</v>
      </c>
      <c r="C89" s="1133"/>
      <c r="D89" s="1057">
        <f t="shared" si="25"/>
        <v>0</v>
      </c>
      <c r="E89" s="1021">
        <f t="shared" si="26"/>
        <v>0</v>
      </c>
      <c r="F89" s="1022">
        <f t="shared" si="27"/>
        <v>0</v>
      </c>
      <c r="G89" s="772"/>
      <c r="H89" s="772"/>
      <c r="I89" s="1021">
        <f t="shared" si="28"/>
        <v>0</v>
      </c>
      <c r="J89" s="772"/>
      <c r="K89" s="772"/>
      <c r="L89" s="1021">
        <f t="shared" si="29"/>
        <v>0</v>
      </c>
      <c r="M89" s="772"/>
      <c r="N89" s="772"/>
      <c r="O89" s="1021">
        <f t="shared" si="30"/>
        <v>0</v>
      </c>
      <c r="P89" s="772"/>
      <c r="Q89" s="772"/>
      <c r="R89" s="772"/>
      <c r="S89" s="772"/>
      <c r="T89" s="772"/>
      <c r="U89" s="772"/>
      <c r="V89" s="772"/>
      <c r="W89" s="772"/>
      <c r="X89" s="1021">
        <f t="shared" si="31"/>
        <v>0</v>
      </c>
      <c r="Y89" s="772"/>
      <c r="Z89" s="772"/>
      <c r="AA89" s="1021">
        <f t="shared" si="32"/>
        <v>0</v>
      </c>
      <c r="AB89" s="772"/>
      <c r="AC89" s="772"/>
      <c r="AD89" s="1021">
        <f t="shared" si="33"/>
        <v>0</v>
      </c>
      <c r="AE89" s="772">
        <v>0</v>
      </c>
      <c r="AF89" s="772"/>
      <c r="AG89" s="1022">
        <f t="shared" si="34"/>
        <v>0</v>
      </c>
    </row>
    <row r="90" spans="1:33" ht="12.95" hidden="1" customHeight="1" x14ac:dyDescent="0.25">
      <c r="A90" s="102" t="s">
        <v>131</v>
      </c>
      <c r="B90" s="1133" t="s">
        <v>130</v>
      </c>
      <c r="C90" s="1133"/>
      <c r="D90" s="1057">
        <f t="shared" si="25"/>
        <v>0</v>
      </c>
      <c r="E90" s="1021">
        <f t="shared" si="26"/>
        <v>0</v>
      </c>
      <c r="F90" s="1022">
        <f t="shared" si="27"/>
        <v>0</v>
      </c>
      <c r="G90" s="772"/>
      <c r="H90" s="772"/>
      <c r="I90" s="1021">
        <f t="shared" si="28"/>
        <v>0</v>
      </c>
      <c r="J90" s="772"/>
      <c r="K90" s="772"/>
      <c r="L90" s="1021">
        <f t="shared" si="29"/>
        <v>0</v>
      </c>
      <c r="M90" s="772"/>
      <c r="N90" s="772"/>
      <c r="O90" s="1021">
        <f t="shared" si="30"/>
        <v>0</v>
      </c>
      <c r="P90" s="772"/>
      <c r="Q90" s="772"/>
      <c r="R90" s="772"/>
      <c r="S90" s="772"/>
      <c r="T90" s="772"/>
      <c r="U90" s="772"/>
      <c r="V90" s="772"/>
      <c r="W90" s="772"/>
      <c r="X90" s="1021">
        <f t="shared" si="31"/>
        <v>0</v>
      </c>
      <c r="Y90" s="772"/>
      <c r="Z90" s="772"/>
      <c r="AA90" s="1021">
        <f t="shared" si="32"/>
        <v>0</v>
      </c>
      <c r="AB90" s="772"/>
      <c r="AC90" s="772"/>
      <c r="AD90" s="1021">
        <f t="shared" si="33"/>
        <v>0</v>
      </c>
      <c r="AE90" s="772">
        <v>0</v>
      </c>
      <c r="AF90" s="772"/>
      <c r="AG90" s="1022">
        <f t="shared" si="34"/>
        <v>0</v>
      </c>
    </row>
    <row r="91" spans="1:33" s="44" customFormat="1" ht="12.95" hidden="1" customHeight="1" x14ac:dyDescent="0.2">
      <c r="A91" s="562" t="s">
        <v>132</v>
      </c>
      <c r="B91" s="1213" t="s">
        <v>160</v>
      </c>
      <c r="C91" s="1213"/>
      <c r="D91" s="1057">
        <f t="shared" si="25"/>
        <v>0</v>
      </c>
      <c r="E91" s="1021">
        <f t="shared" si="26"/>
        <v>0</v>
      </c>
      <c r="F91" s="1022">
        <f t="shared" si="27"/>
        <v>0</v>
      </c>
      <c r="G91" s="1021"/>
      <c r="H91" s="1021"/>
      <c r="I91" s="1021">
        <f t="shared" si="28"/>
        <v>0</v>
      </c>
      <c r="J91" s="1021"/>
      <c r="K91" s="1021"/>
      <c r="L91" s="1021">
        <f t="shared" si="29"/>
        <v>0</v>
      </c>
      <c r="M91" s="1021"/>
      <c r="N91" s="1021"/>
      <c r="O91" s="1021">
        <f t="shared" si="30"/>
        <v>0</v>
      </c>
      <c r="P91" s="1021"/>
      <c r="Q91" s="1021"/>
      <c r="R91" s="1021"/>
      <c r="S91" s="1021"/>
      <c r="T91" s="1021"/>
      <c r="U91" s="1021"/>
      <c r="V91" s="1021"/>
      <c r="W91" s="1021"/>
      <c r="X91" s="1021">
        <f t="shared" si="31"/>
        <v>0</v>
      </c>
      <c r="Y91" s="1021"/>
      <c r="Z91" s="1021"/>
      <c r="AA91" s="1021">
        <f t="shared" si="32"/>
        <v>0</v>
      </c>
      <c r="AB91" s="1021"/>
      <c r="AC91" s="1021"/>
      <c r="AD91" s="1021">
        <f t="shared" si="33"/>
        <v>0</v>
      </c>
      <c r="AE91" s="1021">
        <v>0</v>
      </c>
      <c r="AF91" s="1021"/>
      <c r="AG91" s="1022">
        <f t="shared" si="34"/>
        <v>0</v>
      </c>
    </row>
    <row r="92" spans="1:33" ht="12.95" hidden="1" customHeight="1" x14ac:dyDescent="0.25">
      <c r="A92" s="562"/>
      <c r="B92" s="1044"/>
      <c r="C92" s="1044"/>
      <c r="D92" s="1057">
        <f t="shared" si="25"/>
        <v>0</v>
      </c>
      <c r="E92" s="1021">
        <f t="shared" si="26"/>
        <v>0</v>
      </c>
      <c r="F92" s="1022">
        <f t="shared" si="27"/>
        <v>0</v>
      </c>
      <c r="G92" s="772"/>
      <c r="H92" s="772"/>
      <c r="I92" s="1021">
        <f t="shared" si="28"/>
        <v>0</v>
      </c>
      <c r="J92" s="772"/>
      <c r="K92" s="772"/>
      <c r="L92" s="1021">
        <f t="shared" si="29"/>
        <v>0</v>
      </c>
      <c r="M92" s="772"/>
      <c r="N92" s="772"/>
      <c r="O92" s="1021">
        <f t="shared" si="30"/>
        <v>0</v>
      </c>
      <c r="P92" s="772"/>
      <c r="Q92" s="772"/>
      <c r="R92" s="772"/>
      <c r="S92" s="772"/>
      <c r="T92" s="772"/>
      <c r="U92" s="772"/>
      <c r="V92" s="772"/>
      <c r="W92" s="772"/>
      <c r="X92" s="1021">
        <f t="shared" si="31"/>
        <v>0</v>
      </c>
      <c r="Y92" s="772"/>
      <c r="Z92" s="772"/>
      <c r="AA92" s="1021">
        <f t="shared" si="32"/>
        <v>0</v>
      </c>
      <c r="AB92" s="772"/>
      <c r="AC92" s="772"/>
      <c r="AD92" s="1021">
        <f t="shared" si="33"/>
        <v>0</v>
      </c>
      <c r="AE92" s="772">
        <v>0</v>
      </c>
      <c r="AF92" s="772"/>
      <c r="AG92" s="1022">
        <f t="shared" si="34"/>
        <v>0</v>
      </c>
    </row>
    <row r="93" spans="1:33" ht="12.95" hidden="1" customHeight="1" x14ac:dyDescent="0.25">
      <c r="A93" s="102" t="s">
        <v>378</v>
      </c>
      <c r="B93" s="1133" t="s">
        <v>379</v>
      </c>
      <c r="C93" s="1133"/>
      <c r="D93" s="1057">
        <f t="shared" si="25"/>
        <v>0</v>
      </c>
      <c r="E93" s="1021">
        <f t="shared" si="26"/>
        <v>0</v>
      </c>
      <c r="F93" s="1022">
        <f t="shared" si="27"/>
        <v>0</v>
      </c>
      <c r="G93" s="772"/>
      <c r="H93" s="772"/>
      <c r="I93" s="1021">
        <f t="shared" si="28"/>
        <v>0</v>
      </c>
      <c r="J93" s="772"/>
      <c r="K93" s="772"/>
      <c r="L93" s="1021">
        <f t="shared" si="29"/>
        <v>0</v>
      </c>
      <c r="M93" s="772"/>
      <c r="N93" s="772"/>
      <c r="O93" s="1021">
        <f t="shared" si="30"/>
        <v>0</v>
      </c>
      <c r="P93" s="772"/>
      <c r="Q93" s="772"/>
      <c r="R93" s="772"/>
      <c r="S93" s="772"/>
      <c r="T93" s="772"/>
      <c r="U93" s="772"/>
      <c r="V93" s="772"/>
      <c r="W93" s="772"/>
      <c r="X93" s="1021">
        <f t="shared" si="31"/>
        <v>0</v>
      </c>
      <c r="Y93" s="772"/>
      <c r="Z93" s="772"/>
      <c r="AA93" s="1021">
        <f t="shared" si="32"/>
        <v>0</v>
      </c>
      <c r="AB93" s="772"/>
      <c r="AC93" s="772"/>
      <c r="AD93" s="1021">
        <f t="shared" si="33"/>
        <v>0</v>
      </c>
      <c r="AE93" s="772">
        <v>0</v>
      </c>
      <c r="AF93" s="772"/>
      <c r="AG93" s="1022">
        <f t="shared" si="34"/>
        <v>0</v>
      </c>
    </row>
    <row r="94" spans="1:33" ht="12.95" hidden="1" customHeight="1" x14ac:dyDescent="0.25">
      <c r="A94" s="102" t="s">
        <v>391</v>
      </c>
      <c r="B94" s="1133" t="s">
        <v>392</v>
      </c>
      <c r="C94" s="1133"/>
      <c r="D94" s="1057">
        <f t="shared" si="25"/>
        <v>0</v>
      </c>
      <c r="E94" s="1021">
        <f t="shared" si="26"/>
        <v>0</v>
      </c>
      <c r="F94" s="1022">
        <f t="shared" si="27"/>
        <v>0</v>
      </c>
      <c r="G94" s="772"/>
      <c r="H94" s="772"/>
      <c r="I94" s="1021">
        <f t="shared" si="28"/>
        <v>0</v>
      </c>
      <c r="J94" s="772"/>
      <c r="K94" s="772"/>
      <c r="L94" s="1021">
        <f t="shared" si="29"/>
        <v>0</v>
      </c>
      <c r="M94" s="772"/>
      <c r="N94" s="772"/>
      <c r="O94" s="1021">
        <f t="shared" si="30"/>
        <v>0</v>
      </c>
      <c r="P94" s="772"/>
      <c r="Q94" s="772"/>
      <c r="R94" s="772"/>
      <c r="S94" s="772"/>
      <c r="T94" s="772"/>
      <c r="U94" s="772"/>
      <c r="V94" s="772"/>
      <c r="W94" s="772"/>
      <c r="X94" s="1021">
        <f t="shared" si="31"/>
        <v>0</v>
      </c>
      <c r="Y94" s="772"/>
      <c r="Z94" s="772"/>
      <c r="AA94" s="1021">
        <f t="shared" si="32"/>
        <v>0</v>
      </c>
      <c r="AB94" s="772"/>
      <c r="AC94" s="772"/>
      <c r="AD94" s="1021">
        <f t="shared" si="33"/>
        <v>0</v>
      </c>
      <c r="AE94" s="772">
        <v>0</v>
      </c>
      <c r="AF94" s="772"/>
      <c r="AG94" s="1022">
        <f t="shared" si="34"/>
        <v>0</v>
      </c>
    </row>
    <row r="95" spans="1:33" ht="12.95" hidden="1" customHeight="1" x14ac:dyDescent="0.25">
      <c r="A95" s="102" t="s">
        <v>133</v>
      </c>
      <c r="B95" s="1133" t="s">
        <v>159</v>
      </c>
      <c r="C95" s="1133"/>
      <c r="D95" s="1057">
        <f t="shared" si="25"/>
        <v>0</v>
      </c>
      <c r="E95" s="1021">
        <f t="shared" si="26"/>
        <v>0</v>
      </c>
      <c r="F95" s="1022">
        <f t="shared" si="27"/>
        <v>0</v>
      </c>
      <c r="G95" s="772"/>
      <c r="H95" s="772"/>
      <c r="I95" s="1021">
        <f t="shared" si="28"/>
        <v>0</v>
      </c>
      <c r="J95" s="772"/>
      <c r="K95" s="772"/>
      <c r="L95" s="1021">
        <f t="shared" si="29"/>
        <v>0</v>
      </c>
      <c r="M95" s="772"/>
      <c r="N95" s="772"/>
      <c r="O95" s="1021">
        <f t="shared" si="30"/>
        <v>0</v>
      </c>
      <c r="P95" s="772"/>
      <c r="Q95" s="772"/>
      <c r="R95" s="772"/>
      <c r="S95" s="772"/>
      <c r="T95" s="772"/>
      <c r="U95" s="772"/>
      <c r="V95" s="772"/>
      <c r="W95" s="772"/>
      <c r="X95" s="1021">
        <f t="shared" si="31"/>
        <v>0</v>
      </c>
      <c r="Y95" s="772"/>
      <c r="Z95" s="772"/>
      <c r="AA95" s="1021">
        <f t="shared" si="32"/>
        <v>0</v>
      </c>
      <c r="AB95" s="772"/>
      <c r="AC95" s="772"/>
      <c r="AD95" s="1021">
        <f t="shared" si="33"/>
        <v>0</v>
      </c>
      <c r="AE95" s="772">
        <v>0</v>
      </c>
      <c r="AF95" s="772"/>
      <c r="AG95" s="1022">
        <f t="shared" si="34"/>
        <v>0</v>
      </c>
    </row>
    <row r="96" spans="1:33" s="44" customFormat="1" ht="12.95" hidden="1" customHeight="1" x14ac:dyDescent="0.2">
      <c r="A96" s="562" t="s">
        <v>134</v>
      </c>
      <c r="B96" s="1213" t="s">
        <v>158</v>
      </c>
      <c r="C96" s="1213"/>
      <c r="D96" s="1057">
        <f t="shared" si="25"/>
        <v>0</v>
      </c>
      <c r="E96" s="1021">
        <f t="shared" si="26"/>
        <v>0</v>
      </c>
      <c r="F96" s="1022">
        <f t="shared" si="27"/>
        <v>0</v>
      </c>
      <c r="G96" s="1021"/>
      <c r="H96" s="1021"/>
      <c r="I96" s="1021">
        <f t="shared" si="28"/>
        <v>0</v>
      </c>
      <c r="J96" s="1021"/>
      <c r="K96" s="1021"/>
      <c r="L96" s="1021">
        <f t="shared" si="29"/>
        <v>0</v>
      </c>
      <c r="M96" s="1021"/>
      <c r="N96" s="1021"/>
      <c r="O96" s="1021">
        <f t="shared" si="30"/>
        <v>0</v>
      </c>
      <c r="P96" s="1021"/>
      <c r="Q96" s="1021"/>
      <c r="R96" s="1021"/>
      <c r="S96" s="1021"/>
      <c r="T96" s="1021"/>
      <c r="U96" s="1021"/>
      <c r="V96" s="1021"/>
      <c r="W96" s="1021"/>
      <c r="X96" s="1021">
        <f t="shared" si="31"/>
        <v>0</v>
      </c>
      <c r="Y96" s="1021"/>
      <c r="Z96" s="1021"/>
      <c r="AA96" s="1021">
        <f t="shared" si="32"/>
        <v>0</v>
      </c>
      <c r="AB96" s="1021"/>
      <c r="AC96" s="1021"/>
      <c r="AD96" s="1021">
        <f t="shared" si="33"/>
        <v>0</v>
      </c>
      <c r="AE96" s="1021">
        <v>0</v>
      </c>
      <c r="AF96" s="1021"/>
      <c r="AG96" s="1022">
        <f t="shared" si="34"/>
        <v>0</v>
      </c>
    </row>
    <row r="97" spans="1:33" ht="12.95" hidden="1" customHeight="1" x14ac:dyDescent="0.25">
      <c r="A97" s="562"/>
      <c r="B97" s="1047"/>
      <c r="C97" s="1047"/>
      <c r="D97" s="1057">
        <f t="shared" si="25"/>
        <v>0</v>
      </c>
      <c r="E97" s="1021">
        <f t="shared" si="26"/>
        <v>0</v>
      </c>
      <c r="F97" s="1022">
        <f t="shared" si="27"/>
        <v>0</v>
      </c>
      <c r="G97" s="772"/>
      <c r="H97" s="772"/>
      <c r="I97" s="1021">
        <f t="shared" si="28"/>
        <v>0</v>
      </c>
      <c r="J97" s="772"/>
      <c r="K97" s="772"/>
      <c r="L97" s="1021">
        <f t="shared" si="29"/>
        <v>0</v>
      </c>
      <c r="M97" s="772"/>
      <c r="N97" s="772"/>
      <c r="O97" s="1021">
        <f t="shared" si="30"/>
        <v>0</v>
      </c>
      <c r="P97" s="772"/>
      <c r="Q97" s="772"/>
      <c r="R97" s="772"/>
      <c r="S97" s="772"/>
      <c r="T97" s="772"/>
      <c r="U97" s="772"/>
      <c r="V97" s="772"/>
      <c r="W97" s="772"/>
      <c r="X97" s="1021">
        <f t="shared" si="31"/>
        <v>0</v>
      </c>
      <c r="Y97" s="772"/>
      <c r="Z97" s="772"/>
      <c r="AA97" s="1021">
        <f t="shared" si="32"/>
        <v>0</v>
      </c>
      <c r="AB97" s="772"/>
      <c r="AC97" s="772"/>
      <c r="AD97" s="1021">
        <f t="shared" si="33"/>
        <v>0</v>
      </c>
      <c r="AE97" s="772">
        <v>0</v>
      </c>
      <c r="AF97" s="772"/>
      <c r="AG97" s="1022">
        <f t="shared" si="34"/>
        <v>0</v>
      </c>
    </row>
    <row r="98" spans="1:33" s="44" customFormat="1" ht="12.95" customHeight="1" x14ac:dyDescent="0.2">
      <c r="A98" s="845" t="s">
        <v>135</v>
      </c>
      <c r="B98" s="1119" t="s">
        <v>157</v>
      </c>
      <c r="C98" s="1132"/>
      <c r="D98" s="1056">
        <f t="shared" si="25"/>
        <v>476633</v>
      </c>
      <c r="E98" s="360">
        <f t="shared" si="26"/>
        <v>7034</v>
      </c>
      <c r="F98" s="983">
        <f t="shared" si="27"/>
        <v>483667</v>
      </c>
      <c r="G98" s="982">
        <f>+G96+G91+G85+G75+G56+G36+G10+G8</f>
        <v>9883</v>
      </c>
      <c r="H98" s="360">
        <f>+H96+H91+H85+H75+H56+H36+H10+H8</f>
        <v>3494</v>
      </c>
      <c r="I98" s="360">
        <f t="shared" si="28"/>
        <v>13377</v>
      </c>
      <c r="J98" s="360">
        <f>+J96+J91+J85+J75+J56+J36+J10+J8</f>
        <v>57239</v>
      </c>
      <c r="K98" s="360">
        <f>+K96+K91+K85+K75+K56+K36+K10+K8</f>
        <v>0</v>
      </c>
      <c r="L98" s="360">
        <f t="shared" si="29"/>
        <v>57239</v>
      </c>
      <c r="M98" s="360">
        <f>+M96+M91+M85+M75+M56+M36+M10+M8</f>
        <v>20229</v>
      </c>
      <c r="N98" s="360">
        <f>+N96+N91+N85+N75+N56+N36+N10+N8</f>
        <v>0</v>
      </c>
      <c r="O98" s="360">
        <f t="shared" si="30"/>
        <v>20229</v>
      </c>
      <c r="P98" s="360">
        <f t="shared" ref="P98:W98" si="36">+P96+P91+P85+P75+P56+P36+P10+P8</f>
        <v>0</v>
      </c>
      <c r="Q98" s="360">
        <f t="shared" si="36"/>
        <v>0</v>
      </c>
      <c r="R98" s="360">
        <f t="shared" si="36"/>
        <v>0</v>
      </c>
      <c r="S98" s="360">
        <f t="shared" si="36"/>
        <v>0</v>
      </c>
      <c r="T98" s="360">
        <f t="shared" si="36"/>
        <v>0</v>
      </c>
      <c r="U98" s="360">
        <f t="shared" si="36"/>
        <v>0</v>
      </c>
      <c r="V98" s="360">
        <f t="shared" si="36"/>
        <v>9295</v>
      </c>
      <c r="W98" s="360">
        <f t="shared" si="36"/>
        <v>8</v>
      </c>
      <c r="X98" s="360">
        <f t="shared" si="31"/>
        <v>9303</v>
      </c>
      <c r="Y98" s="360">
        <f>+Y96+Y91+Y85+Y75+Y56+Y36+Y10+Y8</f>
        <v>3901</v>
      </c>
      <c r="Z98" s="360">
        <f>+Z96+Z91+Z85+Z75+Z56+Z36+Z10+Z8</f>
        <v>0</v>
      </c>
      <c r="AA98" s="360">
        <f t="shared" si="32"/>
        <v>3901</v>
      </c>
      <c r="AB98" s="360">
        <f>+AB75+AB36+AB10+AB8</f>
        <v>5560</v>
      </c>
      <c r="AC98" s="360">
        <f>+AC75+AC36+AC10+AC8</f>
        <v>-264</v>
      </c>
      <c r="AD98" s="360">
        <f t="shared" si="33"/>
        <v>5296</v>
      </c>
      <c r="AE98" s="360">
        <v>370526</v>
      </c>
      <c r="AF98" s="360">
        <f>+AF96+AF91+AF85+AF75+AF56+AF36+AF10+AF8</f>
        <v>3796</v>
      </c>
      <c r="AG98" s="983">
        <f t="shared" si="34"/>
        <v>374322</v>
      </c>
    </row>
    <row r="99" spans="1:33" ht="12.95" customHeight="1" x14ac:dyDescent="0.25">
      <c r="A99" s="103"/>
      <c r="D99" s="1057"/>
      <c r="E99" s="1021"/>
      <c r="F99" s="1022"/>
      <c r="G99" s="772"/>
      <c r="H99" s="772"/>
      <c r="I99" s="1021"/>
      <c r="J99" s="772"/>
      <c r="K99" s="772"/>
      <c r="L99" s="1021"/>
      <c r="M99" s="772"/>
      <c r="N99" s="772"/>
      <c r="O99" s="1021"/>
      <c r="P99" s="772"/>
      <c r="Q99" s="772"/>
      <c r="R99" s="772"/>
      <c r="S99" s="772"/>
      <c r="T99" s="772"/>
      <c r="U99" s="772"/>
      <c r="V99" s="772"/>
      <c r="W99" s="772"/>
      <c r="X99" s="1021"/>
      <c r="Y99" s="772"/>
      <c r="Z99" s="772"/>
      <c r="AA99" s="1021"/>
      <c r="AB99" s="772"/>
      <c r="AC99" s="772"/>
      <c r="AD99" s="1021"/>
      <c r="AE99" s="772"/>
      <c r="AF99" s="772"/>
      <c r="AG99" s="1022"/>
    </row>
    <row r="100" spans="1:33" ht="12.95" hidden="1" customHeight="1" x14ac:dyDescent="0.25">
      <c r="A100" s="920" t="s">
        <v>268</v>
      </c>
      <c r="B100" s="1214" t="s">
        <v>267</v>
      </c>
      <c r="C100" s="1214"/>
      <c r="D100" s="1057">
        <f t="shared" si="25"/>
        <v>0</v>
      </c>
      <c r="E100" s="1021">
        <f t="shared" si="26"/>
        <v>0</v>
      </c>
      <c r="F100" s="1022">
        <f t="shared" si="27"/>
        <v>0</v>
      </c>
      <c r="G100" s="772"/>
      <c r="H100" s="772"/>
      <c r="I100" s="1021">
        <f t="shared" si="28"/>
        <v>0</v>
      </c>
      <c r="J100" s="772"/>
      <c r="K100" s="772"/>
      <c r="L100" s="1021">
        <f t="shared" si="29"/>
        <v>0</v>
      </c>
      <c r="M100" s="772"/>
      <c r="N100" s="772"/>
      <c r="O100" s="1021">
        <f t="shared" si="30"/>
        <v>0</v>
      </c>
      <c r="P100" s="772"/>
      <c r="Q100" s="772"/>
      <c r="R100" s="772"/>
      <c r="S100" s="772"/>
      <c r="T100" s="772"/>
      <c r="U100" s="772"/>
      <c r="V100" s="772"/>
      <c r="W100" s="772"/>
      <c r="X100" s="1021">
        <f t="shared" si="31"/>
        <v>0</v>
      </c>
      <c r="Y100" s="772"/>
      <c r="Z100" s="772"/>
      <c r="AA100" s="1021">
        <f t="shared" si="32"/>
        <v>0</v>
      </c>
      <c r="AB100" s="772"/>
      <c r="AC100" s="772"/>
      <c r="AD100" s="1021">
        <f t="shared" si="33"/>
        <v>0</v>
      </c>
      <c r="AE100" s="772">
        <v>0</v>
      </c>
      <c r="AF100" s="772"/>
      <c r="AG100" s="1022">
        <f t="shared" si="34"/>
        <v>0</v>
      </c>
    </row>
    <row r="101" spans="1:33" ht="12.95" hidden="1" customHeight="1" x14ac:dyDescent="0.25">
      <c r="A101" s="920" t="s">
        <v>371</v>
      </c>
      <c r="B101" s="1214" t="s">
        <v>374</v>
      </c>
      <c r="C101" s="1214"/>
      <c r="D101" s="1057">
        <f t="shared" si="25"/>
        <v>0</v>
      </c>
      <c r="E101" s="1021">
        <f t="shared" si="26"/>
        <v>0</v>
      </c>
      <c r="F101" s="1022">
        <f t="shared" si="27"/>
        <v>0</v>
      </c>
      <c r="G101" s="772"/>
      <c r="H101" s="772"/>
      <c r="I101" s="1021">
        <f t="shared" si="28"/>
        <v>0</v>
      </c>
      <c r="J101" s="772"/>
      <c r="K101" s="772"/>
      <c r="L101" s="1021">
        <f t="shared" si="29"/>
        <v>0</v>
      </c>
      <c r="M101" s="772"/>
      <c r="N101" s="772"/>
      <c r="O101" s="1021">
        <f t="shared" si="30"/>
        <v>0</v>
      </c>
      <c r="P101" s="772"/>
      <c r="Q101" s="772"/>
      <c r="R101" s="772"/>
      <c r="S101" s="772"/>
      <c r="T101" s="772"/>
      <c r="U101" s="772"/>
      <c r="V101" s="772"/>
      <c r="W101" s="772"/>
      <c r="X101" s="1021">
        <f t="shared" si="31"/>
        <v>0</v>
      </c>
      <c r="Y101" s="772"/>
      <c r="Z101" s="772"/>
      <c r="AA101" s="1021">
        <f t="shared" si="32"/>
        <v>0</v>
      </c>
      <c r="AB101" s="772"/>
      <c r="AC101" s="772"/>
      <c r="AD101" s="1021">
        <f t="shared" si="33"/>
        <v>0</v>
      </c>
      <c r="AE101" s="772">
        <v>0</v>
      </c>
      <c r="AF101" s="772"/>
      <c r="AG101" s="1022">
        <f t="shared" si="34"/>
        <v>0</v>
      </c>
    </row>
    <row r="102" spans="1:33" ht="12.95" hidden="1" customHeight="1" x14ac:dyDescent="0.25">
      <c r="A102" s="920" t="s">
        <v>372</v>
      </c>
      <c r="B102" s="1214" t="s">
        <v>373</v>
      </c>
      <c r="C102" s="1214"/>
      <c r="D102" s="1057">
        <f t="shared" si="25"/>
        <v>0</v>
      </c>
      <c r="E102" s="1021">
        <f t="shared" si="26"/>
        <v>0</v>
      </c>
      <c r="F102" s="1022">
        <f t="shared" si="27"/>
        <v>0</v>
      </c>
      <c r="G102" s="772"/>
      <c r="H102" s="772"/>
      <c r="I102" s="1021">
        <f t="shared" si="28"/>
        <v>0</v>
      </c>
      <c r="J102" s="772"/>
      <c r="K102" s="772"/>
      <c r="L102" s="1021">
        <f t="shared" si="29"/>
        <v>0</v>
      </c>
      <c r="M102" s="772"/>
      <c r="N102" s="772"/>
      <c r="O102" s="1021">
        <f t="shared" si="30"/>
        <v>0</v>
      </c>
      <c r="P102" s="772"/>
      <c r="Q102" s="772"/>
      <c r="R102" s="772"/>
      <c r="S102" s="772"/>
      <c r="T102" s="772"/>
      <c r="U102" s="772"/>
      <c r="V102" s="772"/>
      <c r="W102" s="772"/>
      <c r="X102" s="1021">
        <f t="shared" si="31"/>
        <v>0</v>
      </c>
      <c r="Y102" s="772"/>
      <c r="Z102" s="772"/>
      <c r="AA102" s="1021">
        <f t="shared" si="32"/>
        <v>0</v>
      </c>
      <c r="AB102" s="772"/>
      <c r="AC102" s="772"/>
      <c r="AD102" s="1021">
        <f t="shared" si="33"/>
        <v>0</v>
      </c>
      <c r="AE102" s="772">
        <v>0</v>
      </c>
      <c r="AF102" s="772"/>
      <c r="AG102" s="1022">
        <f t="shared" si="34"/>
        <v>0</v>
      </c>
    </row>
    <row r="103" spans="1:33" s="44" customFormat="1" ht="12.95" customHeight="1" x14ac:dyDescent="0.2">
      <c r="A103" s="921" t="s">
        <v>270</v>
      </c>
      <c r="B103" s="1215" t="s">
        <v>269</v>
      </c>
      <c r="C103" s="1216"/>
      <c r="D103" s="1056">
        <f t="shared" si="25"/>
        <v>0</v>
      </c>
      <c r="E103" s="360">
        <f t="shared" si="26"/>
        <v>0</v>
      </c>
      <c r="F103" s="983">
        <f t="shared" si="27"/>
        <v>0</v>
      </c>
      <c r="G103" s="982"/>
      <c r="H103" s="360"/>
      <c r="I103" s="360">
        <f t="shared" si="28"/>
        <v>0</v>
      </c>
      <c r="J103" s="360"/>
      <c r="K103" s="360"/>
      <c r="L103" s="360">
        <f t="shared" si="29"/>
        <v>0</v>
      </c>
      <c r="M103" s="360"/>
      <c r="N103" s="360"/>
      <c r="O103" s="360">
        <f t="shared" si="30"/>
        <v>0</v>
      </c>
      <c r="P103" s="360">
        <f t="shared" ref="P103:W103" si="37">SUM(P100:P102)</f>
        <v>0</v>
      </c>
      <c r="Q103" s="360">
        <f t="shared" si="37"/>
        <v>0</v>
      </c>
      <c r="R103" s="360">
        <f t="shared" si="37"/>
        <v>0</v>
      </c>
      <c r="S103" s="360">
        <f t="shared" si="37"/>
        <v>0</v>
      </c>
      <c r="T103" s="360">
        <f t="shared" si="37"/>
        <v>0</v>
      </c>
      <c r="U103" s="360">
        <f t="shared" si="37"/>
        <v>0</v>
      </c>
      <c r="V103" s="360">
        <f t="shared" si="37"/>
        <v>0</v>
      </c>
      <c r="W103" s="360">
        <f t="shared" si="37"/>
        <v>0</v>
      </c>
      <c r="X103" s="360">
        <f t="shared" si="31"/>
        <v>0</v>
      </c>
      <c r="Y103" s="360"/>
      <c r="Z103" s="360"/>
      <c r="AA103" s="360">
        <f t="shared" si="32"/>
        <v>0</v>
      </c>
      <c r="AB103" s="360"/>
      <c r="AC103" s="360"/>
      <c r="AD103" s="360">
        <f t="shared" si="33"/>
        <v>0</v>
      </c>
      <c r="AE103" s="360">
        <v>0</v>
      </c>
      <c r="AF103" s="360">
        <f>SUM(AF100:AF102)</f>
        <v>0</v>
      </c>
      <c r="AG103" s="983">
        <f t="shared" si="34"/>
        <v>0</v>
      </c>
    </row>
    <row r="104" spans="1:33" s="44" customFormat="1" ht="12.95" customHeight="1" x14ac:dyDescent="0.2">
      <c r="A104" s="921" t="s">
        <v>852</v>
      </c>
      <c r="B104" s="1215" t="s">
        <v>853</v>
      </c>
      <c r="C104" s="1216"/>
      <c r="D104" s="1056">
        <f t="shared" si="25"/>
        <v>850000</v>
      </c>
      <c r="E104" s="360">
        <f t="shared" si="26"/>
        <v>0</v>
      </c>
      <c r="F104" s="983">
        <f t="shared" si="27"/>
        <v>850000</v>
      </c>
      <c r="G104" s="982"/>
      <c r="H104" s="360"/>
      <c r="I104" s="360">
        <f t="shared" si="28"/>
        <v>0</v>
      </c>
      <c r="J104" s="360"/>
      <c r="K104" s="360"/>
      <c r="L104" s="360">
        <f t="shared" si="29"/>
        <v>0</v>
      </c>
      <c r="M104" s="360"/>
      <c r="N104" s="360"/>
      <c r="O104" s="360">
        <f t="shared" si="30"/>
        <v>0</v>
      </c>
      <c r="P104" s="360"/>
      <c r="Q104" s="360"/>
      <c r="R104" s="360"/>
      <c r="S104" s="360"/>
      <c r="T104" s="360"/>
      <c r="U104" s="360"/>
      <c r="V104" s="360"/>
      <c r="W104" s="360"/>
      <c r="X104" s="360">
        <f t="shared" si="31"/>
        <v>0</v>
      </c>
      <c r="Y104" s="360"/>
      <c r="Z104" s="360"/>
      <c r="AA104" s="360">
        <f t="shared" si="32"/>
        <v>0</v>
      </c>
      <c r="AB104" s="360"/>
      <c r="AC104" s="360"/>
      <c r="AD104" s="360">
        <f t="shared" si="33"/>
        <v>0</v>
      </c>
      <c r="AE104" s="360">
        <v>850000</v>
      </c>
      <c r="AF104" s="360"/>
      <c r="AG104" s="983">
        <f t="shared" si="34"/>
        <v>850000</v>
      </c>
    </row>
    <row r="105" spans="1:33" s="44" customFormat="1" ht="12.95" customHeight="1" x14ac:dyDescent="0.2">
      <c r="A105" s="921" t="s">
        <v>849</v>
      </c>
      <c r="B105" s="1215" t="s">
        <v>850</v>
      </c>
      <c r="C105" s="1216"/>
      <c r="D105" s="1056">
        <f t="shared" si="25"/>
        <v>16154</v>
      </c>
      <c r="E105" s="360">
        <f t="shared" si="26"/>
        <v>0</v>
      </c>
      <c r="F105" s="983">
        <f t="shared" si="27"/>
        <v>16154</v>
      </c>
      <c r="G105" s="982"/>
      <c r="H105" s="360"/>
      <c r="I105" s="360">
        <f t="shared" si="28"/>
        <v>0</v>
      </c>
      <c r="J105" s="360"/>
      <c r="K105" s="360"/>
      <c r="L105" s="360">
        <f t="shared" si="29"/>
        <v>0</v>
      </c>
      <c r="M105" s="360"/>
      <c r="N105" s="360"/>
      <c r="O105" s="360">
        <f t="shared" si="30"/>
        <v>0</v>
      </c>
      <c r="P105" s="360"/>
      <c r="Q105" s="360"/>
      <c r="R105" s="360"/>
      <c r="S105" s="360"/>
      <c r="T105" s="360"/>
      <c r="U105" s="360"/>
      <c r="V105" s="360"/>
      <c r="W105" s="360"/>
      <c r="X105" s="360">
        <f t="shared" si="31"/>
        <v>0</v>
      </c>
      <c r="Y105" s="360"/>
      <c r="Z105" s="360"/>
      <c r="AA105" s="360">
        <f t="shared" si="32"/>
        <v>0</v>
      </c>
      <c r="AB105" s="360"/>
      <c r="AC105" s="360"/>
      <c r="AD105" s="360">
        <f t="shared" si="33"/>
        <v>0</v>
      </c>
      <c r="AE105" s="360">
        <v>16154</v>
      </c>
      <c r="AF105" s="360"/>
      <c r="AG105" s="983">
        <f t="shared" si="34"/>
        <v>16154</v>
      </c>
    </row>
    <row r="106" spans="1:33" s="44" customFormat="1" ht="12.95" customHeight="1" x14ac:dyDescent="0.2">
      <c r="A106" s="921" t="s">
        <v>375</v>
      </c>
      <c r="B106" s="1215" t="s">
        <v>376</v>
      </c>
      <c r="C106" s="1216"/>
      <c r="D106" s="1056">
        <f t="shared" si="25"/>
        <v>450808</v>
      </c>
      <c r="E106" s="360">
        <f t="shared" si="26"/>
        <v>5504</v>
      </c>
      <c r="F106" s="983">
        <f t="shared" si="27"/>
        <v>456312</v>
      </c>
      <c r="G106" s="982"/>
      <c r="H106" s="360"/>
      <c r="I106" s="360">
        <f t="shared" si="28"/>
        <v>0</v>
      </c>
      <c r="J106" s="360"/>
      <c r="K106" s="360"/>
      <c r="L106" s="360">
        <f t="shared" si="29"/>
        <v>0</v>
      </c>
      <c r="M106" s="360"/>
      <c r="N106" s="360"/>
      <c r="O106" s="360">
        <f t="shared" si="30"/>
        <v>0</v>
      </c>
      <c r="P106" s="360"/>
      <c r="Q106" s="360"/>
      <c r="R106" s="360"/>
      <c r="S106" s="360"/>
      <c r="T106" s="360"/>
      <c r="U106" s="360"/>
      <c r="V106" s="360"/>
      <c r="W106" s="360"/>
      <c r="X106" s="360">
        <f t="shared" si="31"/>
        <v>0</v>
      </c>
      <c r="Y106" s="360"/>
      <c r="Z106" s="360"/>
      <c r="AA106" s="360">
        <f t="shared" si="32"/>
        <v>0</v>
      </c>
      <c r="AB106" s="360"/>
      <c r="AC106" s="360"/>
      <c r="AD106" s="360">
        <f t="shared" si="33"/>
        <v>0</v>
      </c>
      <c r="AE106" s="360">
        <v>450808</v>
      </c>
      <c r="AF106" s="360">
        <v>5504</v>
      </c>
      <c r="AG106" s="983">
        <f t="shared" si="34"/>
        <v>456312</v>
      </c>
    </row>
    <row r="107" spans="1:33" s="44" customFormat="1" ht="12.95" customHeight="1" thickBot="1" x14ac:dyDescent="0.25">
      <c r="A107" s="922" t="s">
        <v>271</v>
      </c>
      <c r="B107" s="923" t="s">
        <v>277</v>
      </c>
      <c r="C107" s="1055"/>
      <c r="D107" s="1060">
        <f t="shared" si="25"/>
        <v>1316962</v>
      </c>
      <c r="E107" s="980">
        <f t="shared" si="26"/>
        <v>5504</v>
      </c>
      <c r="F107" s="981">
        <f t="shared" si="27"/>
        <v>1322466</v>
      </c>
      <c r="G107" s="979"/>
      <c r="H107" s="980"/>
      <c r="I107" s="980">
        <f t="shared" si="28"/>
        <v>0</v>
      </c>
      <c r="J107" s="980"/>
      <c r="K107" s="980"/>
      <c r="L107" s="980">
        <f t="shared" si="29"/>
        <v>0</v>
      </c>
      <c r="M107" s="980"/>
      <c r="N107" s="980"/>
      <c r="O107" s="980">
        <f t="shared" si="30"/>
        <v>0</v>
      </c>
      <c r="P107" s="980">
        <f t="shared" ref="P107:Z107" si="38">+P106+P103</f>
        <v>0</v>
      </c>
      <c r="Q107" s="980">
        <f t="shared" si="38"/>
        <v>0</v>
      </c>
      <c r="R107" s="980">
        <f t="shared" si="38"/>
        <v>0</v>
      </c>
      <c r="S107" s="980">
        <f t="shared" si="38"/>
        <v>0</v>
      </c>
      <c r="T107" s="980">
        <f t="shared" si="38"/>
        <v>0</v>
      </c>
      <c r="U107" s="980">
        <f t="shared" si="38"/>
        <v>0</v>
      </c>
      <c r="V107" s="980">
        <f t="shared" si="38"/>
        <v>0</v>
      </c>
      <c r="W107" s="980">
        <f t="shared" si="38"/>
        <v>0</v>
      </c>
      <c r="X107" s="980">
        <f t="shared" si="31"/>
        <v>0</v>
      </c>
      <c r="Y107" s="980">
        <f t="shared" si="38"/>
        <v>0</v>
      </c>
      <c r="Z107" s="980">
        <f t="shared" si="38"/>
        <v>0</v>
      </c>
      <c r="AA107" s="980">
        <f t="shared" si="32"/>
        <v>0</v>
      </c>
      <c r="AB107" s="980"/>
      <c r="AC107" s="980"/>
      <c r="AD107" s="980">
        <f t="shared" si="33"/>
        <v>0</v>
      </c>
      <c r="AE107" s="980">
        <v>1316962</v>
      </c>
      <c r="AF107" s="980">
        <f t="shared" ref="AF107:AG107" si="39">+AF106+AF103+AF104+AF105</f>
        <v>5504</v>
      </c>
      <c r="AG107" s="981">
        <f t="shared" si="39"/>
        <v>1322466</v>
      </c>
    </row>
  </sheetData>
  <mergeCells count="95">
    <mergeCell ref="B101:C101"/>
    <mergeCell ref="B102:C102"/>
    <mergeCell ref="B106:C106"/>
    <mergeCell ref="B93:C93"/>
    <mergeCell ref="B98:C98"/>
    <mergeCell ref="B103:C103"/>
    <mergeCell ref="B100:C100"/>
    <mergeCell ref="B94:C94"/>
    <mergeCell ref="B105:C105"/>
    <mergeCell ref="B104:C104"/>
    <mergeCell ref="B23:C23"/>
    <mergeCell ref="B80:C80"/>
    <mergeCell ref="B61:C61"/>
    <mergeCell ref="B62:C62"/>
    <mergeCell ref="B63:C63"/>
    <mergeCell ref="B75:C75"/>
    <mergeCell ref="B77:C77"/>
    <mergeCell ref="B78:C78"/>
    <mergeCell ref="B58:C58"/>
    <mergeCell ref="B29:C29"/>
    <mergeCell ref="B30:C30"/>
    <mergeCell ref="B31:C31"/>
    <mergeCell ref="B32:C32"/>
    <mergeCell ref="B41:C41"/>
    <mergeCell ref="B42:C42"/>
    <mergeCell ref="B59:C59"/>
    <mergeCell ref="B22:C22"/>
    <mergeCell ref="B38:C38"/>
    <mergeCell ref="B91:C91"/>
    <mergeCell ref="B95:C95"/>
    <mergeCell ref="B96:C96"/>
    <mergeCell ref="B81:C81"/>
    <mergeCell ref="B82:C82"/>
    <mergeCell ref="B83:C83"/>
    <mergeCell ref="B84:C84"/>
    <mergeCell ref="B85:C85"/>
    <mergeCell ref="B87:C87"/>
    <mergeCell ref="B88:C88"/>
    <mergeCell ref="B89:C89"/>
    <mergeCell ref="B90:C90"/>
    <mergeCell ref="B56:C56"/>
    <mergeCell ref="B57:C57"/>
    <mergeCell ref="B60:C60"/>
    <mergeCell ref="B39:C39"/>
    <mergeCell ref="B27:C27"/>
    <mergeCell ref="B24:C24"/>
    <mergeCell ref="B25:C25"/>
    <mergeCell ref="B34:C34"/>
    <mergeCell ref="B35:C35"/>
    <mergeCell ref="B36:C36"/>
    <mergeCell ref="B51:C51"/>
    <mergeCell ref="B45:C45"/>
    <mergeCell ref="B47:C47"/>
    <mergeCell ref="B49:C49"/>
    <mergeCell ref="B28:C28"/>
    <mergeCell ref="B26:C26"/>
    <mergeCell ref="B33:C33"/>
    <mergeCell ref="B13:C13"/>
    <mergeCell ref="B15:C15"/>
    <mergeCell ref="B16:C16"/>
    <mergeCell ref="S4:U4"/>
    <mergeCell ref="V4:X4"/>
    <mergeCell ref="B3:C5"/>
    <mergeCell ref="P3:R3"/>
    <mergeCell ref="P4:R4"/>
    <mergeCell ref="S3:U3"/>
    <mergeCell ref="V3:X3"/>
    <mergeCell ref="B6:C6"/>
    <mergeCell ref="B7:C7"/>
    <mergeCell ref="B8:C8"/>
    <mergeCell ref="J3:L3"/>
    <mergeCell ref="B10:C10"/>
    <mergeCell ref="B12:C12"/>
    <mergeCell ref="B20:C20"/>
    <mergeCell ref="B21:C21"/>
    <mergeCell ref="B17:C17"/>
    <mergeCell ref="B18:C18"/>
    <mergeCell ref="B14:C14"/>
    <mergeCell ref="B19:C19"/>
    <mergeCell ref="AE4:AG4"/>
    <mergeCell ref="AB4:AD4"/>
    <mergeCell ref="A1:AG1"/>
    <mergeCell ref="A2:AG2"/>
    <mergeCell ref="G3:I3"/>
    <mergeCell ref="M3:O3"/>
    <mergeCell ref="G4:I4"/>
    <mergeCell ref="M4:O4"/>
    <mergeCell ref="AE3:AG3"/>
    <mergeCell ref="D3:F3"/>
    <mergeCell ref="D4:F4"/>
    <mergeCell ref="A3:A5"/>
    <mergeCell ref="J4:L4"/>
    <mergeCell ref="Y3:AA3"/>
    <mergeCell ref="Y4:AA4"/>
    <mergeCell ref="AB3:AD3"/>
  </mergeCells>
  <printOptions horizontalCentered="1"/>
  <pageMargins left="0.31496062992125984" right="0.31496062992125984" top="0.74803149606299213" bottom="0.15748031496062992" header="0.31496062992125984" footer="0.31496062992125984"/>
  <pageSetup paperSize="9" scale="65" fitToWidth="2" orientation="landscape" r:id="rId1"/>
  <headerFooter>
    <oddHeader>&amp;C&amp;"Times New Roman,Félkövér"&amp;12Martonvásár Város Önkormányzatának kiadásai 2017.
Egyéb tevékenység&amp;R&amp;"Times New Roman,Félkövér"&amp;10 5/g. melléklet</oddHeader>
  </headerFooter>
  <colBreaks count="1" manualBreakCount="1">
    <brk id="21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85"/>
  <sheetViews>
    <sheetView zoomScaleNormal="100" workbookViewId="0">
      <selection activeCell="N27" sqref="N27"/>
    </sheetView>
  </sheetViews>
  <sheetFormatPr defaultRowHeight="15" x14ac:dyDescent="0.25"/>
  <cols>
    <col min="1" max="1" width="6.85546875" customWidth="1"/>
    <col min="2" max="2" width="5" customWidth="1"/>
    <col min="3" max="3" width="37" customWidth="1"/>
  </cols>
  <sheetData>
    <row r="2" spans="1:15" ht="29.25" customHeight="1" x14ac:dyDescent="0.25">
      <c r="A2" s="1125" t="s">
        <v>0</v>
      </c>
      <c r="B2" s="1242" t="s">
        <v>282</v>
      </c>
      <c r="C2" s="1243"/>
      <c r="D2" s="1222" t="s">
        <v>299</v>
      </c>
      <c r="E2" s="1222"/>
      <c r="F2" s="1222"/>
      <c r="G2" s="1222" t="s">
        <v>290</v>
      </c>
      <c r="H2" s="1222"/>
      <c r="I2" s="1222"/>
      <c r="J2" s="1222" t="s">
        <v>291</v>
      </c>
      <c r="K2" s="1222"/>
      <c r="L2" s="1222"/>
      <c r="M2" s="1222" t="s">
        <v>292</v>
      </c>
      <c r="N2" s="1222"/>
      <c r="O2" s="1222"/>
    </row>
    <row r="3" spans="1:15" x14ac:dyDescent="0.25">
      <c r="A3" s="1125"/>
      <c r="B3" s="1244"/>
      <c r="C3" s="1245"/>
      <c r="D3" s="840" t="s">
        <v>954</v>
      </c>
      <c r="E3" s="840" t="s">
        <v>786</v>
      </c>
      <c r="F3" s="840" t="s">
        <v>955</v>
      </c>
      <c r="G3" s="974" t="s">
        <v>954</v>
      </c>
      <c r="H3" s="974" t="s">
        <v>786</v>
      </c>
      <c r="I3" s="974" t="s">
        <v>955</v>
      </c>
      <c r="J3" s="974" t="s">
        <v>954</v>
      </c>
      <c r="K3" s="974" t="s">
        <v>786</v>
      </c>
      <c r="L3" s="974" t="s">
        <v>955</v>
      </c>
      <c r="M3" s="974" t="s">
        <v>954</v>
      </c>
      <c r="N3" s="974" t="s">
        <v>786</v>
      </c>
      <c r="O3" s="974" t="s">
        <v>955</v>
      </c>
    </row>
    <row r="4" spans="1:15" s="163" customFormat="1" ht="24" customHeight="1" x14ac:dyDescent="0.25">
      <c r="A4" s="369" t="s">
        <v>206</v>
      </c>
      <c r="B4" s="1228" t="s">
        <v>205</v>
      </c>
      <c r="C4" s="1229"/>
      <c r="D4" s="495">
        <f>+G4+J4+M4</f>
        <v>1174</v>
      </c>
      <c r="E4" s="495">
        <f t="shared" ref="E4:F19" si="0">+H4+K4+N4</f>
        <v>37</v>
      </c>
      <c r="F4" s="495">
        <f t="shared" si="0"/>
        <v>1211</v>
      </c>
      <c r="G4" s="95">
        <v>1174</v>
      </c>
      <c r="H4" s="95">
        <v>37</v>
      </c>
      <c r="I4" s="95">
        <f>+H4+G4</f>
        <v>1211</v>
      </c>
      <c r="J4" s="95">
        <v>0</v>
      </c>
      <c r="K4" s="95"/>
      <c r="L4" s="95">
        <f>+K4+J4</f>
        <v>0</v>
      </c>
      <c r="M4" s="95">
        <v>0</v>
      </c>
      <c r="N4" s="95"/>
      <c r="O4" s="64">
        <f>+N4+M4</f>
        <v>0</v>
      </c>
    </row>
    <row r="5" spans="1:15" s="959" customFormat="1" hidden="1" x14ac:dyDescent="0.25">
      <c r="A5" s="94"/>
      <c r="B5" s="1236" t="s">
        <v>331</v>
      </c>
      <c r="C5" s="1237"/>
      <c r="D5" s="955">
        <f t="shared" ref="D5:F49" si="1">+G5+J5+M5</f>
        <v>0</v>
      </c>
      <c r="E5" s="956">
        <f t="shared" si="0"/>
        <v>0</v>
      </c>
      <c r="F5" s="956">
        <f t="shared" si="0"/>
        <v>0</v>
      </c>
      <c r="G5" s="957"/>
      <c r="H5" s="957"/>
      <c r="I5" s="957"/>
      <c r="J5" s="957">
        <v>0</v>
      </c>
      <c r="K5" s="957"/>
      <c r="L5" s="957">
        <f t="shared" ref="L5:L49" si="2">+K5+J5</f>
        <v>0</v>
      </c>
      <c r="M5" s="957">
        <v>0</v>
      </c>
      <c r="N5" s="957"/>
      <c r="O5" s="958">
        <f t="shared" ref="O5:O41" si="3">+N5+M5</f>
        <v>0</v>
      </c>
    </row>
    <row r="6" spans="1:15" s="959" customFormat="1" hidden="1" x14ac:dyDescent="0.25">
      <c r="A6" s="94"/>
      <c r="B6" s="1236" t="s">
        <v>321</v>
      </c>
      <c r="C6" s="1237"/>
      <c r="D6" s="955">
        <f t="shared" si="1"/>
        <v>0</v>
      </c>
      <c r="E6" s="956">
        <f t="shared" si="0"/>
        <v>0</v>
      </c>
      <c r="F6" s="956">
        <f t="shared" si="0"/>
        <v>0</v>
      </c>
      <c r="G6" s="957"/>
      <c r="H6" s="957"/>
      <c r="I6" s="957"/>
      <c r="J6" s="957">
        <v>0</v>
      </c>
      <c r="K6" s="957"/>
      <c r="L6" s="957">
        <f t="shared" si="2"/>
        <v>0</v>
      </c>
      <c r="M6" s="957">
        <v>0</v>
      </c>
      <c r="N6" s="957"/>
      <c r="O6" s="958">
        <f t="shared" si="3"/>
        <v>0</v>
      </c>
    </row>
    <row r="7" spans="1:15" s="959" customFormat="1" hidden="1" x14ac:dyDescent="0.25">
      <c r="A7" s="94"/>
      <c r="B7" s="1236" t="s">
        <v>322</v>
      </c>
      <c r="C7" s="1237"/>
      <c r="D7" s="955">
        <f t="shared" si="1"/>
        <v>0</v>
      </c>
      <c r="E7" s="956">
        <f t="shared" si="0"/>
        <v>0</v>
      </c>
      <c r="F7" s="956">
        <f t="shared" si="0"/>
        <v>0</v>
      </c>
      <c r="G7" s="957"/>
      <c r="H7" s="957"/>
      <c r="I7" s="957"/>
      <c r="J7" s="957">
        <v>0</v>
      </c>
      <c r="K7" s="957"/>
      <c r="L7" s="957">
        <f t="shared" si="2"/>
        <v>0</v>
      </c>
      <c r="M7" s="957">
        <v>0</v>
      </c>
      <c r="N7" s="957"/>
      <c r="O7" s="958">
        <f t="shared" si="3"/>
        <v>0</v>
      </c>
    </row>
    <row r="8" spans="1:15" s="959" customFormat="1" hidden="1" x14ac:dyDescent="0.25">
      <c r="A8" s="94"/>
      <c r="B8" s="1236" t="s">
        <v>323</v>
      </c>
      <c r="C8" s="1237"/>
      <c r="D8" s="955">
        <f t="shared" si="1"/>
        <v>0</v>
      </c>
      <c r="E8" s="956">
        <f t="shared" si="0"/>
        <v>0</v>
      </c>
      <c r="F8" s="956">
        <f t="shared" si="0"/>
        <v>0</v>
      </c>
      <c r="G8" s="957"/>
      <c r="H8" s="957"/>
      <c r="I8" s="957"/>
      <c r="J8" s="957">
        <v>0</v>
      </c>
      <c r="K8" s="957"/>
      <c r="L8" s="957">
        <f t="shared" si="2"/>
        <v>0</v>
      </c>
      <c r="M8" s="957">
        <v>0</v>
      </c>
      <c r="N8" s="957"/>
      <c r="O8" s="958">
        <f t="shared" si="3"/>
        <v>0</v>
      </c>
    </row>
    <row r="9" spans="1:15" s="959" customFormat="1" hidden="1" x14ac:dyDescent="0.25">
      <c r="A9" s="94"/>
      <c r="B9" s="1236" t="s">
        <v>324</v>
      </c>
      <c r="C9" s="1237"/>
      <c r="D9" s="955">
        <f t="shared" si="1"/>
        <v>0</v>
      </c>
      <c r="E9" s="956">
        <f t="shared" si="0"/>
        <v>0</v>
      </c>
      <c r="F9" s="956">
        <f t="shared" si="0"/>
        <v>0</v>
      </c>
      <c r="G9" s="957"/>
      <c r="H9" s="957"/>
      <c r="I9" s="957"/>
      <c r="J9" s="957">
        <v>0</v>
      </c>
      <c r="K9" s="957"/>
      <c r="L9" s="957">
        <f t="shared" si="2"/>
        <v>0</v>
      </c>
      <c r="M9" s="957">
        <v>0</v>
      </c>
      <c r="N9" s="957"/>
      <c r="O9" s="958">
        <f t="shared" si="3"/>
        <v>0</v>
      </c>
    </row>
    <row r="10" spans="1:15" s="959" customFormat="1" hidden="1" x14ac:dyDescent="0.25">
      <c r="A10" s="94"/>
      <c r="B10" s="1236" t="s">
        <v>325</v>
      </c>
      <c r="C10" s="1237"/>
      <c r="D10" s="955">
        <f t="shared" si="1"/>
        <v>0</v>
      </c>
      <c r="E10" s="956">
        <f t="shared" si="0"/>
        <v>0</v>
      </c>
      <c r="F10" s="956">
        <f t="shared" si="0"/>
        <v>0</v>
      </c>
      <c r="G10" s="957"/>
      <c r="H10" s="957"/>
      <c r="I10" s="957"/>
      <c r="J10" s="957">
        <v>0</v>
      </c>
      <c r="K10" s="957"/>
      <c r="L10" s="957">
        <f t="shared" si="2"/>
        <v>0</v>
      </c>
      <c r="M10" s="957">
        <v>0</v>
      </c>
      <c r="N10" s="957"/>
      <c r="O10" s="958">
        <f t="shared" si="3"/>
        <v>0</v>
      </c>
    </row>
    <row r="11" spans="1:15" s="959" customFormat="1" hidden="1" x14ac:dyDescent="0.25">
      <c r="A11" s="94"/>
      <c r="B11" s="1236" t="s">
        <v>99</v>
      </c>
      <c r="C11" s="1237"/>
      <c r="D11" s="955">
        <f t="shared" si="1"/>
        <v>0</v>
      </c>
      <c r="E11" s="956">
        <f t="shared" si="0"/>
        <v>0</v>
      </c>
      <c r="F11" s="956">
        <f t="shared" si="0"/>
        <v>0</v>
      </c>
      <c r="G11" s="957"/>
      <c r="H11" s="957"/>
      <c r="I11" s="957"/>
      <c r="J11" s="957">
        <v>0</v>
      </c>
      <c r="K11" s="957"/>
      <c r="L11" s="957">
        <f t="shared" si="2"/>
        <v>0</v>
      </c>
      <c r="M11" s="957">
        <v>0</v>
      </c>
      <c r="N11" s="957"/>
      <c r="O11" s="958">
        <f t="shared" si="3"/>
        <v>0</v>
      </c>
    </row>
    <row r="12" spans="1:15" s="959" customFormat="1" hidden="1" x14ac:dyDescent="0.25">
      <c r="A12" s="94"/>
      <c r="B12" s="1236" t="s">
        <v>100</v>
      </c>
      <c r="C12" s="1237"/>
      <c r="D12" s="955">
        <f t="shared" si="1"/>
        <v>0</v>
      </c>
      <c r="E12" s="956">
        <f t="shared" si="0"/>
        <v>0</v>
      </c>
      <c r="F12" s="956">
        <f t="shared" si="0"/>
        <v>0</v>
      </c>
      <c r="G12" s="957"/>
      <c r="H12" s="957"/>
      <c r="I12" s="957"/>
      <c r="J12" s="957">
        <v>0</v>
      </c>
      <c r="K12" s="957"/>
      <c r="L12" s="957">
        <f t="shared" si="2"/>
        <v>0</v>
      </c>
      <c r="M12" s="957">
        <v>0</v>
      </c>
      <c r="N12" s="957"/>
      <c r="O12" s="958">
        <f t="shared" si="3"/>
        <v>0</v>
      </c>
    </row>
    <row r="13" spans="1:15" s="959" customFormat="1" hidden="1" x14ac:dyDescent="0.25">
      <c r="A13" s="94"/>
      <c r="B13" s="1236" t="s">
        <v>326</v>
      </c>
      <c r="C13" s="1237"/>
      <c r="D13" s="955">
        <f t="shared" si="1"/>
        <v>0</v>
      </c>
      <c r="E13" s="956">
        <f t="shared" si="0"/>
        <v>0</v>
      </c>
      <c r="F13" s="956">
        <f t="shared" si="0"/>
        <v>0</v>
      </c>
      <c r="G13" s="957"/>
      <c r="H13" s="957"/>
      <c r="I13" s="957"/>
      <c r="J13" s="957">
        <v>0</v>
      </c>
      <c r="K13" s="957"/>
      <c r="L13" s="957">
        <f t="shared" si="2"/>
        <v>0</v>
      </c>
      <c r="M13" s="957">
        <v>0</v>
      </c>
      <c r="N13" s="957"/>
      <c r="O13" s="958">
        <f t="shared" si="3"/>
        <v>0</v>
      </c>
    </row>
    <row r="14" spans="1:15" s="959" customFormat="1" hidden="1" x14ac:dyDescent="0.25">
      <c r="A14" s="94"/>
      <c r="B14" s="1236" t="s">
        <v>327</v>
      </c>
      <c r="C14" s="1237"/>
      <c r="D14" s="955">
        <f t="shared" si="1"/>
        <v>0</v>
      </c>
      <c r="E14" s="956">
        <f t="shared" si="0"/>
        <v>0</v>
      </c>
      <c r="F14" s="956">
        <f t="shared" si="0"/>
        <v>0</v>
      </c>
      <c r="G14" s="957"/>
      <c r="H14" s="957"/>
      <c r="I14" s="957"/>
      <c r="J14" s="957">
        <v>0</v>
      </c>
      <c r="K14" s="957"/>
      <c r="L14" s="957">
        <f t="shared" si="2"/>
        <v>0</v>
      </c>
      <c r="M14" s="957">
        <v>0</v>
      </c>
      <c r="N14" s="957"/>
      <c r="O14" s="958">
        <f t="shared" si="3"/>
        <v>0</v>
      </c>
    </row>
    <row r="15" spans="1:15" s="959" customFormat="1" x14ac:dyDescent="0.25">
      <c r="A15" s="67" t="s">
        <v>207</v>
      </c>
      <c r="B15" s="1238" t="s">
        <v>407</v>
      </c>
      <c r="C15" s="1239"/>
      <c r="D15" s="960">
        <f t="shared" si="1"/>
        <v>1174</v>
      </c>
      <c r="E15" s="960">
        <f t="shared" si="0"/>
        <v>37</v>
      </c>
      <c r="F15" s="960">
        <f t="shared" si="0"/>
        <v>1211</v>
      </c>
      <c r="G15" s="961">
        <v>1174</v>
      </c>
      <c r="H15" s="961">
        <f t="shared" ref="H15:I15" si="4">+H4</f>
        <v>37</v>
      </c>
      <c r="I15" s="961">
        <f t="shared" si="4"/>
        <v>1211</v>
      </c>
      <c r="J15" s="961">
        <v>0</v>
      </c>
      <c r="K15" s="961"/>
      <c r="L15" s="961">
        <f t="shared" si="2"/>
        <v>0</v>
      </c>
      <c r="M15" s="961">
        <v>0</v>
      </c>
      <c r="N15" s="961"/>
      <c r="O15" s="958">
        <f t="shared" si="3"/>
        <v>0</v>
      </c>
    </row>
    <row r="16" spans="1:15" s="959" customFormat="1" x14ac:dyDescent="0.25">
      <c r="A16" s="66" t="s">
        <v>209</v>
      </c>
      <c r="B16" s="1240" t="s">
        <v>208</v>
      </c>
      <c r="C16" s="1241"/>
      <c r="D16" s="955">
        <f t="shared" si="1"/>
        <v>0</v>
      </c>
      <c r="E16" s="955">
        <f t="shared" si="0"/>
        <v>14277</v>
      </c>
      <c r="F16" s="955">
        <f t="shared" si="0"/>
        <v>14277</v>
      </c>
      <c r="G16" s="962">
        <v>0</v>
      </c>
      <c r="H16" s="962"/>
      <c r="I16" s="962">
        <f>+H16+G16</f>
        <v>0</v>
      </c>
      <c r="J16" s="962">
        <v>0</v>
      </c>
      <c r="K16" s="962"/>
      <c r="L16" s="962">
        <f t="shared" si="2"/>
        <v>0</v>
      </c>
      <c r="M16" s="962">
        <v>0</v>
      </c>
      <c r="N16" s="962">
        <v>14277</v>
      </c>
      <c r="O16" s="958">
        <f t="shared" si="3"/>
        <v>14277</v>
      </c>
    </row>
    <row r="17" spans="1:15" s="959" customFormat="1" hidden="1" x14ac:dyDescent="0.25">
      <c r="A17" s="94"/>
      <c r="B17" s="1236" t="s">
        <v>331</v>
      </c>
      <c r="C17" s="1237"/>
      <c r="D17" s="955">
        <f t="shared" si="1"/>
        <v>0</v>
      </c>
      <c r="E17" s="956">
        <f t="shared" si="0"/>
        <v>0</v>
      </c>
      <c r="F17" s="956">
        <f t="shared" si="0"/>
        <v>0</v>
      </c>
      <c r="G17" s="957">
        <v>0</v>
      </c>
      <c r="H17" s="957"/>
      <c r="I17" s="962">
        <f t="shared" ref="I17:I41" si="5">+H17+G17</f>
        <v>0</v>
      </c>
      <c r="J17" s="957">
        <v>0</v>
      </c>
      <c r="K17" s="957"/>
      <c r="L17" s="957">
        <f t="shared" si="2"/>
        <v>0</v>
      </c>
      <c r="M17" s="957">
        <v>0</v>
      </c>
      <c r="N17" s="957"/>
      <c r="O17" s="958">
        <f t="shared" si="3"/>
        <v>0</v>
      </c>
    </row>
    <row r="18" spans="1:15" s="959" customFormat="1" hidden="1" x14ac:dyDescent="0.25">
      <c r="A18" s="94"/>
      <c r="B18" s="1236" t="s">
        <v>321</v>
      </c>
      <c r="C18" s="1237"/>
      <c r="D18" s="955">
        <f t="shared" si="1"/>
        <v>0</v>
      </c>
      <c r="E18" s="956">
        <f t="shared" si="0"/>
        <v>0</v>
      </c>
      <c r="F18" s="956">
        <f t="shared" si="0"/>
        <v>0</v>
      </c>
      <c r="G18" s="957">
        <v>0</v>
      </c>
      <c r="H18" s="957"/>
      <c r="I18" s="962">
        <f t="shared" si="5"/>
        <v>0</v>
      </c>
      <c r="J18" s="957">
        <v>0</v>
      </c>
      <c r="K18" s="957"/>
      <c r="L18" s="957">
        <f t="shared" si="2"/>
        <v>0</v>
      </c>
      <c r="M18" s="957">
        <v>0</v>
      </c>
      <c r="N18" s="957"/>
      <c r="O18" s="958">
        <f t="shared" si="3"/>
        <v>0</v>
      </c>
    </row>
    <row r="19" spans="1:15" s="959" customFormat="1" hidden="1" x14ac:dyDescent="0.25">
      <c r="A19" s="94"/>
      <c r="B19" s="1236" t="s">
        <v>322</v>
      </c>
      <c r="C19" s="1237"/>
      <c r="D19" s="955">
        <f t="shared" si="1"/>
        <v>0</v>
      </c>
      <c r="E19" s="956">
        <f t="shared" si="0"/>
        <v>0</v>
      </c>
      <c r="F19" s="956">
        <f t="shared" si="0"/>
        <v>0</v>
      </c>
      <c r="G19" s="957">
        <v>0</v>
      </c>
      <c r="H19" s="957"/>
      <c r="I19" s="962">
        <f t="shared" si="5"/>
        <v>0</v>
      </c>
      <c r="J19" s="957">
        <v>0</v>
      </c>
      <c r="K19" s="957"/>
      <c r="L19" s="957">
        <f t="shared" si="2"/>
        <v>0</v>
      </c>
      <c r="M19" s="957">
        <v>0</v>
      </c>
      <c r="N19" s="957"/>
      <c r="O19" s="958">
        <f t="shared" si="3"/>
        <v>0</v>
      </c>
    </row>
    <row r="20" spans="1:15" s="959" customFormat="1" hidden="1" x14ac:dyDescent="0.25">
      <c r="A20" s="94"/>
      <c r="B20" s="1236" t="s">
        <v>323</v>
      </c>
      <c r="C20" s="1237"/>
      <c r="D20" s="955">
        <f t="shared" si="1"/>
        <v>0</v>
      </c>
      <c r="E20" s="956">
        <f t="shared" si="1"/>
        <v>0</v>
      </c>
      <c r="F20" s="956">
        <f t="shared" si="1"/>
        <v>0</v>
      </c>
      <c r="G20" s="957">
        <v>0</v>
      </c>
      <c r="H20" s="957"/>
      <c r="I20" s="962">
        <f t="shared" si="5"/>
        <v>0</v>
      </c>
      <c r="J20" s="957">
        <v>0</v>
      </c>
      <c r="K20" s="957"/>
      <c r="L20" s="957">
        <f t="shared" si="2"/>
        <v>0</v>
      </c>
      <c r="M20" s="957">
        <v>0</v>
      </c>
      <c r="N20" s="957"/>
      <c r="O20" s="958">
        <f t="shared" si="3"/>
        <v>0</v>
      </c>
    </row>
    <row r="21" spans="1:15" s="959" customFormat="1" hidden="1" x14ac:dyDescent="0.25">
      <c r="A21" s="94"/>
      <c r="B21" s="1236" t="s">
        <v>324</v>
      </c>
      <c r="C21" s="1237"/>
      <c r="D21" s="955">
        <f t="shared" si="1"/>
        <v>0</v>
      </c>
      <c r="E21" s="956">
        <f t="shared" si="1"/>
        <v>0</v>
      </c>
      <c r="F21" s="956">
        <f t="shared" si="1"/>
        <v>0</v>
      </c>
      <c r="G21" s="957">
        <v>0</v>
      </c>
      <c r="H21" s="957"/>
      <c r="I21" s="962">
        <f t="shared" si="5"/>
        <v>0</v>
      </c>
      <c r="J21" s="957">
        <v>0</v>
      </c>
      <c r="K21" s="957"/>
      <c r="L21" s="957">
        <f t="shared" si="2"/>
        <v>0</v>
      </c>
      <c r="M21" s="957">
        <v>0</v>
      </c>
      <c r="N21" s="957"/>
      <c r="O21" s="958">
        <f t="shared" si="3"/>
        <v>0</v>
      </c>
    </row>
    <row r="22" spans="1:15" s="959" customFormat="1" hidden="1" x14ac:dyDescent="0.25">
      <c r="A22" s="94"/>
      <c r="B22" s="1236" t="s">
        <v>325</v>
      </c>
      <c r="C22" s="1237"/>
      <c r="D22" s="955">
        <f t="shared" si="1"/>
        <v>0</v>
      </c>
      <c r="E22" s="956">
        <f t="shared" si="1"/>
        <v>0</v>
      </c>
      <c r="F22" s="956">
        <f t="shared" si="1"/>
        <v>0</v>
      </c>
      <c r="G22" s="957">
        <v>0</v>
      </c>
      <c r="H22" s="957"/>
      <c r="I22" s="962">
        <f t="shared" si="5"/>
        <v>0</v>
      </c>
      <c r="J22" s="957">
        <v>0</v>
      </c>
      <c r="K22" s="957"/>
      <c r="L22" s="957">
        <f t="shared" si="2"/>
        <v>0</v>
      </c>
      <c r="M22" s="957">
        <v>0</v>
      </c>
      <c r="N22" s="957"/>
      <c r="O22" s="958">
        <f t="shared" si="3"/>
        <v>0</v>
      </c>
    </row>
    <row r="23" spans="1:15" s="959" customFormat="1" hidden="1" x14ac:dyDescent="0.25">
      <c r="A23" s="94"/>
      <c r="B23" s="1236" t="s">
        <v>99</v>
      </c>
      <c r="C23" s="1237"/>
      <c r="D23" s="955">
        <f t="shared" si="1"/>
        <v>0</v>
      </c>
      <c r="E23" s="956">
        <f t="shared" si="1"/>
        <v>0</v>
      </c>
      <c r="F23" s="956">
        <f t="shared" si="1"/>
        <v>0</v>
      </c>
      <c r="G23" s="957">
        <v>0</v>
      </c>
      <c r="H23" s="957"/>
      <c r="I23" s="962">
        <f t="shared" si="5"/>
        <v>0</v>
      </c>
      <c r="J23" s="957">
        <v>0</v>
      </c>
      <c r="K23" s="957"/>
      <c r="L23" s="957">
        <f t="shared" si="2"/>
        <v>0</v>
      </c>
      <c r="M23" s="957">
        <v>0</v>
      </c>
      <c r="N23" s="957"/>
      <c r="O23" s="958">
        <f t="shared" si="3"/>
        <v>0</v>
      </c>
    </row>
    <row r="24" spans="1:15" s="959" customFormat="1" hidden="1" x14ac:dyDescent="0.25">
      <c r="A24" s="94"/>
      <c r="B24" s="1236" t="s">
        <v>100</v>
      </c>
      <c r="C24" s="1237"/>
      <c r="D24" s="955">
        <f t="shared" si="1"/>
        <v>0</v>
      </c>
      <c r="E24" s="956">
        <f t="shared" si="1"/>
        <v>0</v>
      </c>
      <c r="F24" s="956">
        <f t="shared" si="1"/>
        <v>0</v>
      </c>
      <c r="G24" s="957">
        <v>0</v>
      </c>
      <c r="H24" s="957"/>
      <c r="I24" s="962">
        <f t="shared" si="5"/>
        <v>0</v>
      </c>
      <c r="J24" s="957">
        <v>0</v>
      </c>
      <c r="K24" s="957"/>
      <c r="L24" s="957">
        <f t="shared" si="2"/>
        <v>0</v>
      </c>
      <c r="M24" s="957">
        <v>0</v>
      </c>
      <c r="N24" s="957"/>
      <c r="O24" s="958">
        <f t="shared" si="3"/>
        <v>0</v>
      </c>
    </row>
    <row r="25" spans="1:15" s="959" customFormat="1" hidden="1" x14ac:dyDescent="0.25">
      <c r="A25" s="94"/>
      <c r="B25" s="1236" t="s">
        <v>326</v>
      </c>
      <c r="C25" s="1237"/>
      <c r="D25" s="955">
        <f t="shared" si="1"/>
        <v>0</v>
      </c>
      <c r="E25" s="956">
        <f t="shared" si="1"/>
        <v>0</v>
      </c>
      <c r="F25" s="956">
        <f t="shared" si="1"/>
        <v>0</v>
      </c>
      <c r="G25" s="957">
        <v>0</v>
      </c>
      <c r="H25" s="957"/>
      <c r="I25" s="962">
        <f t="shared" si="5"/>
        <v>0</v>
      </c>
      <c r="J25" s="957">
        <v>0</v>
      </c>
      <c r="K25" s="957"/>
      <c r="L25" s="957">
        <f t="shared" si="2"/>
        <v>0</v>
      </c>
      <c r="M25" s="957">
        <v>0</v>
      </c>
      <c r="N25" s="957"/>
      <c r="O25" s="958">
        <f t="shared" si="3"/>
        <v>0</v>
      </c>
    </row>
    <row r="26" spans="1:15" s="959" customFormat="1" hidden="1" x14ac:dyDescent="0.25">
      <c r="A26" s="94"/>
      <c r="B26" s="1236" t="s">
        <v>327</v>
      </c>
      <c r="C26" s="1237"/>
      <c r="D26" s="955">
        <f t="shared" si="1"/>
        <v>0</v>
      </c>
      <c r="E26" s="956">
        <f t="shared" si="1"/>
        <v>0</v>
      </c>
      <c r="F26" s="956">
        <f t="shared" si="1"/>
        <v>0</v>
      </c>
      <c r="G26" s="957">
        <v>0</v>
      </c>
      <c r="H26" s="957"/>
      <c r="I26" s="962">
        <f t="shared" si="5"/>
        <v>0</v>
      </c>
      <c r="J26" s="957">
        <v>0</v>
      </c>
      <c r="K26" s="957"/>
      <c r="L26" s="957">
        <f t="shared" si="2"/>
        <v>0</v>
      </c>
      <c r="M26" s="957">
        <v>0</v>
      </c>
      <c r="N26" s="957"/>
      <c r="O26" s="958">
        <f t="shared" si="3"/>
        <v>0</v>
      </c>
    </row>
    <row r="27" spans="1:15" s="959" customFormat="1" x14ac:dyDescent="0.25">
      <c r="A27" s="67" t="s">
        <v>210</v>
      </c>
      <c r="B27" s="1238" t="s">
        <v>329</v>
      </c>
      <c r="C27" s="1239"/>
      <c r="D27" s="960">
        <f t="shared" si="1"/>
        <v>0</v>
      </c>
      <c r="E27" s="960">
        <f t="shared" si="1"/>
        <v>14277</v>
      </c>
      <c r="F27" s="960">
        <f t="shared" si="1"/>
        <v>14277</v>
      </c>
      <c r="G27" s="961">
        <v>0</v>
      </c>
      <c r="H27" s="961"/>
      <c r="I27" s="961">
        <f t="shared" si="5"/>
        <v>0</v>
      </c>
      <c r="J27" s="961">
        <v>0</v>
      </c>
      <c r="K27" s="961"/>
      <c r="L27" s="961">
        <f t="shared" si="2"/>
        <v>0</v>
      </c>
      <c r="M27" s="961">
        <f>+M16</f>
        <v>0</v>
      </c>
      <c r="N27" s="961">
        <f t="shared" ref="N27:O27" si="6">+N16</f>
        <v>14277</v>
      </c>
      <c r="O27" s="961">
        <f t="shared" si="6"/>
        <v>14277</v>
      </c>
    </row>
    <row r="28" spans="1:15" s="163" customFormat="1" x14ac:dyDescent="0.25">
      <c r="A28" s="940" t="s">
        <v>235</v>
      </c>
      <c r="B28" s="1216" t="s">
        <v>334</v>
      </c>
      <c r="C28" s="1233"/>
      <c r="D28" s="148">
        <f t="shared" si="1"/>
        <v>0</v>
      </c>
      <c r="E28" s="148">
        <f t="shared" si="1"/>
        <v>0</v>
      </c>
      <c r="F28" s="148">
        <f t="shared" si="1"/>
        <v>0</v>
      </c>
      <c r="G28" s="96">
        <v>0</v>
      </c>
      <c r="H28" s="96"/>
      <c r="I28" s="96">
        <f t="shared" si="5"/>
        <v>0</v>
      </c>
      <c r="J28" s="96">
        <v>0</v>
      </c>
      <c r="K28" s="96"/>
      <c r="L28" s="96">
        <f t="shared" si="2"/>
        <v>0</v>
      </c>
      <c r="M28" s="96">
        <v>0</v>
      </c>
      <c r="N28" s="96"/>
      <c r="O28" s="64">
        <f t="shared" si="3"/>
        <v>0</v>
      </c>
    </row>
    <row r="29" spans="1:15" s="163" customFormat="1" x14ac:dyDescent="0.25">
      <c r="A29" s="369" t="s">
        <v>239</v>
      </c>
      <c r="B29" s="1231" t="s">
        <v>238</v>
      </c>
      <c r="C29" s="1231"/>
      <c r="D29" s="941">
        <f t="shared" si="1"/>
        <v>5565</v>
      </c>
      <c r="E29" s="941">
        <f t="shared" si="1"/>
        <v>5533</v>
      </c>
      <c r="F29" s="942">
        <f t="shared" si="1"/>
        <v>11098</v>
      </c>
      <c r="G29" s="941">
        <v>0</v>
      </c>
      <c r="H29" s="941"/>
      <c r="I29" s="95">
        <f t="shared" si="5"/>
        <v>0</v>
      </c>
      <c r="J29" s="941">
        <v>3465</v>
      </c>
      <c r="K29" s="941"/>
      <c r="L29" s="943">
        <f t="shared" si="2"/>
        <v>3465</v>
      </c>
      <c r="M29" s="941">
        <v>2100</v>
      </c>
      <c r="N29" s="941">
        <v>5533</v>
      </c>
      <c r="O29" s="64">
        <f t="shared" si="3"/>
        <v>7633</v>
      </c>
    </row>
    <row r="30" spans="1:15" s="163" customFormat="1" x14ac:dyDescent="0.25">
      <c r="A30" s="944" t="s">
        <v>241</v>
      </c>
      <c r="B30" s="1231" t="s">
        <v>240</v>
      </c>
      <c r="C30" s="1231"/>
      <c r="D30" s="941">
        <f t="shared" si="1"/>
        <v>504</v>
      </c>
      <c r="E30" s="941">
        <f t="shared" si="1"/>
        <v>25</v>
      </c>
      <c r="F30" s="942">
        <f t="shared" si="1"/>
        <v>529</v>
      </c>
      <c r="G30" s="941">
        <v>500</v>
      </c>
      <c r="H30" s="941"/>
      <c r="I30" s="95">
        <f t="shared" si="5"/>
        <v>500</v>
      </c>
      <c r="J30" s="941">
        <v>4</v>
      </c>
      <c r="K30" s="941"/>
      <c r="L30" s="943">
        <f t="shared" si="2"/>
        <v>4</v>
      </c>
      <c r="M30" s="941">
        <v>0</v>
      </c>
      <c r="N30" s="941">
        <v>25</v>
      </c>
      <c r="O30" s="64">
        <f t="shared" si="3"/>
        <v>25</v>
      </c>
    </row>
    <row r="31" spans="1:15" s="163" customFormat="1" x14ac:dyDescent="0.25">
      <c r="A31" s="944" t="s">
        <v>243</v>
      </c>
      <c r="B31" s="1231" t="s">
        <v>242</v>
      </c>
      <c r="C31" s="1231"/>
      <c r="D31" s="941">
        <f t="shared" si="1"/>
        <v>1822</v>
      </c>
      <c r="E31" s="941">
        <f t="shared" si="1"/>
        <v>240</v>
      </c>
      <c r="F31" s="942">
        <f t="shared" si="1"/>
        <v>2062</v>
      </c>
      <c r="G31" s="941">
        <v>0</v>
      </c>
      <c r="H31" s="941"/>
      <c r="I31" s="95">
        <f t="shared" si="5"/>
        <v>0</v>
      </c>
      <c r="J31" s="941">
        <v>0</v>
      </c>
      <c r="K31" s="941">
        <v>240</v>
      </c>
      <c r="L31" s="943">
        <f t="shared" si="2"/>
        <v>240</v>
      </c>
      <c r="M31" s="941">
        <v>1822</v>
      </c>
      <c r="N31" s="941"/>
      <c r="O31" s="64">
        <f t="shared" si="3"/>
        <v>1822</v>
      </c>
    </row>
    <row r="32" spans="1:15" s="163" customFormat="1" x14ac:dyDescent="0.25">
      <c r="A32" s="369" t="s">
        <v>247</v>
      </c>
      <c r="B32" s="1234" t="s">
        <v>246</v>
      </c>
      <c r="C32" s="1235"/>
      <c r="D32" s="941">
        <f t="shared" si="1"/>
        <v>1503</v>
      </c>
      <c r="E32" s="941">
        <f t="shared" si="1"/>
        <v>1276</v>
      </c>
      <c r="F32" s="942">
        <f t="shared" si="1"/>
        <v>2779</v>
      </c>
      <c r="G32" s="941">
        <v>0</v>
      </c>
      <c r="H32" s="941"/>
      <c r="I32" s="95">
        <f t="shared" si="5"/>
        <v>0</v>
      </c>
      <c r="J32" s="941">
        <v>936</v>
      </c>
      <c r="K32" s="941"/>
      <c r="L32" s="943">
        <f t="shared" si="2"/>
        <v>936</v>
      </c>
      <c r="M32" s="941">
        <v>567</v>
      </c>
      <c r="N32" s="941">
        <v>1276</v>
      </c>
      <c r="O32" s="64">
        <f t="shared" si="3"/>
        <v>1843</v>
      </c>
    </row>
    <row r="33" spans="1:15" s="163" customFormat="1" x14ac:dyDescent="0.25">
      <c r="A33" s="369" t="s">
        <v>249</v>
      </c>
      <c r="B33" s="1234" t="s">
        <v>248</v>
      </c>
      <c r="C33" s="1235"/>
      <c r="D33" s="941">
        <f t="shared" si="1"/>
        <v>1805</v>
      </c>
      <c r="E33" s="941">
        <f t="shared" si="1"/>
        <v>1276</v>
      </c>
      <c r="F33" s="942">
        <f t="shared" si="1"/>
        <v>3081</v>
      </c>
      <c r="G33" s="941">
        <v>0</v>
      </c>
      <c r="H33" s="941"/>
      <c r="I33" s="95">
        <f t="shared" si="5"/>
        <v>0</v>
      </c>
      <c r="J33" s="941">
        <v>1238</v>
      </c>
      <c r="K33" s="941"/>
      <c r="L33" s="943">
        <f t="shared" si="2"/>
        <v>1238</v>
      </c>
      <c r="M33" s="941">
        <v>567</v>
      </c>
      <c r="N33" s="941">
        <v>1276</v>
      </c>
      <c r="O33" s="64">
        <f t="shared" si="3"/>
        <v>1843</v>
      </c>
    </row>
    <row r="34" spans="1:15" s="163" customFormat="1" x14ac:dyDescent="0.25">
      <c r="A34" s="369" t="s">
        <v>251</v>
      </c>
      <c r="B34" s="1228" t="s">
        <v>250</v>
      </c>
      <c r="C34" s="1229"/>
      <c r="D34" s="941">
        <f t="shared" si="1"/>
        <v>0</v>
      </c>
      <c r="E34" s="941">
        <f t="shared" si="1"/>
        <v>0</v>
      </c>
      <c r="F34" s="942">
        <f t="shared" si="1"/>
        <v>0</v>
      </c>
      <c r="G34" s="941">
        <v>0</v>
      </c>
      <c r="H34" s="941"/>
      <c r="I34" s="95">
        <f t="shared" si="5"/>
        <v>0</v>
      </c>
      <c r="J34" s="941">
        <v>0</v>
      </c>
      <c r="K34" s="941"/>
      <c r="L34" s="943">
        <f t="shared" si="2"/>
        <v>0</v>
      </c>
      <c r="M34" s="941">
        <v>0</v>
      </c>
      <c r="N34" s="941"/>
      <c r="O34" s="64">
        <f t="shared" si="3"/>
        <v>0</v>
      </c>
    </row>
    <row r="35" spans="1:15" s="163" customFormat="1" x14ac:dyDescent="0.25">
      <c r="A35" s="369" t="s">
        <v>631</v>
      </c>
      <c r="B35" s="1228" t="s">
        <v>254</v>
      </c>
      <c r="C35" s="1229"/>
      <c r="D35" s="941">
        <f t="shared" si="1"/>
        <v>0</v>
      </c>
      <c r="E35" s="941">
        <f t="shared" si="1"/>
        <v>0</v>
      </c>
      <c r="F35" s="942">
        <f t="shared" si="1"/>
        <v>0</v>
      </c>
      <c r="G35" s="941">
        <v>0</v>
      </c>
      <c r="H35" s="941"/>
      <c r="I35" s="95">
        <f t="shared" si="5"/>
        <v>0</v>
      </c>
      <c r="J35" s="941">
        <v>0</v>
      </c>
      <c r="K35" s="941"/>
      <c r="L35" s="943">
        <f t="shared" si="2"/>
        <v>0</v>
      </c>
      <c r="M35" s="941">
        <v>0</v>
      </c>
      <c r="N35" s="941"/>
      <c r="O35" s="64">
        <f t="shared" si="3"/>
        <v>0</v>
      </c>
    </row>
    <row r="36" spans="1:15" s="163" customFormat="1" x14ac:dyDescent="0.25">
      <c r="A36" s="940" t="s">
        <v>255</v>
      </c>
      <c r="B36" s="1230" t="s">
        <v>280</v>
      </c>
      <c r="C36" s="1230"/>
      <c r="D36" s="945">
        <f t="shared" si="1"/>
        <v>11199</v>
      </c>
      <c r="E36" s="945">
        <f t="shared" si="1"/>
        <v>8350</v>
      </c>
      <c r="F36" s="946">
        <f t="shared" si="1"/>
        <v>19549</v>
      </c>
      <c r="G36" s="945">
        <v>500</v>
      </c>
      <c r="H36" s="945">
        <f t="shared" ref="H36:I36" si="7">SUM(H29:H35)</f>
        <v>0</v>
      </c>
      <c r="I36" s="945">
        <f t="shared" si="7"/>
        <v>500</v>
      </c>
      <c r="J36" s="945">
        <v>5643</v>
      </c>
      <c r="K36" s="945">
        <f t="shared" ref="K36:L36" si="8">SUM(K29:K35)</f>
        <v>240</v>
      </c>
      <c r="L36" s="945">
        <f t="shared" si="8"/>
        <v>5883</v>
      </c>
      <c r="M36" s="945">
        <v>5056</v>
      </c>
      <c r="N36" s="945">
        <f t="shared" ref="N36:O36" si="9">SUM(N29:N35)</f>
        <v>8110</v>
      </c>
      <c r="O36" s="945">
        <f t="shared" si="9"/>
        <v>13166</v>
      </c>
    </row>
    <row r="37" spans="1:15" s="163" customFormat="1" x14ac:dyDescent="0.25">
      <c r="A37" s="940" t="s">
        <v>256</v>
      </c>
      <c r="B37" s="1230" t="s">
        <v>279</v>
      </c>
      <c r="C37" s="1230">
        <v>0</v>
      </c>
      <c r="D37" s="945">
        <f t="shared" si="1"/>
        <v>0</v>
      </c>
      <c r="E37" s="945">
        <f t="shared" si="1"/>
        <v>0</v>
      </c>
      <c r="F37" s="946">
        <f t="shared" si="1"/>
        <v>0</v>
      </c>
      <c r="G37" s="945">
        <v>0</v>
      </c>
      <c r="H37" s="945"/>
      <c r="I37" s="95">
        <f t="shared" si="5"/>
        <v>0</v>
      </c>
      <c r="J37" s="945">
        <v>0</v>
      </c>
      <c r="K37" s="945"/>
      <c r="L37" s="947">
        <f t="shared" si="2"/>
        <v>0</v>
      </c>
      <c r="M37" s="945">
        <v>0</v>
      </c>
      <c r="N37" s="945">
        <v>0</v>
      </c>
      <c r="O37" s="945">
        <v>0</v>
      </c>
    </row>
    <row r="38" spans="1:15" s="163" customFormat="1" x14ac:dyDescent="0.25">
      <c r="A38" s="369" t="s">
        <v>258</v>
      </c>
      <c r="B38" s="1231" t="s">
        <v>257</v>
      </c>
      <c r="C38" s="1231">
        <v>42</v>
      </c>
      <c r="D38" s="941">
        <f t="shared" si="1"/>
        <v>300</v>
      </c>
      <c r="E38" s="941">
        <f t="shared" si="1"/>
        <v>0</v>
      </c>
      <c r="F38" s="942">
        <f t="shared" si="1"/>
        <v>300</v>
      </c>
      <c r="G38" s="941">
        <v>300</v>
      </c>
      <c r="H38" s="941"/>
      <c r="I38" s="95">
        <f t="shared" si="5"/>
        <v>300</v>
      </c>
      <c r="J38" s="941">
        <v>0</v>
      </c>
      <c r="K38" s="941"/>
      <c r="L38" s="943">
        <f t="shared" si="2"/>
        <v>0</v>
      </c>
      <c r="M38" s="941">
        <v>0</v>
      </c>
      <c r="N38" s="941"/>
      <c r="O38" s="64">
        <f t="shared" si="3"/>
        <v>0</v>
      </c>
    </row>
    <row r="39" spans="1:15" s="163" customFormat="1" x14ac:dyDescent="0.25">
      <c r="A39" s="940" t="s">
        <v>259</v>
      </c>
      <c r="B39" s="1230" t="s">
        <v>278</v>
      </c>
      <c r="C39" s="1230">
        <f>+C38</f>
        <v>42</v>
      </c>
      <c r="D39" s="945">
        <f t="shared" si="1"/>
        <v>300</v>
      </c>
      <c r="E39" s="945">
        <f t="shared" si="1"/>
        <v>0</v>
      </c>
      <c r="F39" s="946">
        <f t="shared" si="1"/>
        <v>300</v>
      </c>
      <c r="G39" s="945">
        <v>300</v>
      </c>
      <c r="H39" s="945"/>
      <c r="I39" s="95">
        <f t="shared" si="5"/>
        <v>300</v>
      </c>
      <c r="J39" s="945">
        <v>0</v>
      </c>
      <c r="K39" s="945"/>
      <c r="L39" s="947">
        <f t="shared" si="2"/>
        <v>0</v>
      </c>
      <c r="M39" s="945">
        <v>0</v>
      </c>
      <c r="N39" s="945"/>
      <c r="O39" s="64">
        <f t="shared" si="3"/>
        <v>0</v>
      </c>
    </row>
    <row r="40" spans="1:15" s="163" customFormat="1" x14ac:dyDescent="0.25">
      <c r="A40" s="369" t="s">
        <v>261</v>
      </c>
      <c r="B40" s="1231" t="s">
        <v>260</v>
      </c>
      <c r="C40" s="1231"/>
      <c r="D40" s="941">
        <f t="shared" si="1"/>
        <v>0</v>
      </c>
      <c r="E40" s="941">
        <f t="shared" si="1"/>
        <v>0</v>
      </c>
      <c r="F40" s="942">
        <f t="shared" si="1"/>
        <v>0</v>
      </c>
      <c r="G40" s="941">
        <v>0</v>
      </c>
      <c r="H40" s="941"/>
      <c r="I40" s="95">
        <f t="shared" si="5"/>
        <v>0</v>
      </c>
      <c r="J40" s="941">
        <v>0</v>
      </c>
      <c r="K40" s="941"/>
      <c r="L40" s="943">
        <f t="shared" si="2"/>
        <v>0</v>
      </c>
      <c r="M40" s="941">
        <v>0</v>
      </c>
      <c r="N40" s="941"/>
      <c r="O40" s="64">
        <f t="shared" si="3"/>
        <v>0</v>
      </c>
    </row>
    <row r="41" spans="1:15" s="163" customFormat="1" x14ac:dyDescent="0.25">
      <c r="A41" s="940" t="s">
        <v>262</v>
      </c>
      <c r="B41" s="1230" t="s">
        <v>283</v>
      </c>
      <c r="C41" s="1230"/>
      <c r="D41" s="945">
        <f t="shared" si="1"/>
        <v>0</v>
      </c>
      <c r="E41" s="945">
        <f t="shared" si="1"/>
        <v>0</v>
      </c>
      <c r="F41" s="946">
        <f t="shared" si="1"/>
        <v>0</v>
      </c>
      <c r="G41" s="945">
        <v>0</v>
      </c>
      <c r="H41" s="945"/>
      <c r="I41" s="95">
        <f t="shared" si="5"/>
        <v>0</v>
      </c>
      <c r="J41" s="945">
        <v>0</v>
      </c>
      <c r="K41" s="945"/>
      <c r="L41" s="947">
        <f t="shared" si="2"/>
        <v>0</v>
      </c>
      <c r="M41" s="945">
        <v>0</v>
      </c>
      <c r="N41" s="945"/>
      <c r="O41" s="64">
        <f t="shared" si="3"/>
        <v>0</v>
      </c>
    </row>
    <row r="42" spans="1:15" s="163" customFormat="1" x14ac:dyDescent="0.25">
      <c r="A42" s="940" t="s">
        <v>263</v>
      </c>
      <c r="B42" s="1230" t="s">
        <v>276</v>
      </c>
      <c r="C42" s="1230"/>
      <c r="D42" s="945">
        <f t="shared" si="1"/>
        <v>12673</v>
      </c>
      <c r="E42" s="945">
        <f t="shared" si="1"/>
        <v>22664</v>
      </c>
      <c r="F42" s="945">
        <f t="shared" si="1"/>
        <v>35337</v>
      </c>
      <c r="G42" s="945">
        <v>1974</v>
      </c>
      <c r="H42" s="945">
        <f t="shared" ref="H42:O42" si="10">+H41+H39+H37+H36+H27+H15</f>
        <v>37</v>
      </c>
      <c r="I42" s="945">
        <f t="shared" si="10"/>
        <v>2011</v>
      </c>
      <c r="J42" s="945">
        <v>5643</v>
      </c>
      <c r="K42" s="945">
        <f t="shared" si="10"/>
        <v>240</v>
      </c>
      <c r="L42" s="945">
        <f t="shared" si="2"/>
        <v>5883</v>
      </c>
      <c r="M42" s="945">
        <v>5056</v>
      </c>
      <c r="N42" s="945">
        <f t="shared" si="10"/>
        <v>22387</v>
      </c>
      <c r="O42" s="945">
        <f t="shared" si="10"/>
        <v>27443</v>
      </c>
    </row>
    <row r="43" spans="1:15" s="163" customFormat="1" x14ac:dyDescent="0.25">
      <c r="A43" s="369" t="s">
        <v>273</v>
      </c>
      <c r="B43" s="1232" t="s">
        <v>272</v>
      </c>
      <c r="C43" s="1232"/>
      <c r="D43" s="941">
        <f t="shared" si="1"/>
        <v>615</v>
      </c>
      <c r="E43" s="941">
        <f t="shared" si="1"/>
        <v>0</v>
      </c>
      <c r="F43" s="941">
        <f t="shared" si="1"/>
        <v>615</v>
      </c>
      <c r="G43" s="941">
        <v>420</v>
      </c>
      <c r="H43" s="941"/>
      <c r="I43" s="941">
        <f>+H43+G43</f>
        <v>420</v>
      </c>
      <c r="J43" s="941">
        <v>113</v>
      </c>
      <c r="K43" s="941"/>
      <c r="L43" s="941">
        <f t="shared" si="2"/>
        <v>113</v>
      </c>
      <c r="M43" s="941">
        <v>82</v>
      </c>
      <c r="N43" s="941"/>
      <c r="O43" s="941">
        <f>+N43+M43</f>
        <v>82</v>
      </c>
    </row>
    <row r="44" spans="1:15" s="163" customFormat="1" hidden="1" x14ac:dyDescent="0.25">
      <c r="A44" s="370"/>
      <c r="B44" s="496"/>
      <c r="C44" s="497" t="s">
        <v>394</v>
      </c>
      <c r="D44" s="948">
        <f t="shared" si="1"/>
        <v>0</v>
      </c>
      <c r="E44" s="948">
        <f t="shared" si="1"/>
        <v>0</v>
      </c>
      <c r="F44" s="948">
        <f t="shared" si="1"/>
        <v>0</v>
      </c>
      <c r="G44" s="948">
        <v>0</v>
      </c>
      <c r="H44" s="948"/>
      <c r="I44" s="941">
        <f t="shared" ref="I44:I45" si="11">+H44+G44</f>
        <v>0</v>
      </c>
      <c r="J44" s="948">
        <v>0</v>
      </c>
      <c r="K44" s="948"/>
      <c r="L44" s="948">
        <f t="shared" si="2"/>
        <v>0</v>
      </c>
      <c r="M44" s="948"/>
      <c r="N44" s="948"/>
      <c r="O44" s="948"/>
    </row>
    <row r="45" spans="1:15" s="163" customFormat="1" hidden="1" x14ac:dyDescent="0.25">
      <c r="A45" s="370"/>
      <c r="B45" s="496"/>
      <c r="C45" s="497" t="s">
        <v>395</v>
      </c>
      <c r="D45" s="948">
        <f t="shared" si="1"/>
        <v>0</v>
      </c>
      <c r="E45" s="948">
        <f t="shared" si="1"/>
        <v>0</v>
      </c>
      <c r="F45" s="948">
        <f t="shared" si="1"/>
        <v>0</v>
      </c>
      <c r="G45" s="948">
        <v>0</v>
      </c>
      <c r="H45" s="948"/>
      <c r="I45" s="941">
        <f t="shared" si="11"/>
        <v>0</v>
      </c>
      <c r="J45" s="948">
        <v>0</v>
      </c>
      <c r="K45" s="948"/>
      <c r="L45" s="948">
        <f t="shared" si="2"/>
        <v>0</v>
      </c>
      <c r="M45" s="948"/>
      <c r="N45" s="948"/>
      <c r="O45" s="948"/>
    </row>
    <row r="46" spans="1:15" s="163" customFormat="1" x14ac:dyDescent="0.25">
      <c r="A46" s="140" t="s">
        <v>274</v>
      </c>
      <c r="B46" s="1216" t="s">
        <v>335</v>
      </c>
      <c r="C46" s="1233"/>
      <c r="D46" s="945">
        <f t="shared" si="1"/>
        <v>615</v>
      </c>
      <c r="E46" s="945">
        <f t="shared" si="1"/>
        <v>0</v>
      </c>
      <c r="F46" s="945">
        <f t="shared" si="1"/>
        <v>615</v>
      </c>
      <c r="G46" s="945">
        <v>420</v>
      </c>
      <c r="H46" s="945">
        <f t="shared" ref="H46:O46" si="12">+H43</f>
        <v>0</v>
      </c>
      <c r="I46" s="945">
        <f t="shared" si="12"/>
        <v>420</v>
      </c>
      <c r="J46" s="945">
        <v>113</v>
      </c>
      <c r="K46" s="945">
        <f t="shared" si="12"/>
        <v>0</v>
      </c>
      <c r="L46" s="945">
        <f t="shared" si="2"/>
        <v>113</v>
      </c>
      <c r="M46" s="945">
        <v>82</v>
      </c>
      <c r="N46" s="945">
        <f t="shared" si="12"/>
        <v>0</v>
      </c>
      <c r="O46" s="945">
        <f t="shared" si="12"/>
        <v>82</v>
      </c>
    </row>
    <row r="47" spans="1:15" s="163" customFormat="1" x14ac:dyDescent="0.25">
      <c r="A47" s="369" t="s">
        <v>284</v>
      </c>
      <c r="B47" s="1227" t="s">
        <v>285</v>
      </c>
      <c r="C47" s="1227"/>
      <c r="D47" s="941">
        <f t="shared" si="1"/>
        <v>453076</v>
      </c>
      <c r="E47" s="945">
        <f t="shared" si="1"/>
        <v>5504</v>
      </c>
      <c r="F47" s="946">
        <f t="shared" si="1"/>
        <v>458580</v>
      </c>
      <c r="G47" s="941">
        <v>215431</v>
      </c>
      <c r="H47" s="941">
        <v>54</v>
      </c>
      <c r="I47" s="942">
        <f>+H47+G47</f>
        <v>215485</v>
      </c>
      <c r="J47" s="941">
        <v>181612</v>
      </c>
      <c r="K47" s="941">
        <v>29</v>
      </c>
      <c r="L47" s="943">
        <f t="shared" si="2"/>
        <v>181641</v>
      </c>
      <c r="M47" s="941">
        <v>56033</v>
      </c>
      <c r="N47" s="941">
        <v>5421</v>
      </c>
      <c r="O47" s="942">
        <f>+N47+M47</f>
        <v>61454</v>
      </c>
    </row>
    <row r="48" spans="1:15" s="163" customFormat="1" x14ac:dyDescent="0.25">
      <c r="A48" s="940" t="s">
        <v>275</v>
      </c>
      <c r="B48" s="1224" t="s">
        <v>286</v>
      </c>
      <c r="C48" s="1225"/>
      <c r="D48" s="945">
        <f t="shared" si="1"/>
        <v>453691</v>
      </c>
      <c r="E48" s="945">
        <f t="shared" si="1"/>
        <v>5504</v>
      </c>
      <c r="F48" s="945">
        <f t="shared" si="1"/>
        <v>459195</v>
      </c>
      <c r="G48" s="945">
        <v>215851</v>
      </c>
      <c r="H48" s="945">
        <f t="shared" ref="H48:O48" si="13">+H47+H46</f>
        <v>54</v>
      </c>
      <c r="I48" s="945">
        <f t="shared" si="13"/>
        <v>215905</v>
      </c>
      <c r="J48" s="945">
        <v>181725</v>
      </c>
      <c r="K48" s="945">
        <f t="shared" si="13"/>
        <v>29</v>
      </c>
      <c r="L48" s="945">
        <f t="shared" si="2"/>
        <v>181754</v>
      </c>
      <c r="M48" s="945">
        <v>56115</v>
      </c>
      <c r="N48" s="945">
        <f t="shared" si="13"/>
        <v>5421</v>
      </c>
      <c r="O48" s="945">
        <f t="shared" si="13"/>
        <v>61536</v>
      </c>
    </row>
    <row r="49" spans="1:15" s="163" customFormat="1" x14ac:dyDescent="0.25">
      <c r="A49" s="1215" t="s">
        <v>819</v>
      </c>
      <c r="B49" s="1215"/>
      <c r="C49" s="1215"/>
      <c r="D49" s="945">
        <f t="shared" si="1"/>
        <v>466364</v>
      </c>
      <c r="E49" s="945">
        <f t="shared" si="1"/>
        <v>28168</v>
      </c>
      <c r="F49" s="945">
        <f t="shared" si="1"/>
        <v>494532</v>
      </c>
      <c r="G49" s="945">
        <v>217825</v>
      </c>
      <c r="H49" s="945">
        <f t="shared" ref="H49:O49" si="14">+H48+H42</f>
        <v>91</v>
      </c>
      <c r="I49" s="945">
        <f t="shared" si="14"/>
        <v>217916</v>
      </c>
      <c r="J49" s="945">
        <v>187368</v>
      </c>
      <c r="K49" s="945">
        <f t="shared" si="14"/>
        <v>269</v>
      </c>
      <c r="L49" s="945">
        <f t="shared" si="2"/>
        <v>187637</v>
      </c>
      <c r="M49" s="945">
        <v>61171</v>
      </c>
      <c r="N49" s="945">
        <f t="shared" si="14"/>
        <v>27808</v>
      </c>
      <c r="O49" s="945">
        <f t="shared" si="14"/>
        <v>88979</v>
      </c>
    </row>
    <row r="50" spans="1:15" s="163" customFormat="1" x14ac:dyDescent="0.25">
      <c r="A50" s="949"/>
      <c r="B50" s="950"/>
      <c r="C50" s="950"/>
      <c r="D50" s="951"/>
      <c r="E50" s="951"/>
      <c r="F50" s="951"/>
      <c r="G50" s="950"/>
      <c r="H50" s="950"/>
      <c r="I50" s="950"/>
      <c r="J50" s="950"/>
      <c r="K50" s="950"/>
      <c r="L50" s="950"/>
      <c r="M50" s="950"/>
      <c r="N50" s="950"/>
      <c r="O50" s="950"/>
    </row>
    <row r="51" spans="1:15" s="163" customFormat="1" ht="25.5" customHeight="1" x14ac:dyDescent="0.25">
      <c r="A51" s="1125" t="s">
        <v>0</v>
      </c>
      <c r="B51" s="1226" t="s">
        <v>182</v>
      </c>
      <c r="C51" s="1226"/>
      <c r="D51" s="1223" t="s">
        <v>180</v>
      </c>
      <c r="E51" s="1223"/>
      <c r="F51" s="1223"/>
      <c r="G51" s="1222" t="s">
        <v>290</v>
      </c>
      <c r="H51" s="1222"/>
      <c r="I51" s="1222"/>
      <c r="J51" s="1222" t="s">
        <v>291</v>
      </c>
      <c r="K51" s="1222"/>
      <c r="L51" s="1222"/>
      <c r="M51" s="1222" t="s">
        <v>292</v>
      </c>
      <c r="N51" s="1222"/>
      <c r="O51" s="1222"/>
    </row>
    <row r="52" spans="1:15" s="163" customFormat="1" x14ac:dyDescent="0.25">
      <c r="A52" s="1125"/>
      <c r="B52" s="1226"/>
      <c r="C52" s="1226"/>
      <c r="D52" s="974" t="s">
        <v>954</v>
      </c>
      <c r="E52" s="974" t="s">
        <v>786</v>
      </c>
      <c r="F52" s="974" t="s">
        <v>955</v>
      </c>
      <c r="G52" s="974" t="s">
        <v>954</v>
      </c>
      <c r="H52" s="974" t="s">
        <v>786</v>
      </c>
      <c r="I52" s="974" t="s">
        <v>955</v>
      </c>
      <c r="J52" s="974" t="s">
        <v>954</v>
      </c>
      <c r="K52" s="974" t="s">
        <v>786</v>
      </c>
      <c r="L52" s="974" t="s">
        <v>955</v>
      </c>
      <c r="M52" s="974" t="s">
        <v>954</v>
      </c>
      <c r="N52" s="974" t="s">
        <v>786</v>
      </c>
      <c r="O52" s="974" t="s">
        <v>955</v>
      </c>
    </row>
    <row r="53" spans="1:15" s="163" customFormat="1" x14ac:dyDescent="0.25">
      <c r="A53" s="4" t="s">
        <v>27</v>
      </c>
      <c r="B53" s="1220" t="s">
        <v>174</v>
      </c>
      <c r="C53" s="1220"/>
      <c r="D53" s="952">
        <f>+G53+J53+M53</f>
        <v>297460</v>
      </c>
      <c r="E53" s="952">
        <f t="shared" ref="E53:F56" si="15">+H53+K53+N53</f>
        <v>7636</v>
      </c>
      <c r="F53" s="952">
        <f t="shared" si="15"/>
        <v>305096</v>
      </c>
      <c r="G53" s="952">
        <f>+'6.a. mell. PH'!D19</f>
        <v>153875</v>
      </c>
      <c r="H53" s="952">
        <f>+'6.a. mell. PH'!E19</f>
        <v>54</v>
      </c>
      <c r="I53" s="952">
        <f>+'6.a. mell. PH'!F19</f>
        <v>153929</v>
      </c>
      <c r="J53" s="952">
        <f>+'6.b. mell. Óvoda'!D19</f>
        <v>120504</v>
      </c>
      <c r="K53" s="952">
        <f>+'6.b. mell. Óvoda'!E19</f>
        <v>-546</v>
      </c>
      <c r="L53" s="952">
        <f>+'6.b. mell. Óvoda'!F19</f>
        <v>119958</v>
      </c>
      <c r="M53" s="952">
        <f>+'6.c. mell. BBKP'!D19</f>
        <v>23081</v>
      </c>
      <c r="N53" s="952">
        <f>+'6.c. mell. BBKP'!E19</f>
        <v>8128</v>
      </c>
      <c r="O53" s="952">
        <f>+'6.c. mell. BBKP'!F19</f>
        <v>31209</v>
      </c>
    </row>
    <row r="54" spans="1:15" s="163" customFormat="1" x14ac:dyDescent="0.25">
      <c r="A54" s="4" t="s">
        <v>33</v>
      </c>
      <c r="B54" s="1220" t="s">
        <v>173</v>
      </c>
      <c r="C54" s="1220"/>
      <c r="D54" s="952">
        <f t="shared" ref="D54:F77" si="16">+G54+J54+M54</f>
        <v>4675</v>
      </c>
      <c r="E54" s="952">
        <f t="shared" si="15"/>
        <v>888</v>
      </c>
      <c r="F54" s="952">
        <f t="shared" si="15"/>
        <v>5563</v>
      </c>
      <c r="G54" s="952">
        <f>+'6.a. mell. PH'!D23</f>
        <v>961</v>
      </c>
      <c r="H54" s="952">
        <f>+'6.a. mell. PH'!E23</f>
        <v>11</v>
      </c>
      <c r="I54" s="952">
        <f>+'6.a. mell. PH'!F23</f>
        <v>972</v>
      </c>
      <c r="J54" s="952">
        <f>+'6.b. mell. Óvoda'!D23</f>
        <v>2178</v>
      </c>
      <c r="K54" s="952">
        <f>+'6.b. mell. Óvoda'!E23</f>
        <v>570</v>
      </c>
      <c r="L54" s="952">
        <f>+'6.b. mell. Óvoda'!F23</f>
        <v>2748</v>
      </c>
      <c r="M54" s="952">
        <f>+'6.c. mell. BBKP'!D23</f>
        <v>1536</v>
      </c>
      <c r="N54" s="952">
        <f>+'6.c. mell. BBKP'!E23</f>
        <v>307</v>
      </c>
      <c r="O54" s="952">
        <f>+'6.c. mell. BBKP'!F23</f>
        <v>1843</v>
      </c>
    </row>
    <row r="55" spans="1:15" s="163" customFormat="1" x14ac:dyDescent="0.25">
      <c r="A55" s="6" t="s">
        <v>34</v>
      </c>
      <c r="B55" s="1217" t="s">
        <v>172</v>
      </c>
      <c r="C55" s="1217"/>
      <c r="D55" s="953">
        <f t="shared" si="16"/>
        <v>302135</v>
      </c>
      <c r="E55" s="953">
        <f t="shared" si="15"/>
        <v>8524</v>
      </c>
      <c r="F55" s="953">
        <f t="shared" si="15"/>
        <v>310659</v>
      </c>
      <c r="G55" s="953">
        <f>SUM(G53:G54)</f>
        <v>154836</v>
      </c>
      <c r="H55" s="953">
        <f t="shared" ref="H55:I55" si="17">SUM(H53:H54)</f>
        <v>65</v>
      </c>
      <c r="I55" s="953">
        <f t="shared" si="17"/>
        <v>154901</v>
      </c>
      <c r="J55" s="953">
        <f>+J54+J53</f>
        <v>122682</v>
      </c>
      <c r="K55" s="953">
        <f t="shared" ref="K55:L55" si="18">+K54+K53</f>
        <v>24</v>
      </c>
      <c r="L55" s="953">
        <f t="shared" si="18"/>
        <v>122706</v>
      </c>
      <c r="M55" s="953">
        <f>+M54+M53</f>
        <v>24617</v>
      </c>
      <c r="N55" s="953">
        <f t="shared" ref="N55:O55" si="19">+N54+N53</f>
        <v>8435</v>
      </c>
      <c r="O55" s="953">
        <f t="shared" si="19"/>
        <v>33052</v>
      </c>
    </row>
    <row r="56" spans="1:15" s="163" customFormat="1" x14ac:dyDescent="0.25">
      <c r="A56" s="6" t="s">
        <v>35</v>
      </c>
      <c r="B56" s="1217" t="s">
        <v>171</v>
      </c>
      <c r="C56" s="1217"/>
      <c r="D56" s="953">
        <f t="shared" si="16"/>
        <v>64869</v>
      </c>
      <c r="E56" s="953">
        <f t="shared" si="15"/>
        <v>1764</v>
      </c>
      <c r="F56" s="953">
        <f t="shared" si="15"/>
        <v>66633</v>
      </c>
      <c r="G56" s="953">
        <f>+'6.a. mell. PH'!D26</f>
        <v>33191</v>
      </c>
      <c r="H56" s="953">
        <f>+'6.a. mell. PH'!E26</f>
        <v>3</v>
      </c>
      <c r="I56" s="953">
        <f>+'6.a. mell. PH'!F26</f>
        <v>33194</v>
      </c>
      <c r="J56" s="953">
        <f>+'6.b. mell. Óvoda'!D26</f>
        <v>26863</v>
      </c>
      <c r="K56" s="953">
        <f>+'6.b. mell. Óvoda'!E26</f>
        <v>5</v>
      </c>
      <c r="L56" s="953">
        <f>+'6.b. mell. Óvoda'!F26</f>
        <v>26868</v>
      </c>
      <c r="M56" s="953">
        <f>+'6.c. mell. BBKP'!D26</f>
        <v>4815</v>
      </c>
      <c r="N56" s="953">
        <f>+'6.c. mell. BBKP'!E26</f>
        <v>1756</v>
      </c>
      <c r="O56" s="953">
        <f>+'6.c. mell. BBKP'!F26</f>
        <v>6571</v>
      </c>
    </row>
    <row r="57" spans="1:15" s="163" customFormat="1" ht="12.75" customHeight="1" x14ac:dyDescent="0.25">
      <c r="A57" s="1218"/>
      <c r="B57" s="1218"/>
      <c r="C57" s="1218"/>
      <c r="D57" s="954"/>
      <c r="E57" s="954"/>
      <c r="F57" s="954"/>
      <c r="G57" s="954"/>
      <c r="H57" s="954"/>
      <c r="I57" s="954"/>
      <c r="J57" s="954"/>
      <c r="K57" s="954"/>
      <c r="L57" s="954"/>
      <c r="M57" s="954"/>
      <c r="N57" s="954"/>
      <c r="O57" s="954"/>
    </row>
    <row r="58" spans="1:15" s="163" customFormat="1" x14ac:dyDescent="0.25">
      <c r="A58" s="4" t="s">
        <v>47</v>
      </c>
      <c r="B58" s="1220" t="s">
        <v>170</v>
      </c>
      <c r="C58" s="1220"/>
      <c r="D58" s="952">
        <f t="shared" si="16"/>
        <v>7371</v>
      </c>
      <c r="E58" s="952">
        <f t="shared" si="16"/>
        <v>41</v>
      </c>
      <c r="F58" s="952">
        <f t="shared" si="16"/>
        <v>7412</v>
      </c>
      <c r="G58" s="952">
        <f>+'6.a. mell. PH'!D36</f>
        <v>3239</v>
      </c>
      <c r="H58" s="952">
        <f>+'6.a. mell. PH'!E36</f>
        <v>17</v>
      </c>
      <c r="I58" s="952">
        <f>+'6.a. mell. PH'!F36</f>
        <v>3256</v>
      </c>
      <c r="J58" s="952">
        <f>+'6.b. mell. Óvoda'!D36</f>
        <v>2022</v>
      </c>
      <c r="K58" s="952">
        <f>+'6.b. mell. Óvoda'!E36</f>
        <v>-87</v>
      </c>
      <c r="L58" s="952">
        <f>+'6.b. mell. Óvoda'!F36</f>
        <v>1935</v>
      </c>
      <c r="M58" s="952">
        <f>+'6.c. mell. BBKP'!D37</f>
        <v>2110</v>
      </c>
      <c r="N58" s="952">
        <f>+'6.c. mell. BBKP'!E37</f>
        <v>111</v>
      </c>
      <c r="O58" s="952">
        <f>+'6.c. mell. BBKP'!F37</f>
        <v>2221</v>
      </c>
    </row>
    <row r="59" spans="1:15" s="163" customFormat="1" x14ac:dyDescent="0.25">
      <c r="A59" s="4" t="s">
        <v>52</v>
      </c>
      <c r="B59" s="1220" t="s">
        <v>169</v>
      </c>
      <c r="C59" s="1220"/>
      <c r="D59" s="952">
        <f t="shared" si="16"/>
        <v>3526</v>
      </c>
      <c r="E59" s="952">
        <f t="shared" si="16"/>
        <v>0</v>
      </c>
      <c r="F59" s="952">
        <f t="shared" si="16"/>
        <v>3526</v>
      </c>
      <c r="G59" s="952">
        <f>+'6.a. mell. PH'!D39</f>
        <v>2612</v>
      </c>
      <c r="H59" s="952">
        <f>+'6.a. mell. PH'!E39</f>
        <v>0</v>
      </c>
      <c r="I59" s="952">
        <f>+'6.a. mell. PH'!F39</f>
        <v>2612</v>
      </c>
      <c r="J59" s="952">
        <f>+'6.b. mell. Óvoda'!D39</f>
        <v>250</v>
      </c>
      <c r="K59" s="952">
        <f>+'6.b. mell. Óvoda'!E39</f>
        <v>0</v>
      </c>
      <c r="L59" s="952">
        <f>+'6.b. mell. Óvoda'!F39</f>
        <v>250</v>
      </c>
      <c r="M59" s="952">
        <f>+'6.c. mell. BBKP'!D40</f>
        <v>664</v>
      </c>
      <c r="N59" s="952">
        <f>+'6.c. mell. BBKP'!E40</f>
        <v>0</v>
      </c>
      <c r="O59" s="952">
        <f>+'6.c. mell. BBKP'!F40</f>
        <v>664</v>
      </c>
    </row>
    <row r="60" spans="1:15" s="163" customFormat="1" x14ac:dyDescent="0.25">
      <c r="A60" s="4" t="s">
        <v>66</v>
      </c>
      <c r="B60" s="1220" t="s">
        <v>156</v>
      </c>
      <c r="C60" s="1220"/>
      <c r="D60" s="952">
        <f t="shared" si="16"/>
        <v>37169</v>
      </c>
      <c r="E60" s="952">
        <f t="shared" si="16"/>
        <v>12509</v>
      </c>
      <c r="F60" s="952">
        <f t="shared" si="16"/>
        <v>49678</v>
      </c>
      <c r="G60" s="952">
        <f>+'6.a. mell. PH'!D49</f>
        <v>10310</v>
      </c>
      <c r="H60" s="952">
        <f>+'6.a. mell. PH'!E49</f>
        <v>0</v>
      </c>
      <c r="I60" s="952">
        <f>+'6.a. mell. PH'!F49</f>
        <v>10310</v>
      </c>
      <c r="J60" s="952">
        <f>+'6.b. mell. Óvoda'!D49</f>
        <v>18470</v>
      </c>
      <c r="K60" s="952">
        <f>+'6.b. mell. Óvoda'!E49</f>
        <v>327</v>
      </c>
      <c r="L60" s="952">
        <f>+'6.b. mell. Óvoda'!F49</f>
        <v>18797</v>
      </c>
      <c r="M60" s="952">
        <f>+'6.c. mell. BBKP'!D50</f>
        <v>8389</v>
      </c>
      <c r="N60" s="952">
        <f>+'6.c. mell. BBKP'!E50</f>
        <v>12182</v>
      </c>
      <c r="O60" s="952">
        <f>+'6.c. mell. BBKP'!F50</f>
        <v>20571</v>
      </c>
    </row>
    <row r="61" spans="1:15" s="163" customFormat="1" x14ac:dyDescent="0.25">
      <c r="A61" s="4" t="s">
        <v>71</v>
      </c>
      <c r="B61" s="1220" t="s">
        <v>155</v>
      </c>
      <c r="C61" s="1220"/>
      <c r="D61" s="952">
        <f t="shared" si="16"/>
        <v>2897</v>
      </c>
      <c r="E61" s="952">
        <f t="shared" si="16"/>
        <v>2211</v>
      </c>
      <c r="F61" s="952">
        <f t="shared" si="16"/>
        <v>5108</v>
      </c>
      <c r="G61" s="952">
        <f>+'6.a. mell. PH'!D52</f>
        <v>573</v>
      </c>
      <c r="H61" s="952">
        <f>+'6.a. mell. PH'!E52</f>
        <v>0</v>
      </c>
      <c r="I61" s="952">
        <f>+'6.a. mell. PH'!F52</f>
        <v>573</v>
      </c>
      <c r="J61" s="952">
        <f>+'6.b. mell. Óvoda'!D52</f>
        <v>60</v>
      </c>
      <c r="K61" s="952">
        <f>+'6.b. mell. Óvoda'!E52</f>
        <v>0</v>
      </c>
      <c r="L61" s="952">
        <f>+'6.b. mell. Óvoda'!F52</f>
        <v>60</v>
      </c>
      <c r="M61" s="952">
        <f>+'6.c. mell. BBKP'!D53</f>
        <v>2264</v>
      </c>
      <c r="N61" s="952">
        <f>+'6.c. mell. BBKP'!E53</f>
        <v>2211</v>
      </c>
      <c r="O61" s="952">
        <f>+'6.c. mell. BBKP'!F53</f>
        <v>4475</v>
      </c>
    </row>
    <row r="62" spans="1:15" s="163" customFormat="1" x14ac:dyDescent="0.25">
      <c r="A62" s="4" t="s">
        <v>80</v>
      </c>
      <c r="B62" s="1220" t="s">
        <v>152</v>
      </c>
      <c r="C62" s="1220"/>
      <c r="D62" s="952">
        <f t="shared" si="16"/>
        <v>12525</v>
      </c>
      <c r="E62" s="952">
        <f t="shared" si="16"/>
        <v>3091</v>
      </c>
      <c r="F62" s="952">
        <f t="shared" si="16"/>
        <v>15616.34</v>
      </c>
      <c r="G62" s="952">
        <f>+'6.a. mell. PH'!D58</f>
        <v>2298</v>
      </c>
      <c r="H62" s="952">
        <f>+'6.a. mell. PH'!E58</f>
        <v>6</v>
      </c>
      <c r="I62" s="952">
        <f>+'6.a. mell. PH'!F58</f>
        <v>2304</v>
      </c>
      <c r="J62" s="952">
        <f>+'6.b. mell. Óvoda'!D58</f>
        <v>6422</v>
      </c>
      <c r="K62" s="952">
        <f>+'6.b. mell. Óvoda'!E58</f>
        <v>0</v>
      </c>
      <c r="L62" s="952">
        <f>+'6.b. mell. Óvoda'!F58</f>
        <v>6422</v>
      </c>
      <c r="M62" s="952">
        <f>+'6.c. mell. BBKP'!D59</f>
        <v>3805</v>
      </c>
      <c r="N62" s="952">
        <f>+'6.c. mell. BBKP'!E59</f>
        <v>3085</v>
      </c>
      <c r="O62" s="952">
        <f>+'6.c. mell. BBKP'!F59</f>
        <v>6890.34</v>
      </c>
    </row>
    <row r="63" spans="1:15" s="163" customFormat="1" x14ac:dyDescent="0.25">
      <c r="A63" s="6" t="s">
        <v>81</v>
      </c>
      <c r="B63" s="1217" t="s">
        <v>151</v>
      </c>
      <c r="C63" s="1217"/>
      <c r="D63" s="953">
        <f t="shared" si="16"/>
        <v>63488</v>
      </c>
      <c r="E63" s="953">
        <f t="shared" si="16"/>
        <v>17852</v>
      </c>
      <c r="F63" s="953">
        <f t="shared" si="16"/>
        <v>81340.34</v>
      </c>
      <c r="G63" s="953">
        <f>SUM(G58:G62)</f>
        <v>19032</v>
      </c>
      <c r="H63" s="953">
        <f t="shared" ref="H63:I63" si="20">SUM(H58:H62)</f>
        <v>23</v>
      </c>
      <c r="I63" s="953">
        <f t="shared" si="20"/>
        <v>19055</v>
      </c>
      <c r="J63" s="953">
        <f>SUM(J58:J62)</f>
        <v>27224</v>
      </c>
      <c r="K63" s="953">
        <f t="shared" ref="K63:L63" si="21">SUM(K58:K62)</f>
        <v>240</v>
      </c>
      <c r="L63" s="953">
        <f t="shared" si="21"/>
        <v>27464</v>
      </c>
      <c r="M63" s="953">
        <f>SUM(M58:M62)</f>
        <v>17232</v>
      </c>
      <c r="N63" s="953">
        <f t="shared" ref="N63:O63" si="22">SUM(N58:N62)</f>
        <v>17589</v>
      </c>
      <c r="O63" s="953">
        <f t="shared" si="22"/>
        <v>34821.339999999997</v>
      </c>
    </row>
    <row r="64" spans="1:15" s="163" customFormat="1" ht="11.25" customHeight="1" x14ac:dyDescent="0.25">
      <c r="A64" s="1218"/>
      <c r="B64" s="1218"/>
      <c r="C64" s="1218"/>
      <c r="D64" s="954"/>
      <c r="E64" s="954"/>
      <c r="F64" s="954"/>
      <c r="G64" s="954"/>
      <c r="H64" s="954"/>
      <c r="I64" s="954"/>
      <c r="J64" s="954"/>
      <c r="K64" s="954"/>
      <c r="L64" s="954"/>
      <c r="M64" s="954"/>
      <c r="N64" s="954"/>
      <c r="O64" s="954"/>
    </row>
    <row r="65" spans="1:15" s="163" customFormat="1" x14ac:dyDescent="0.25">
      <c r="A65" s="4" t="s">
        <v>101</v>
      </c>
      <c r="B65" s="1221" t="s">
        <v>843</v>
      </c>
      <c r="C65" s="1221"/>
      <c r="D65" s="952">
        <f>+G65+J65+M65</f>
        <v>615</v>
      </c>
      <c r="E65" s="952">
        <f t="shared" ref="E65:F65" si="23">+H65+K65+N65</f>
        <v>0</v>
      </c>
      <c r="F65" s="952">
        <f t="shared" si="23"/>
        <v>615</v>
      </c>
      <c r="G65" s="952">
        <f>+'6.a. mell. PH'!D61</f>
        <v>420</v>
      </c>
      <c r="H65" s="952">
        <f>+'6.a. mell. PH'!E61</f>
        <v>0</v>
      </c>
      <c r="I65" s="952">
        <f>+'6.a. mell. PH'!F61</f>
        <v>420</v>
      </c>
      <c r="J65" s="952">
        <f>+'6.b. mell. Óvoda'!D61</f>
        <v>113</v>
      </c>
      <c r="K65" s="952">
        <f>+'6.b. mell. Óvoda'!E61</f>
        <v>0</v>
      </c>
      <c r="L65" s="952">
        <f>+'6.b. mell. Óvoda'!F61</f>
        <v>113</v>
      </c>
      <c r="M65" s="952">
        <f>+'6.c. mell. BBKP'!D62</f>
        <v>82</v>
      </c>
      <c r="N65" s="952">
        <f>+'6.c. mell. BBKP'!E62</f>
        <v>0</v>
      </c>
      <c r="O65" s="952">
        <f>+'6.c. mell. BBKP'!F62</f>
        <v>82</v>
      </c>
    </row>
    <row r="66" spans="1:15" s="163" customFormat="1" x14ac:dyDescent="0.25">
      <c r="A66" s="4" t="s">
        <v>107</v>
      </c>
      <c r="B66" s="1221" t="s">
        <v>164</v>
      </c>
      <c r="C66" s="1221"/>
      <c r="D66" s="952">
        <f t="shared" si="16"/>
        <v>29043</v>
      </c>
      <c r="E66" s="952">
        <f t="shared" si="16"/>
        <v>0</v>
      </c>
      <c r="F66" s="952">
        <f t="shared" si="16"/>
        <v>29043</v>
      </c>
      <c r="G66" s="952">
        <f>+'6.a. mell. PH'!D62</f>
        <v>4246</v>
      </c>
      <c r="H66" s="952">
        <f>+'6.a. mell. PH'!E62</f>
        <v>0</v>
      </c>
      <c r="I66" s="952">
        <f>+'6.a. mell. PH'!F62</f>
        <v>4246</v>
      </c>
      <c r="J66" s="952">
        <f>+'6.b. mell. Óvoda'!D62</f>
        <v>10444</v>
      </c>
      <c r="K66" s="952">
        <f>+'6.b. mell. Óvoda'!E62</f>
        <v>0</v>
      </c>
      <c r="L66" s="952">
        <f>+'6.b. mell. Óvoda'!F62</f>
        <v>10444</v>
      </c>
      <c r="M66" s="952">
        <f>+'6.c. mell. BBKP'!D63</f>
        <v>14353</v>
      </c>
      <c r="N66" s="952">
        <f>+'6.c. mell. BBKP'!E63</f>
        <v>0</v>
      </c>
      <c r="O66" s="952">
        <f>+'6.c. mell. BBKP'!F63</f>
        <v>14353</v>
      </c>
    </row>
    <row r="67" spans="1:15" s="163" customFormat="1" x14ac:dyDescent="0.25">
      <c r="A67" s="6" t="s">
        <v>108</v>
      </c>
      <c r="B67" s="1217" t="s">
        <v>163</v>
      </c>
      <c r="C67" s="1217"/>
      <c r="D67" s="953">
        <f t="shared" si="16"/>
        <v>29658</v>
      </c>
      <c r="E67" s="953">
        <f t="shared" si="16"/>
        <v>0</v>
      </c>
      <c r="F67" s="953">
        <f t="shared" si="16"/>
        <v>29658</v>
      </c>
      <c r="G67" s="953">
        <f>+G66+G65</f>
        <v>4666</v>
      </c>
      <c r="H67" s="953">
        <f t="shared" ref="H67:I67" si="24">+H66+H65</f>
        <v>0</v>
      </c>
      <c r="I67" s="953">
        <f t="shared" si="24"/>
        <v>4666</v>
      </c>
      <c r="J67" s="953">
        <f>+J66+J65</f>
        <v>10557</v>
      </c>
      <c r="K67" s="953">
        <f t="shared" ref="K67:L67" si="25">+K66+K65</f>
        <v>0</v>
      </c>
      <c r="L67" s="953">
        <f t="shared" si="25"/>
        <v>10557</v>
      </c>
      <c r="M67" s="953">
        <f>+M66+M65</f>
        <v>14435</v>
      </c>
      <c r="N67" s="953">
        <f t="shared" ref="N67:O67" si="26">+N66+N65</f>
        <v>0</v>
      </c>
      <c r="O67" s="953">
        <f t="shared" si="26"/>
        <v>14435</v>
      </c>
    </row>
    <row r="68" spans="1:15" s="163" customFormat="1" x14ac:dyDescent="0.25">
      <c r="A68" s="1218"/>
      <c r="B68" s="1218"/>
      <c r="C68" s="1218"/>
      <c r="D68" s="954"/>
      <c r="E68" s="954"/>
      <c r="F68" s="954"/>
      <c r="G68" s="954"/>
      <c r="H68" s="954"/>
      <c r="I68" s="954"/>
      <c r="J68" s="954"/>
      <c r="K68" s="954"/>
      <c r="L68" s="954"/>
      <c r="M68" s="954"/>
      <c r="N68" s="954"/>
      <c r="O68" s="954"/>
    </row>
    <row r="69" spans="1:15" s="163" customFormat="1" x14ac:dyDescent="0.25">
      <c r="A69" s="6" t="s">
        <v>123</v>
      </c>
      <c r="B69" s="1217" t="s">
        <v>161</v>
      </c>
      <c r="C69" s="1217"/>
      <c r="D69" s="953">
        <f t="shared" si="16"/>
        <v>6214</v>
      </c>
      <c r="E69" s="953">
        <f t="shared" si="16"/>
        <v>28</v>
      </c>
      <c r="F69" s="953">
        <f t="shared" si="16"/>
        <v>6242</v>
      </c>
      <c r="G69" s="953">
        <f>+'6.a. mell. PH'!D74</f>
        <v>6100</v>
      </c>
      <c r="H69" s="953">
        <f>+'6.a. mell. PH'!E74</f>
        <v>0</v>
      </c>
      <c r="I69" s="953">
        <f>+'6.a. mell. PH'!F74</f>
        <v>6100</v>
      </c>
      <c r="J69" s="953">
        <f>+'6.b. mell. Óvoda'!D75</f>
        <v>42</v>
      </c>
      <c r="K69" s="953">
        <f>+'6.b. mell. Óvoda'!E75</f>
        <v>0</v>
      </c>
      <c r="L69" s="953">
        <f>+'6.b. mell. Óvoda'!F75</f>
        <v>42</v>
      </c>
      <c r="M69" s="953">
        <f>+'6.c. mell. BBKP'!D76</f>
        <v>72</v>
      </c>
      <c r="N69" s="953">
        <f>+'6.c. mell. BBKP'!E76</f>
        <v>28</v>
      </c>
      <c r="O69" s="953">
        <f>+'6.c. mell. BBKP'!F76</f>
        <v>100</v>
      </c>
    </row>
    <row r="70" spans="1:15" s="163" customFormat="1" x14ac:dyDescent="0.25">
      <c r="A70" s="1218"/>
      <c r="B70" s="1218"/>
      <c r="C70" s="1218"/>
      <c r="D70" s="954"/>
      <c r="E70" s="954"/>
      <c r="F70" s="954"/>
      <c r="G70" s="954"/>
      <c r="H70" s="954"/>
      <c r="I70" s="954"/>
      <c r="J70" s="954"/>
      <c r="K70" s="954"/>
      <c r="L70" s="954"/>
      <c r="M70" s="954"/>
      <c r="N70" s="954"/>
      <c r="O70" s="954"/>
    </row>
    <row r="71" spans="1:15" s="163" customFormat="1" x14ac:dyDescent="0.25">
      <c r="A71" s="6" t="s">
        <v>132</v>
      </c>
      <c r="B71" s="1217" t="s">
        <v>160</v>
      </c>
      <c r="C71" s="1217"/>
      <c r="D71" s="953">
        <f t="shared" si="16"/>
        <v>0</v>
      </c>
      <c r="E71" s="953">
        <f t="shared" si="16"/>
        <v>0</v>
      </c>
      <c r="F71" s="953">
        <f t="shared" si="16"/>
        <v>0</v>
      </c>
      <c r="G71" s="953">
        <f>+'6.a. mell. PH'!D80</f>
        <v>0</v>
      </c>
      <c r="H71" s="953">
        <f>+'6.a. mell. PH'!E80</f>
        <v>0</v>
      </c>
      <c r="I71" s="953">
        <f>+'6.a. mell. PH'!F80</f>
        <v>0</v>
      </c>
      <c r="J71" s="953">
        <f>+'6.b. mell. Óvoda'!D82</f>
        <v>0</v>
      </c>
      <c r="K71" s="953">
        <f>+'6.b. mell. Óvoda'!E82</f>
        <v>0</v>
      </c>
      <c r="L71" s="953">
        <f>+'6.b. mell. Óvoda'!F82</f>
        <v>0</v>
      </c>
      <c r="M71" s="953">
        <f>+'6.c. mell. BBKP'!D83</f>
        <v>0</v>
      </c>
      <c r="N71" s="953">
        <f>+'6.c. mell. BBKP'!E83</f>
        <v>0</v>
      </c>
      <c r="O71" s="953">
        <f>+'6.c. mell. BBKP'!F83</f>
        <v>0</v>
      </c>
    </row>
    <row r="72" spans="1:15" s="163" customFormat="1" x14ac:dyDescent="0.25">
      <c r="A72" s="1218"/>
      <c r="B72" s="1218"/>
      <c r="C72" s="1218"/>
      <c r="D72" s="954"/>
      <c r="E72" s="954"/>
      <c r="F72" s="954"/>
      <c r="G72" s="954"/>
      <c r="H72" s="954"/>
      <c r="I72" s="954"/>
      <c r="J72" s="954"/>
      <c r="K72" s="954"/>
      <c r="L72" s="954"/>
      <c r="M72" s="954"/>
      <c r="N72" s="954"/>
      <c r="O72" s="954"/>
    </row>
    <row r="73" spans="1:15" s="163" customFormat="1" x14ac:dyDescent="0.25">
      <c r="A73" s="6" t="s">
        <v>134</v>
      </c>
      <c r="B73" s="1217" t="s">
        <v>158</v>
      </c>
      <c r="C73" s="1217"/>
      <c r="D73" s="953">
        <f t="shared" si="16"/>
        <v>0</v>
      </c>
      <c r="E73" s="953">
        <f t="shared" si="16"/>
        <v>0</v>
      </c>
      <c r="F73" s="953">
        <f t="shared" si="16"/>
        <v>0</v>
      </c>
      <c r="G73" s="953">
        <f>+'6.a. mell. PH'!D82</f>
        <v>0</v>
      </c>
      <c r="H73" s="953">
        <f>+'6.a. mell. PH'!E82</f>
        <v>0</v>
      </c>
      <c r="I73" s="953">
        <f>+'6.a. mell. PH'!F82</f>
        <v>0</v>
      </c>
      <c r="J73" s="953">
        <f>+'6.b. mell. Óvoda'!D84</f>
        <v>0</v>
      </c>
      <c r="K73" s="953">
        <f>+'6.b. mell. Óvoda'!E84</f>
        <v>0</v>
      </c>
      <c r="L73" s="953">
        <f>+'6.b. mell. Óvoda'!F84</f>
        <v>0</v>
      </c>
      <c r="M73" s="953">
        <f>+'6.c. mell. BBKP'!D85</f>
        <v>0</v>
      </c>
      <c r="N73" s="953">
        <f>+'6.c. mell. BBKP'!E85</f>
        <v>0</v>
      </c>
      <c r="O73" s="953">
        <f>+'6.c. mell. BBKP'!F85</f>
        <v>0</v>
      </c>
    </row>
    <row r="74" spans="1:15" s="163" customFormat="1" x14ac:dyDescent="0.25">
      <c r="A74" s="1218"/>
      <c r="B74" s="1218"/>
      <c r="C74" s="1218"/>
      <c r="D74" s="954"/>
      <c r="E74" s="954"/>
      <c r="F74" s="954"/>
      <c r="G74" s="954"/>
      <c r="H74" s="954"/>
      <c r="I74" s="954"/>
      <c r="J74" s="954"/>
      <c r="K74" s="954"/>
      <c r="L74" s="954"/>
      <c r="M74" s="954"/>
      <c r="N74" s="954"/>
      <c r="O74" s="954"/>
    </row>
    <row r="75" spans="1:15" s="163" customFormat="1" x14ac:dyDescent="0.25">
      <c r="A75" s="6" t="s">
        <v>135</v>
      </c>
      <c r="B75" s="1217" t="s">
        <v>157</v>
      </c>
      <c r="C75" s="1217"/>
      <c r="D75" s="953">
        <f t="shared" si="16"/>
        <v>466364</v>
      </c>
      <c r="E75" s="953">
        <f t="shared" si="16"/>
        <v>28168</v>
      </c>
      <c r="F75" s="953">
        <f t="shared" si="16"/>
        <v>494532.33999999997</v>
      </c>
      <c r="G75" s="953">
        <f>+G73+G71+G69+G67+G63+G56+G55</f>
        <v>217825</v>
      </c>
      <c r="H75" s="953">
        <f t="shared" ref="H75:I75" si="27">+H73+H71+H69+H67+H63+H56+H55</f>
        <v>91</v>
      </c>
      <c r="I75" s="953">
        <f t="shared" si="27"/>
        <v>217916</v>
      </c>
      <c r="J75" s="953">
        <f>+J73+J71+J69+J67+J63+J56+J55</f>
        <v>187368</v>
      </c>
      <c r="K75" s="953">
        <f t="shared" ref="K75:L75" si="28">+K73+K71+K69+K67+K63+K56+K55</f>
        <v>269</v>
      </c>
      <c r="L75" s="953">
        <f t="shared" si="28"/>
        <v>187637</v>
      </c>
      <c r="M75" s="953">
        <f>+M73+M71+M69+M67+M63+M56+M55</f>
        <v>61171</v>
      </c>
      <c r="N75" s="953">
        <f t="shared" ref="N75:O75" si="29">+N73+N71+N69+N67+N63+N56+N55</f>
        <v>27808</v>
      </c>
      <c r="O75" s="953">
        <f t="shared" si="29"/>
        <v>88979.34</v>
      </c>
    </row>
    <row r="76" spans="1:15" s="163" customFormat="1" x14ac:dyDescent="0.25">
      <c r="A76" s="1218"/>
      <c r="B76" s="1218"/>
      <c r="C76" s="1218"/>
      <c r="D76" s="954"/>
      <c r="E76" s="954"/>
      <c r="F76" s="954"/>
      <c r="G76" s="954"/>
      <c r="H76" s="954"/>
      <c r="I76" s="954"/>
      <c r="J76" s="954"/>
      <c r="K76" s="954"/>
      <c r="L76" s="954"/>
      <c r="M76" s="954"/>
      <c r="N76" s="954"/>
      <c r="O76" s="954"/>
    </row>
    <row r="77" spans="1:15" s="163" customFormat="1" x14ac:dyDescent="0.25">
      <c r="A77" s="71" t="s">
        <v>271</v>
      </c>
      <c r="B77" s="72" t="s">
        <v>277</v>
      </c>
      <c r="C77" s="72"/>
      <c r="D77" s="953">
        <f t="shared" si="16"/>
        <v>0</v>
      </c>
      <c r="E77" s="953">
        <f t="shared" si="16"/>
        <v>0</v>
      </c>
      <c r="F77" s="953">
        <f t="shared" si="16"/>
        <v>0</v>
      </c>
      <c r="G77" s="953">
        <v>0</v>
      </c>
      <c r="H77" s="953">
        <v>0</v>
      </c>
      <c r="I77" s="953">
        <v>0</v>
      </c>
      <c r="J77" s="953">
        <v>0</v>
      </c>
      <c r="K77" s="953">
        <v>0</v>
      </c>
      <c r="L77" s="953">
        <v>0</v>
      </c>
      <c r="M77" s="953">
        <v>0</v>
      </c>
      <c r="N77" s="953">
        <v>0</v>
      </c>
      <c r="O77" s="953">
        <v>0</v>
      </c>
    </row>
    <row r="78" spans="1:15" s="163" customFormat="1" x14ac:dyDescent="0.25">
      <c r="A78" s="1218"/>
      <c r="B78" s="1218"/>
      <c r="C78" s="1218"/>
      <c r="D78" s="954"/>
      <c r="E78" s="954"/>
      <c r="F78" s="954"/>
      <c r="G78" s="954"/>
      <c r="H78" s="954"/>
      <c r="I78" s="954"/>
      <c r="J78" s="954"/>
      <c r="K78" s="954"/>
      <c r="L78" s="954"/>
      <c r="M78" s="954"/>
      <c r="N78" s="954"/>
      <c r="O78" s="954"/>
    </row>
    <row r="79" spans="1:15" s="163" customFormat="1" x14ac:dyDescent="0.25">
      <c r="A79" s="1219" t="s">
        <v>287</v>
      </c>
      <c r="B79" s="1219"/>
      <c r="C79" s="1219"/>
      <c r="D79" s="953">
        <f>+G79+J79+M79</f>
        <v>466364</v>
      </c>
      <c r="E79" s="953">
        <f t="shared" ref="E79:F79" si="30">+H79+K79+N79</f>
        <v>28168</v>
      </c>
      <c r="F79" s="953">
        <f t="shared" si="30"/>
        <v>494532.33999999997</v>
      </c>
      <c r="G79" s="953">
        <f>+G77+G75</f>
        <v>217825</v>
      </c>
      <c r="H79" s="953">
        <f t="shared" ref="H79:I79" si="31">+H77+H75</f>
        <v>91</v>
      </c>
      <c r="I79" s="953">
        <f t="shared" si="31"/>
        <v>217916</v>
      </c>
      <c r="J79" s="953">
        <f>+J77+J75</f>
        <v>187368</v>
      </c>
      <c r="K79" s="953">
        <f t="shared" ref="K79:L79" si="32">+K77+K75</f>
        <v>269</v>
      </c>
      <c r="L79" s="953">
        <f t="shared" si="32"/>
        <v>187637</v>
      </c>
      <c r="M79" s="953">
        <f>+M77+M75</f>
        <v>61171</v>
      </c>
      <c r="N79" s="953">
        <f t="shared" ref="N79:O79" si="33">+N77+N75</f>
        <v>27808</v>
      </c>
      <c r="O79" s="953">
        <f t="shared" si="33"/>
        <v>88979.34</v>
      </c>
    </row>
    <row r="80" spans="1:15" s="163" customFormat="1" x14ac:dyDescent="0.25"/>
    <row r="81" s="163" customFormat="1" x14ac:dyDescent="0.25"/>
    <row r="82" s="163" customFormat="1" x14ac:dyDescent="0.25"/>
    <row r="83" s="163" customFormat="1" x14ac:dyDescent="0.25"/>
    <row r="84" s="163" customFormat="1" x14ac:dyDescent="0.25"/>
    <row r="85" s="163" customFormat="1" x14ac:dyDescent="0.25"/>
  </sheetData>
  <mergeCells count="82">
    <mergeCell ref="J2:L2"/>
    <mergeCell ref="M2:O2"/>
    <mergeCell ref="B9:C9"/>
    <mergeCell ref="A2:A3"/>
    <mergeCell ref="B2:C3"/>
    <mergeCell ref="D2:F2"/>
    <mergeCell ref="G2:I2"/>
    <mergeCell ref="B4:C4"/>
    <mergeCell ref="B5:C5"/>
    <mergeCell ref="B6:C6"/>
    <mergeCell ref="B7:C7"/>
    <mergeCell ref="B8:C8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7:C47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6:C46"/>
    <mergeCell ref="B56:C56"/>
    <mergeCell ref="B48:C48"/>
    <mergeCell ref="A49:C49"/>
    <mergeCell ref="A51:A52"/>
    <mergeCell ref="B51:C52"/>
    <mergeCell ref="J51:L51"/>
    <mergeCell ref="M51:O51"/>
    <mergeCell ref="B53:C53"/>
    <mergeCell ref="B54:C54"/>
    <mergeCell ref="B55:C55"/>
    <mergeCell ref="D51:F51"/>
    <mergeCell ref="G51:I51"/>
    <mergeCell ref="A68:C68"/>
    <mergeCell ref="A57:C57"/>
    <mergeCell ref="B58:C58"/>
    <mergeCell ref="B59:C59"/>
    <mergeCell ref="B60:C60"/>
    <mergeCell ref="B61:C61"/>
    <mergeCell ref="B62:C62"/>
    <mergeCell ref="B63:C63"/>
    <mergeCell ref="A64:C64"/>
    <mergeCell ref="B65:C65"/>
    <mergeCell ref="B66:C66"/>
    <mergeCell ref="B67:C67"/>
    <mergeCell ref="B75:C75"/>
    <mergeCell ref="A76:C76"/>
    <mergeCell ref="A78:C78"/>
    <mergeCell ref="A79:C79"/>
    <mergeCell ref="B69:C69"/>
    <mergeCell ref="A70:C70"/>
    <mergeCell ref="B71:C71"/>
    <mergeCell ref="A72:C72"/>
    <mergeCell ref="B73:C73"/>
    <mergeCell ref="A74:C74"/>
  </mergeCells>
  <pageMargins left="0.70866141732283472" right="0.70866141732283472" top="0.74803149606299213" bottom="0.74803149606299213" header="0.31496062992125984" footer="0.31496062992125984"/>
  <pageSetup paperSize="9" scale="82" fitToHeight="2" orientation="landscape" r:id="rId1"/>
  <headerFooter>
    <oddHeader>&amp;C&amp;"Times New Roman,Félkövér"&amp;12Martonvásár Város Önkormányzatának kiadásai 2018.
Intézmények mindösszesen&amp;R&amp;"Times New Roman,Félkövér"&amp;12 6. melléklet</oddHeader>
  </headerFooter>
  <rowBreaks count="1" manualBreakCount="1">
    <brk id="5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5"/>
  <sheetViews>
    <sheetView zoomScaleNormal="100" workbookViewId="0">
      <selection activeCell="F3" sqref="F3"/>
    </sheetView>
  </sheetViews>
  <sheetFormatPr defaultColWidth="9.140625" defaultRowHeight="15" x14ac:dyDescent="0.25"/>
  <cols>
    <col min="1" max="1" width="9.140625" style="26"/>
    <col min="2" max="2" width="7.140625" style="27" customWidth="1"/>
    <col min="3" max="3" width="48.85546875" style="27" customWidth="1"/>
    <col min="4" max="4" width="12.140625" style="60" customWidth="1"/>
    <col min="5" max="5" width="8.85546875" style="18" customWidth="1"/>
    <col min="6" max="6" width="10.85546875" style="18" customWidth="1"/>
    <col min="7" max="16384" width="9.140625" style="1"/>
  </cols>
  <sheetData>
    <row r="1" spans="1:6" ht="18.75" customHeight="1" x14ac:dyDescent="0.25">
      <c r="D1" s="1173" t="s">
        <v>390</v>
      </c>
      <c r="E1" s="1173"/>
      <c r="F1" s="1173"/>
    </row>
    <row r="2" spans="1:6" ht="39.75" customHeight="1" x14ac:dyDescent="0.25">
      <c r="A2" s="1247" t="s">
        <v>0</v>
      </c>
      <c r="B2" s="1243" t="s">
        <v>182</v>
      </c>
      <c r="C2" s="1252"/>
      <c r="D2" s="1256" t="s">
        <v>294</v>
      </c>
      <c r="E2" s="1256"/>
      <c r="F2" s="1256"/>
    </row>
    <row r="3" spans="1:6" s="2" customFormat="1" ht="11.25" customHeight="1" x14ac:dyDescent="0.25">
      <c r="A3" s="1248"/>
      <c r="B3" s="1253"/>
      <c r="C3" s="1254"/>
      <c r="D3" s="338" t="s">
        <v>959</v>
      </c>
      <c r="E3" s="3" t="s">
        <v>786</v>
      </c>
      <c r="F3" s="3" t="s">
        <v>958</v>
      </c>
    </row>
    <row r="4" spans="1:6" s="73" customFormat="1" ht="13.5" customHeight="1" x14ac:dyDescent="0.25">
      <c r="A4" s="1249"/>
      <c r="B4" s="1245"/>
      <c r="C4" s="1255"/>
      <c r="D4" s="1257" t="s">
        <v>189</v>
      </c>
      <c r="E4" s="1258"/>
      <c r="F4" s="1259"/>
    </row>
    <row r="5" spans="1:6" ht="12" customHeight="1" x14ac:dyDescent="0.25">
      <c r="A5" s="13" t="s">
        <v>2</v>
      </c>
      <c r="B5" s="1115" t="s">
        <v>1</v>
      </c>
      <c r="C5" s="1115"/>
      <c r="D5" s="28">
        <v>130788</v>
      </c>
      <c r="E5" s="5">
        <v>-1478</v>
      </c>
      <c r="F5" s="28">
        <f>+D5+E5</f>
        <v>129310</v>
      </c>
    </row>
    <row r="6" spans="1:6" ht="12" customHeight="1" x14ac:dyDescent="0.25">
      <c r="A6" s="4" t="s">
        <v>4</v>
      </c>
      <c r="B6" s="1115" t="s">
        <v>3</v>
      </c>
      <c r="C6" s="1115"/>
      <c r="D6" s="28">
        <v>0</v>
      </c>
      <c r="E6" s="5"/>
      <c r="F6" s="28">
        <f t="shared" ref="F6:F18" si="0">+D6+E6</f>
        <v>0</v>
      </c>
    </row>
    <row r="7" spans="1:6" ht="12" customHeight="1" x14ac:dyDescent="0.25">
      <c r="A7" s="4" t="s">
        <v>6</v>
      </c>
      <c r="B7" s="1115" t="s">
        <v>5</v>
      </c>
      <c r="C7" s="1115"/>
      <c r="D7" s="28">
        <v>8612</v>
      </c>
      <c r="E7" s="5"/>
      <c r="F7" s="28">
        <f t="shared" si="0"/>
        <v>8612</v>
      </c>
    </row>
    <row r="8" spans="1:6" ht="12" customHeight="1" x14ac:dyDescent="0.25">
      <c r="A8" s="4" t="s">
        <v>8</v>
      </c>
      <c r="B8" s="1115" t="s">
        <v>7</v>
      </c>
      <c r="C8" s="1115"/>
      <c r="D8" s="28">
        <v>368</v>
      </c>
      <c r="E8" s="5">
        <v>1184</v>
      </c>
      <c r="F8" s="28">
        <f t="shared" si="0"/>
        <v>1552</v>
      </c>
    </row>
    <row r="9" spans="1:6" ht="12" customHeight="1" x14ac:dyDescent="0.25">
      <c r="A9" s="4" t="s">
        <v>10</v>
      </c>
      <c r="B9" s="1115" t="s">
        <v>9</v>
      </c>
      <c r="C9" s="1115"/>
      <c r="D9" s="28">
        <v>0</v>
      </c>
      <c r="E9" s="5"/>
      <c r="F9" s="28">
        <f t="shared" si="0"/>
        <v>0</v>
      </c>
    </row>
    <row r="10" spans="1:6" ht="12" customHeight="1" x14ac:dyDescent="0.25">
      <c r="A10" s="4" t="s">
        <v>12</v>
      </c>
      <c r="B10" s="1115" t="s">
        <v>11</v>
      </c>
      <c r="C10" s="1115"/>
      <c r="D10" s="29">
        <v>2846</v>
      </c>
      <c r="E10" s="19"/>
      <c r="F10" s="28">
        <f t="shared" si="0"/>
        <v>2846</v>
      </c>
    </row>
    <row r="11" spans="1:6" ht="12" customHeight="1" x14ac:dyDescent="0.25">
      <c r="A11" s="4" t="s">
        <v>14</v>
      </c>
      <c r="B11" s="1115" t="s">
        <v>13</v>
      </c>
      <c r="C11" s="1115"/>
      <c r="D11" s="29">
        <v>4921</v>
      </c>
      <c r="E11" s="19"/>
      <c r="F11" s="28">
        <f t="shared" si="0"/>
        <v>4921</v>
      </c>
    </row>
    <row r="12" spans="1:6" ht="12" customHeight="1" x14ac:dyDescent="0.25">
      <c r="A12" s="4" t="s">
        <v>16</v>
      </c>
      <c r="B12" s="1115" t="s">
        <v>15</v>
      </c>
      <c r="C12" s="1115"/>
      <c r="D12" s="29">
        <v>0</v>
      </c>
      <c r="E12" s="19"/>
      <c r="F12" s="28">
        <f t="shared" si="0"/>
        <v>0</v>
      </c>
    </row>
    <row r="13" spans="1:6" ht="12" customHeight="1" x14ac:dyDescent="0.25">
      <c r="A13" s="4" t="s">
        <v>18</v>
      </c>
      <c r="B13" s="1115" t="s">
        <v>17</v>
      </c>
      <c r="C13" s="1115"/>
      <c r="D13" s="29">
        <v>3012</v>
      </c>
      <c r="E13" s="19"/>
      <c r="F13" s="28">
        <f t="shared" si="0"/>
        <v>3012</v>
      </c>
    </row>
    <row r="14" spans="1:6" ht="12" customHeight="1" x14ac:dyDescent="0.25">
      <c r="A14" s="4" t="s">
        <v>20</v>
      </c>
      <c r="B14" s="1115" t="s">
        <v>19</v>
      </c>
      <c r="C14" s="1115"/>
      <c r="D14" s="29">
        <v>155</v>
      </c>
      <c r="E14" s="19"/>
      <c r="F14" s="28">
        <f t="shared" si="0"/>
        <v>155</v>
      </c>
    </row>
    <row r="15" spans="1:6" ht="12" customHeight="1" x14ac:dyDescent="0.25">
      <c r="A15" s="4" t="s">
        <v>22</v>
      </c>
      <c r="B15" s="1115" t="s">
        <v>21</v>
      </c>
      <c r="C15" s="1115"/>
      <c r="D15" s="29">
        <v>1895</v>
      </c>
      <c r="E15" s="19"/>
      <c r="F15" s="28">
        <f t="shared" si="0"/>
        <v>1895</v>
      </c>
    </row>
    <row r="16" spans="1:6" ht="12" customHeight="1" x14ac:dyDescent="0.25">
      <c r="A16" s="4" t="s">
        <v>24</v>
      </c>
      <c r="B16" s="1115" t="s">
        <v>23</v>
      </c>
      <c r="C16" s="1115"/>
      <c r="D16" s="29">
        <v>306</v>
      </c>
      <c r="E16" s="19"/>
      <c r="F16" s="28">
        <f t="shared" si="0"/>
        <v>306</v>
      </c>
    </row>
    <row r="17" spans="1:6" ht="12" customHeight="1" x14ac:dyDescent="0.25">
      <c r="A17" s="4" t="s">
        <v>25</v>
      </c>
      <c r="B17" s="1115" t="s">
        <v>175</v>
      </c>
      <c r="C17" s="1115"/>
      <c r="D17" s="29">
        <v>972</v>
      </c>
      <c r="E17" s="19">
        <v>348</v>
      </c>
      <c r="F17" s="28">
        <f t="shared" si="0"/>
        <v>1320</v>
      </c>
    </row>
    <row r="18" spans="1:6" ht="12" customHeight="1" x14ac:dyDescent="0.25">
      <c r="A18" s="4" t="s">
        <v>25</v>
      </c>
      <c r="B18" s="1115" t="s">
        <v>26</v>
      </c>
      <c r="C18" s="1115"/>
      <c r="D18" s="29">
        <v>0</v>
      </c>
      <c r="E18" s="19"/>
      <c r="F18" s="28">
        <f t="shared" si="0"/>
        <v>0</v>
      </c>
    </row>
    <row r="19" spans="1:6" ht="12" customHeight="1" x14ac:dyDescent="0.25">
      <c r="A19" s="6" t="s">
        <v>27</v>
      </c>
      <c r="B19" s="1119" t="s">
        <v>174</v>
      </c>
      <c r="C19" s="1119"/>
      <c r="D19" s="57">
        <v>153875</v>
      </c>
      <c r="E19" s="45">
        <f>SUM(E5:E18)</f>
        <v>54</v>
      </c>
      <c r="F19" s="45">
        <f>SUM(F5:F18)</f>
        <v>153929</v>
      </c>
    </row>
    <row r="20" spans="1:6" ht="12" customHeight="1" x14ac:dyDescent="0.25">
      <c r="A20" s="4" t="s">
        <v>29</v>
      </c>
      <c r="B20" s="1115" t="s">
        <v>28</v>
      </c>
      <c r="C20" s="1115"/>
      <c r="D20" s="29">
        <v>0</v>
      </c>
      <c r="E20" s="19"/>
      <c r="F20" s="29">
        <f>+E20+D20</f>
        <v>0</v>
      </c>
    </row>
    <row r="21" spans="1:6" ht="12" customHeight="1" x14ac:dyDescent="0.25">
      <c r="A21" s="4" t="s">
        <v>658</v>
      </c>
      <c r="B21" s="1115" t="s">
        <v>30</v>
      </c>
      <c r="C21" s="1115"/>
      <c r="D21" s="29">
        <v>857</v>
      </c>
      <c r="E21" s="19">
        <v>3</v>
      </c>
      <c r="F21" s="29">
        <f t="shared" ref="F21:F22" si="1">+E21+D21</f>
        <v>860</v>
      </c>
    </row>
    <row r="22" spans="1:6" ht="12" customHeight="1" x14ac:dyDescent="0.25">
      <c r="A22" s="4" t="s">
        <v>32</v>
      </c>
      <c r="B22" s="1115" t="s">
        <v>31</v>
      </c>
      <c r="C22" s="1115"/>
      <c r="D22" s="29">
        <v>104</v>
      </c>
      <c r="E22" s="19">
        <v>8</v>
      </c>
      <c r="F22" s="29">
        <f t="shared" si="1"/>
        <v>112</v>
      </c>
    </row>
    <row r="23" spans="1:6" ht="12" customHeight="1" x14ac:dyDescent="0.25">
      <c r="A23" s="6" t="s">
        <v>33</v>
      </c>
      <c r="B23" s="1119" t="s">
        <v>173</v>
      </c>
      <c r="C23" s="1119"/>
      <c r="D23" s="57">
        <v>961</v>
      </c>
      <c r="E23" s="45">
        <f>SUM(E20:E22)</f>
        <v>11</v>
      </c>
      <c r="F23" s="45">
        <f>SUM(F20:F22)</f>
        <v>972</v>
      </c>
    </row>
    <row r="24" spans="1:6" s="47" customFormat="1" ht="12" customHeight="1" x14ac:dyDescent="0.25">
      <c r="A24" s="7" t="s">
        <v>34</v>
      </c>
      <c r="B24" s="1118" t="s">
        <v>172</v>
      </c>
      <c r="C24" s="1118"/>
      <c r="D24" s="55">
        <v>154836</v>
      </c>
      <c r="E24" s="43">
        <f>+E23+E19</f>
        <v>65</v>
      </c>
      <c r="F24" s="43">
        <f>+F23+F19</f>
        <v>154901</v>
      </c>
    </row>
    <row r="25" spans="1:6" ht="10.5" customHeight="1" x14ac:dyDescent="0.25">
      <c r="A25" s="8"/>
      <c r="B25" s="9"/>
      <c r="C25" s="9"/>
      <c r="D25" s="30"/>
      <c r="E25" s="21"/>
      <c r="F25" s="22"/>
    </row>
    <row r="26" spans="1:6" s="47" customFormat="1" ht="12" customHeight="1" x14ac:dyDescent="0.25">
      <c r="A26" s="10" t="s">
        <v>35</v>
      </c>
      <c r="B26" s="1118" t="s">
        <v>171</v>
      </c>
      <c r="C26" s="1118"/>
      <c r="D26" s="54">
        <v>33191</v>
      </c>
      <c r="E26" s="46">
        <f>SUM(E27:E31)</f>
        <v>3</v>
      </c>
      <c r="F26" s="46">
        <f>SUM(F27:F31)</f>
        <v>33194</v>
      </c>
    </row>
    <row r="27" spans="1:6" ht="12" customHeight="1" x14ac:dyDescent="0.25">
      <c r="A27" s="34" t="s">
        <v>35</v>
      </c>
      <c r="B27" s="39"/>
      <c r="C27" s="35" t="s">
        <v>36</v>
      </c>
      <c r="D27" s="31">
        <v>28942</v>
      </c>
      <c r="E27" s="19">
        <v>3</v>
      </c>
      <c r="F27" s="29">
        <f>+E27+D27</f>
        <v>28945</v>
      </c>
    </row>
    <row r="28" spans="1:6" ht="12" customHeight="1" x14ac:dyDescent="0.25">
      <c r="A28" s="34" t="s">
        <v>35</v>
      </c>
      <c r="B28" s="39"/>
      <c r="C28" s="35" t="s">
        <v>37</v>
      </c>
      <c r="D28" s="31">
        <v>2484</v>
      </c>
      <c r="E28" s="19"/>
      <c r="F28" s="29">
        <f t="shared" ref="F28:F31" si="2">+E28+D28</f>
        <v>2484</v>
      </c>
    </row>
    <row r="29" spans="1:6" ht="12" customHeight="1" x14ac:dyDescent="0.25">
      <c r="A29" s="34" t="s">
        <v>35</v>
      </c>
      <c r="B29" s="39"/>
      <c r="C29" s="35" t="s">
        <v>38</v>
      </c>
      <c r="D29" s="31">
        <v>861</v>
      </c>
      <c r="E29" s="19"/>
      <c r="F29" s="29">
        <f t="shared" si="2"/>
        <v>861</v>
      </c>
    </row>
    <row r="30" spans="1:6" ht="12" customHeight="1" x14ac:dyDescent="0.25">
      <c r="A30" s="34" t="s">
        <v>35</v>
      </c>
      <c r="B30" s="39"/>
      <c r="C30" s="35" t="s">
        <v>39</v>
      </c>
      <c r="D30" s="31">
        <v>0</v>
      </c>
      <c r="E30" s="19"/>
      <c r="F30" s="29">
        <f t="shared" si="2"/>
        <v>0</v>
      </c>
    </row>
    <row r="31" spans="1:6" ht="12" customHeight="1" x14ac:dyDescent="0.25">
      <c r="A31" s="36" t="s">
        <v>35</v>
      </c>
      <c r="B31" s="39"/>
      <c r="C31" s="35" t="s">
        <v>40</v>
      </c>
      <c r="D31" s="339">
        <v>904</v>
      </c>
      <c r="E31" s="20"/>
      <c r="F31" s="29">
        <f t="shared" si="2"/>
        <v>904</v>
      </c>
    </row>
    <row r="32" spans="1:6" ht="8.25" customHeight="1" x14ac:dyDescent="0.25">
      <c r="A32" s="11"/>
      <c r="B32" s="25"/>
      <c r="C32" s="12"/>
      <c r="D32" s="30"/>
      <c r="E32" s="21"/>
      <c r="F32" s="22"/>
    </row>
    <row r="33" spans="1:6" ht="12" customHeight="1" x14ac:dyDescent="0.25">
      <c r="A33" s="13" t="s">
        <v>42</v>
      </c>
      <c r="B33" s="1117" t="s">
        <v>41</v>
      </c>
      <c r="C33" s="1117"/>
      <c r="D33" s="32">
        <v>620</v>
      </c>
      <c r="E33" s="23"/>
      <c r="F33" s="32">
        <f>+E33+D33</f>
        <v>620</v>
      </c>
    </row>
    <row r="34" spans="1:6" ht="12" customHeight="1" x14ac:dyDescent="0.25">
      <c r="A34" s="4" t="s">
        <v>44</v>
      </c>
      <c r="B34" s="1115" t="s">
        <v>43</v>
      </c>
      <c r="C34" s="1115"/>
      <c r="D34" s="29">
        <v>2619</v>
      </c>
      <c r="E34" s="19">
        <v>17</v>
      </c>
      <c r="F34" s="32">
        <f t="shared" ref="F34:F35" si="3">+E34+D34</f>
        <v>2636</v>
      </c>
    </row>
    <row r="35" spans="1:6" ht="12" customHeight="1" x14ac:dyDescent="0.25">
      <c r="A35" s="4" t="s">
        <v>46</v>
      </c>
      <c r="B35" s="1115" t="s">
        <v>45</v>
      </c>
      <c r="C35" s="1115"/>
      <c r="D35" s="29">
        <v>0</v>
      </c>
      <c r="E35" s="19"/>
      <c r="F35" s="32">
        <f t="shared" si="3"/>
        <v>0</v>
      </c>
    </row>
    <row r="36" spans="1:6" s="47" customFormat="1" ht="12" customHeight="1" x14ac:dyDescent="0.25">
      <c r="A36" s="6" t="s">
        <v>47</v>
      </c>
      <c r="B36" s="1119" t="s">
        <v>170</v>
      </c>
      <c r="C36" s="1119"/>
      <c r="D36" s="57">
        <v>3239</v>
      </c>
      <c r="E36" s="57">
        <f t="shared" ref="E36:F36" si="4">SUM(E33:E35)</f>
        <v>17</v>
      </c>
      <c r="F36" s="57">
        <f t="shared" si="4"/>
        <v>3256</v>
      </c>
    </row>
    <row r="37" spans="1:6" ht="12" customHeight="1" x14ac:dyDescent="0.25">
      <c r="A37" s="4" t="s">
        <v>49</v>
      </c>
      <c r="B37" s="1115" t="s">
        <v>48</v>
      </c>
      <c r="C37" s="1115"/>
      <c r="D37" s="29">
        <v>1262</v>
      </c>
      <c r="E37" s="19"/>
      <c r="F37" s="29">
        <f>+E37+D37</f>
        <v>1262</v>
      </c>
    </row>
    <row r="38" spans="1:6" ht="12" customHeight="1" x14ac:dyDescent="0.25">
      <c r="A38" s="4" t="s">
        <v>51</v>
      </c>
      <c r="B38" s="1115" t="s">
        <v>50</v>
      </c>
      <c r="C38" s="1115"/>
      <c r="D38" s="29">
        <v>1350</v>
      </c>
      <c r="E38" s="19"/>
      <c r="F38" s="29">
        <f>+E38+D38</f>
        <v>1350</v>
      </c>
    </row>
    <row r="39" spans="1:6" s="47" customFormat="1" ht="12" customHeight="1" x14ac:dyDescent="0.25">
      <c r="A39" s="6" t="s">
        <v>52</v>
      </c>
      <c r="B39" s="1119" t="s">
        <v>169</v>
      </c>
      <c r="C39" s="1119"/>
      <c r="D39" s="57">
        <v>2612</v>
      </c>
      <c r="E39" s="57">
        <f t="shared" ref="E39:F39" si="5">SUM(E37:E38)</f>
        <v>0</v>
      </c>
      <c r="F39" s="57">
        <f t="shared" si="5"/>
        <v>2612</v>
      </c>
    </row>
    <row r="40" spans="1:6" ht="12" customHeight="1" x14ac:dyDescent="0.25">
      <c r="A40" s="4" t="s">
        <v>54</v>
      </c>
      <c r="B40" s="1115" t="s">
        <v>53</v>
      </c>
      <c r="C40" s="1115"/>
      <c r="D40" s="29">
        <v>0</v>
      </c>
      <c r="E40" s="19"/>
      <c r="F40" s="29">
        <f>+D40+E40</f>
        <v>0</v>
      </c>
    </row>
    <row r="41" spans="1:6" ht="12" customHeight="1" x14ac:dyDescent="0.25">
      <c r="A41" s="4" t="s">
        <v>56</v>
      </c>
      <c r="B41" s="1115" t="s">
        <v>55</v>
      </c>
      <c r="C41" s="1115"/>
      <c r="D41" s="29">
        <v>0</v>
      </c>
      <c r="E41" s="19"/>
      <c r="F41" s="29">
        <f t="shared" ref="F41:F48" si="6">+D41+E41</f>
        <v>0</v>
      </c>
    </row>
    <row r="42" spans="1:6" ht="12" customHeight="1" x14ac:dyDescent="0.25">
      <c r="A42" s="4" t="s">
        <v>57</v>
      </c>
      <c r="B42" s="1115" t="s">
        <v>167</v>
      </c>
      <c r="C42" s="1115"/>
      <c r="D42" s="29">
        <v>0</v>
      </c>
      <c r="E42" s="19"/>
      <c r="F42" s="29">
        <f t="shared" si="6"/>
        <v>0</v>
      </c>
    </row>
    <row r="43" spans="1:6" ht="12" customHeight="1" x14ac:dyDescent="0.25">
      <c r="A43" s="4" t="s">
        <v>59</v>
      </c>
      <c r="B43" s="1115" t="s">
        <v>58</v>
      </c>
      <c r="C43" s="1115"/>
      <c r="D43" s="29">
        <v>3426</v>
      </c>
      <c r="E43" s="19"/>
      <c r="F43" s="29">
        <f t="shared" si="6"/>
        <v>3426</v>
      </c>
    </row>
    <row r="44" spans="1:6" ht="12" customHeight="1" x14ac:dyDescent="0.25">
      <c r="A44" s="4" t="s">
        <v>60</v>
      </c>
      <c r="B44" s="1246" t="s">
        <v>166</v>
      </c>
      <c r="C44" s="1246"/>
      <c r="D44" s="29">
        <v>500</v>
      </c>
      <c r="E44" s="19"/>
      <c r="F44" s="29">
        <f t="shared" si="6"/>
        <v>500</v>
      </c>
    </row>
    <row r="45" spans="1:6" ht="12" customHeight="1" x14ac:dyDescent="0.25">
      <c r="A45" s="34" t="s">
        <v>60</v>
      </c>
      <c r="B45" s="39"/>
      <c r="C45" s="35" t="s">
        <v>61</v>
      </c>
      <c r="D45" s="31">
        <v>0</v>
      </c>
      <c r="E45" s="19"/>
      <c r="F45" s="29">
        <f t="shared" si="6"/>
        <v>0</v>
      </c>
    </row>
    <row r="46" spans="1:6" ht="12" customHeight="1" x14ac:dyDescent="0.25">
      <c r="A46" s="34" t="s">
        <v>60</v>
      </c>
      <c r="B46" s="39"/>
      <c r="C46" s="35" t="s">
        <v>168</v>
      </c>
      <c r="D46" s="31">
        <v>0</v>
      </c>
      <c r="E46" s="19"/>
      <c r="F46" s="29">
        <f t="shared" si="6"/>
        <v>0</v>
      </c>
    </row>
    <row r="47" spans="1:6" ht="12" customHeight="1" x14ac:dyDescent="0.25">
      <c r="A47" s="4" t="s">
        <v>63</v>
      </c>
      <c r="B47" s="1117" t="s">
        <v>62</v>
      </c>
      <c r="C47" s="1117"/>
      <c r="D47" s="29">
        <v>611</v>
      </c>
      <c r="E47" s="19"/>
      <c r="F47" s="29">
        <f t="shared" si="6"/>
        <v>611</v>
      </c>
    </row>
    <row r="48" spans="1:6" ht="12" customHeight="1" x14ac:dyDescent="0.25">
      <c r="A48" s="4" t="s">
        <v>65</v>
      </c>
      <c r="B48" s="1115" t="s">
        <v>64</v>
      </c>
      <c r="C48" s="1115"/>
      <c r="D48" s="29">
        <v>5773</v>
      </c>
      <c r="E48" s="19"/>
      <c r="F48" s="29">
        <f t="shared" si="6"/>
        <v>5773</v>
      </c>
    </row>
    <row r="49" spans="1:6" s="47" customFormat="1" ht="12" customHeight="1" x14ac:dyDescent="0.25">
      <c r="A49" s="6" t="s">
        <v>66</v>
      </c>
      <c r="B49" s="1119" t="s">
        <v>156</v>
      </c>
      <c r="C49" s="1119"/>
      <c r="D49" s="57">
        <v>10310</v>
      </c>
      <c r="E49" s="57">
        <f t="shared" ref="E49:F49" si="7">+E48+E47+E44+E43+E42+E41+E40</f>
        <v>0</v>
      </c>
      <c r="F49" s="57">
        <f t="shared" si="7"/>
        <v>10310</v>
      </c>
    </row>
    <row r="50" spans="1:6" ht="12" customHeight="1" x14ac:dyDescent="0.25">
      <c r="A50" s="4" t="s">
        <v>68</v>
      </c>
      <c r="B50" s="1115" t="s">
        <v>67</v>
      </c>
      <c r="C50" s="1115"/>
      <c r="D50" s="29">
        <v>573</v>
      </c>
      <c r="E50" s="19"/>
      <c r="F50" s="29">
        <f>+E50+D50</f>
        <v>573</v>
      </c>
    </row>
    <row r="51" spans="1:6" ht="12" customHeight="1" x14ac:dyDescent="0.25">
      <c r="A51" s="4" t="s">
        <v>70</v>
      </c>
      <c r="B51" s="1115" t="s">
        <v>69</v>
      </c>
      <c r="C51" s="1115"/>
      <c r="D51" s="29">
        <v>0</v>
      </c>
      <c r="E51" s="19"/>
      <c r="F51" s="29">
        <f>+E51+D51</f>
        <v>0</v>
      </c>
    </row>
    <row r="52" spans="1:6" ht="12" customHeight="1" x14ac:dyDescent="0.25">
      <c r="A52" s="6" t="s">
        <v>71</v>
      </c>
      <c r="B52" s="1119" t="s">
        <v>155</v>
      </c>
      <c r="C52" s="1119"/>
      <c r="D52" s="57">
        <v>573</v>
      </c>
      <c r="E52" s="57">
        <f t="shared" ref="E52:F52" si="8">SUM(E50:E51)</f>
        <v>0</v>
      </c>
      <c r="F52" s="57">
        <f t="shared" si="8"/>
        <v>573</v>
      </c>
    </row>
    <row r="53" spans="1:6" ht="12" customHeight="1" x14ac:dyDescent="0.25">
      <c r="A53" s="4" t="s">
        <v>73</v>
      </c>
      <c r="B53" s="1115" t="s">
        <v>72</v>
      </c>
      <c r="C53" s="1115"/>
      <c r="D53" s="29">
        <v>2164</v>
      </c>
      <c r="E53" s="19">
        <v>6</v>
      </c>
      <c r="F53" s="29">
        <f>+D53+E53</f>
        <v>2170</v>
      </c>
    </row>
    <row r="54" spans="1:6" ht="12" customHeight="1" x14ac:dyDescent="0.25">
      <c r="A54" s="4" t="s">
        <v>75</v>
      </c>
      <c r="B54" s="1115" t="s">
        <v>74</v>
      </c>
      <c r="C54" s="1115"/>
      <c r="D54" s="29">
        <v>0</v>
      </c>
      <c r="E54" s="19"/>
      <c r="F54" s="29">
        <f t="shared" ref="F54:F57" si="9">+D54+E54</f>
        <v>0</v>
      </c>
    </row>
    <row r="55" spans="1:6" ht="12" customHeight="1" x14ac:dyDescent="0.25">
      <c r="A55" s="4" t="s">
        <v>76</v>
      </c>
      <c r="B55" s="1115" t="s">
        <v>154</v>
      </c>
      <c r="C55" s="1115"/>
      <c r="D55" s="29">
        <v>0</v>
      </c>
      <c r="E55" s="19"/>
      <c r="F55" s="29">
        <f t="shared" si="9"/>
        <v>0</v>
      </c>
    </row>
    <row r="56" spans="1:6" ht="12" customHeight="1" x14ac:dyDescent="0.25">
      <c r="A56" s="4" t="s">
        <v>77</v>
      </c>
      <c r="B56" s="1115" t="s">
        <v>153</v>
      </c>
      <c r="C56" s="1115"/>
      <c r="D56" s="29">
        <v>0</v>
      </c>
      <c r="E56" s="19"/>
      <c r="F56" s="29">
        <f t="shared" si="9"/>
        <v>0</v>
      </c>
    </row>
    <row r="57" spans="1:6" ht="12" customHeight="1" x14ac:dyDescent="0.25">
      <c r="A57" s="4" t="s">
        <v>79</v>
      </c>
      <c r="B57" s="1115" t="s">
        <v>78</v>
      </c>
      <c r="C57" s="1115"/>
      <c r="D57" s="29">
        <v>134</v>
      </c>
      <c r="E57" s="19"/>
      <c r="F57" s="29">
        <f t="shared" si="9"/>
        <v>134</v>
      </c>
    </row>
    <row r="58" spans="1:6" ht="12" customHeight="1" x14ac:dyDescent="0.25">
      <c r="A58" s="6" t="s">
        <v>80</v>
      </c>
      <c r="B58" s="1119" t="s">
        <v>152</v>
      </c>
      <c r="C58" s="1119"/>
      <c r="D58" s="57">
        <v>2298</v>
      </c>
      <c r="E58" s="57">
        <f t="shared" ref="E58:F58" si="10">SUM(E53:E57)</f>
        <v>6</v>
      </c>
      <c r="F58" s="57">
        <f t="shared" si="10"/>
        <v>2304</v>
      </c>
    </row>
    <row r="59" spans="1:6" ht="12" customHeight="1" x14ac:dyDescent="0.25">
      <c r="A59" s="7" t="s">
        <v>81</v>
      </c>
      <c r="B59" s="1118" t="s">
        <v>151</v>
      </c>
      <c r="C59" s="1118"/>
      <c r="D59" s="55">
        <v>19032</v>
      </c>
      <c r="E59" s="55">
        <f t="shared" ref="E59:F59" si="11">+E58+E52+E49+E39+E36</f>
        <v>23</v>
      </c>
      <c r="F59" s="55">
        <f t="shared" si="11"/>
        <v>19055</v>
      </c>
    </row>
    <row r="60" spans="1:6" ht="12" customHeight="1" x14ac:dyDescent="0.25">
      <c r="A60" s="8"/>
      <c r="B60" s="9"/>
      <c r="C60" s="9"/>
      <c r="D60" s="30"/>
      <c r="E60" s="21"/>
      <c r="F60" s="22"/>
    </row>
    <row r="61" spans="1:6" ht="12" customHeight="1" x14ac:dyDescent="0.25">
      <c r="A61" s="4" t="s">
        <v>101</v>
      </c>
      <c r="B61" s="1124" t="s">
        <v>843</v>
      </c>
      <c r="C61" s="1124"/>
      <c r="D61" s="29">
        <v>420</v>
      </c>
      <c r="E61" s="19"/>
      <c r="F61" s="29">
        <f>+E61+D61</f>
        <v>420</v>
      </c>
    </row>
    <row r="62" spans="1:6" ht="12" customHeight="1" x14ac:dyDescent="0.25">
      <c r="A62" s="4" t="s">
        <v>107</v>
      </c>
      <c r="B62" s="1250" t="s">
        <v>164</v>
      </c>
      <c r="C62" s="1251"/>
      <c r="D62" s="29">
        <v>4246</v>
      </c>
      <c r="E62" s="19"/>
      <c r="F62" s="29">
        <f>+D62+E62</f>
        <v>4246</v>
      </c>
    </row>
    <row r="63" spans="1:6" ht="12" customHeight="1" x14ac:dyDescent="0.25">
      <c r="A63" s="41" t="s">
        <v>107</v>
      </c>
      <c r="B63" s="39"/>
      <c r="C63" s="37" t="s">
        <v>104</v>
      </c>
      <c r="D63" s="29">
        <v>4246</v>
      </c>
      <c r="E63" s="19"/>
      <c r="F63" s="29">
        <f>+D63+E63</f>
        <v>4246</v>
      </c>
    </row>
    <row r="64" spans="1:6" ht="12" customHeight="1" x14ac:dyDescent="0.25">
      <c r="A64" s="7" t="s">
        <v>108</v>
      </c>
      <c r="B64" s="1118" t="s">
        <v>163</v>
      </c>
      <c r="C64" s="1118"/>
      <c r="D64" s="55">
        <v>4666</v>
      </c>
      <c r="E64" s="55">
        <f t="shared" ref="E64:F64" si="12">+E62+E61</f>
        <v>0</v>
      </c>
      <c r="F64" s="55">
        <f t="shared" si="12"/>
        <v>4666</v>
      </c>
    </row>
    <row r="65" spans="1:6" ht="12" customHeight="1" x14ac:dyDescent="0.25">
      <c r="A65" s="8"/>
      <c r="B65" s="9"/>
      <c r="C65" s="9"/>
      <c r="D65" s="30"/>
      <c r="E65" s="21"/>
      <c r="F65" s="22"/>
    </row>
    <row r="66" spans="1:6" ht="12" customHeight="1" x14ac:dyDescent="0.25">
      <c r="A66" s="13" t="s">
        <v>110</v>
      </c>
      <c r="B66" s="1117" t="s">
        <v>109</v>
      </c>
      <c r="C66" s="1117"/>
      <c r="D66" s="32">
        <v>0</v>
      </c>
      <c r="E66" s="23"/>
      <c r="F66" s="32">
        <f>+D66+E66</f>
        <v>0</v>
      </c>
    </row>
    <row r="67" spans="1:6" ht="12" customHeight="1" x14ac:dyDescent="0.25">
      <c r="A67" s="4" t="s">
        <v>111</v>
      </c>
      <c r="B67" s="1115" t="s">
        <v>162</v>
      </c>
      <c r="C67" s="1115"/>
      <c r="D67" s="29">
        <v>0</v>
      </c>
      <c r="E67" s="19"/>
      <c r="F67" s="32">
        <f t="shared" ref="F67:F73" si="13">+D67+E67</f>
        <v>0</v>
      </c>
    </row>
    <row r="68" spans="1:6" ht="12" customHeight="1" x14ac:dyDescent="0.25">
      <c r="A68" s="38" t="s">
        <v>111</v>
      </c>
      <c r="B68" s="39"/>
      <c r="C68" s="42" t="s">
        <v>112</v>
      </c>
      <c r="D68" s="29">
        <v>0</v>
      </c>
      <c r="E68" s="19"/>
      <c r="F68" s="32">
        <f t="shared" si="13"/>
        <v>0</v>
      </c>
    </row>
    <row r="69" spans="1:6" ht="12" customHeight="1" x14ac:dyDescent="0.25">
      <c r="A69" s="4" t="s">
        <v>114</v>
      </c>
      <c r="B69" s="1115" t="s">
        <v>113</v>
      </c>
      <c r="C69" s="1115"/>
      <c r="D69" s="29">
        <v>2750</v>
      </c>
      <c r="E69" s="19"/>
      <c r="F69" s="32">
        <f t="shared" si="13"/>
        <v>2750</v>
      </c>
    </row>
    <row r="70" spans="1:6" ht="12" customHeight="1" x14ac:dyDescent="0.25">
      <c r="A70" s="4" t="s">
        <v>116</v>
      </c>
      <c r="B70" s="1115" t="s">
        <v>115</v>
      </c>
      <c r="C70" s="1115"/>
      <c r="D70" s="29">
        <v>2150</v>
      </c>
      <c r="E70" s="19"/>
      <c r="F70" s="32">
        <f t="shared" si="13"/>
        <v>2150</v>
      </c>
    </row>
    <row r="71" spans="1:6" ht="12" customHeight="1" x14ac:dyDescent="0.25">
      <c r="A71" s="4" t="s">
        <v>118</v>
      </c>
      <c r="B71" s="1115" t="s">
        <v>117</v>
      </c>
      <c r="C71" s="1115"/>
      <c r="D71" s="29">
        <v>0</v>
      </c>
      <c r="E71" s="19"/>
      <c r="F71" s="32">
        <f t="shared" si="13"/>
        <v>0</v>
      </c>
    </row>
    <row r="72" spans="1:6" ht="12" customHeight="1" x14ac:dyDescent="0.25">
      <c r="A72" s="4" t="s">
        <v>120</v>
      </c>
      <c r="B72" s="1115" t="s">
        <v>119</v>
      </c>
      <c r="C72" s="1115"/>
      <c r="D72" s="29">
        <v>0</v>
      </c>
      <c r="E72" s="19"/>
      <c r="F72" s="32">
        <f t="shared" si="13"/>
        <v>0</v>
      </c>
    </row>
    <row r="73" spans="1:6" ht="12" customHeight="1" x14ac:dyDescent="0.25">
      <c r="A73" s="4" t="s">
        <v>122</v>
      </c>
      <c r="B73" s="1115" t="s">
        <v>121</v>
      </c>
      <c r="C73" s="1115"/>
      <c r="D73" s="29">
        <v>1200</v>
      </c>
      <c r="E73" s="19"/>
      <c r="F73" s="32">
        <f t="shared" si="13"/>
        <v>1200</v>
      </c>
    </row>
    <row r="74" spans="1:6" ht="12" customHeight="1" x14ac:dyDescent="0.25">
      <c r="A74" s="7" t="s">
        <v>123</v>
      </c>
      <c r="B74" s="1118" t="s">
        <v>161</v>
      </c>
      <c r="C74" s="1118"/>
      <c r="D74" s="55">
        <v>6100</v>
      </c>
      <c r="E74" s="43">
        <f>+E73+E72+E71+E70+E69+E67+E66</f>
        <v>0</v>
      </c>
      <c r="F74" s="43">
        <f>+F73+F72+F71+F70+F69+F67+F66</f>
        <v>6100</v>
      </c>
    </row>
    <row r="75" spans="1:6" ht="12" customHeight="1" x14ac:dyDescent="0.25">
      <c r="A75" s="8"/>
      <c r="B75" s="9"/>
      <c r="C75" s="9"/>
      <c r="D75" s="30"/>
      <c r="E75" s="21"/>
      <c r="F75" s="22"/>
    </row>
    <row r="76" spans="1:6" ht="12" hidden="1" customHeight="1" x14ac:dyDescent="0.25">
      <c r="A76" s="13" t="s">
        <v>125</v>
      </c>
      <c r="B76" s="1117" t="s">
        <v>124</v>
      </c>
      <c r="C76" s="1117"/>
      <c r="D76" s="32"/>
      <c r="E76" s="23"/>
      <c r="F76" s="23"/>
    </row>
    <row r="77" spans="1:6" ht="12" hidden="1" customHeight="1" x14ac:dyDescent="0.25">
      <c r="A77" s="4" t="s">
        <v>127</v>
      </c>
      <c r="B77" s="1115" t="s">
        <v>126</v>
      </c>
      <c r="C77" s="1115"/>
      <c r="D77" s="29"/>
      <c r="E77" s="19"/>
      <c r="F77" s="19"/>
    </row>
    <row r="78" spans="1:6" ht="12" hidden="1" customHeight="1" x14ac:dyDescent="0.25">
      <c r="A78" s="4" t="s">
        <v>129</v>
      </c>
      <c r="B78" s="1115" t="s">
        <v>128</v>
      </c>
      <c r="C78" s="1115"/>
      <c r="D78" s="29"/>
      <c r="E78" s="19"/>
      <c r="F78" s="19"/>
    </row>
    <row r="79" spans="1:6" ht="12" hidden="1" customHeight="1" x14ac:dyDescent="0.25">
      <c r="A79" s="4" t="s">
        <v>131</v>
      </c>
      <c r="B79" s="1115" t="s">
        <v>130</v>
      </c>
      <c r="C79" s="1115"/>
      <c r="D79" s="29"/>
      <c r="E79" s="19"/>
      <c r="F79" s="19"/>
    </row>
    <row r="80" spans="1:6" ht="12" customHeight="1" x14ac:dyDescent="0.25">
      <c r="A80" s="6" t="s">
        <v>132</v>
      </c>
      <c r="B80" s="1119" t="s">
        <v>160</v>
      </c>
      <c r="C80" s="1119"/>
      <c r="D80" s="57">
        <v>0</v>
      </c>
      <c r="E80" s="45">
        <f>SUM(E76:E79)</f>
        <v>0</v>
      </c>
      <c r="F80" s="45">
        <f>SUM(F76:F79)</f>
        <v>0</v>
      </c>
    </row>
    <row r="81" spans="1:6" ht="12" customHeight="1" x14ac:dyDescent="0.25">
      <c r="A81" s="8"/>
      <c r="B81" s="16"/>
      <c r="C81" s="16"/>
      <c r="D81" s="30"/>
      <c r="E81" s="21"/>
      <c r="F81" s="22"/>
    </row>
    <row r="82" spans="1:6" ht="12" customHeight="1" x14ac:dyDescent="0.25">
      <c r="A82" s="15" t="s">
        <v>134</v>
      </c>
      <c r="B82" s="1126" t="s">
        <v>158</v>
      </c>
      <c r="C82" s="1126"/>
      <c r="D82" s="29"/>
      <c r="E82" s="19"/>
      <c r="F82" s="19"/>
    </row>
    <row r="83" spans="1:6" ht="12" customHeight="1" thickBot="1" x14ac:dyDescent="0.3">
      <c r="A83" s="48"/>
      <c r="B83" s="49"/>
      <c r="C83" s="49"/>
      <c r="D83" s="245"/>
      <c r="E83" s="50"/>
      <c r="F83" s="24"/>
    </row>
    <row r="84" spans="1:6" ht="12" customHeight="1" thickBot="1" x14ac:dyDescent="0.3">
      <c r="A84" s="51" t="s">
        <v>135</v>
      </c>
      <c r="B84" s="1127" t="s">
        <v>157</v>
      </c>
      <c r="C84" s="1127"/>
      <c r="D84" s="362">
        <v>217825</v>
      </c>
      <c r="E84" s="362">
        <f>+E82+E80+E74+E64+E59+E26+E24</f>
        <v>91</v>
      </c>
      <c r="F84" s="362">
        <f>+F82+F80+F74+F64+F59+F26+F24</f>
        <v>217916</v>
      </c>
    </row>
    <row r="85" spans="1:6" x14ac:dyDescent="0.25">
      <c r="D85" s="772"/>
      <c r="E85" s="772"/>
      <c r="F85" s="772"/>
    </row>
  </sheetData>
  <mergeCells count="69">
    <mergeCell ref="D2:F2"/>
    <mergeCell ref="D4:F4"/>
    <mergeCell ref="B5:C5"/>
    <mergeCell ref="B26:C26"/>
    <mergeCell ref="B22:C22"/>
    <mergeCell ref="B6:C6"/>
    <mergeCell ref="B33:C33"/>
    <mergeCell ref="B2:C4"/>
    <mergeCell ref="B13:C13"/>
    <mergeCell ref="B14:C14"/>
    <mergeCell ref="B15:C15"/>
    <mergeCell ref="B16:C16"/>
    <mergeCell ref="B19:C19"/>
    <mergeCell ref="B7:C7"/>
    <mergeCell ref="B8:C8"/>
    <mergeCell ref="B10:C10"/>
    <mergeCell ref="B11:C11"/>
    <mergeCell ref="B17:C17"/>
    <mergeCell ref="B23:C23"/>
    <mergeCell ref="B24:C24"/>
    <mergeCell ref="B71:C71"/>
    <mergeCell ref="B72:C72"/>
    <mergeCell ref="B73:C73"/>
    <mergeCell ref="B57:C57"/>
    <mergeCell ref="B58:C58"/>
    <mergeCell ref="B59:C59"/>
    <mergeCell ref="B62:C62"/>
    <mergeCell ref="B64:C64"/>
    <mergeCell ref="B66:C66"/>
    <mergeCell ref="B67:C67"/>
    <mergeCell ref="B61:C61"/>
    <mergeCell ref="A2:A4"/>
    <mergeCell ref="B38:C38"/>
    <mergeCell ref="B39:C39"/>
    <mergeCell ref="B12:C12"/>
    <mergeCell ref="B84:C84"/>
    <mergeCell ref="B74:C74"/>
    <mergeCell ref="B76:C76"/>
    <mergeCell ref="B77:C77"/>
    <mergeCell ref="B78:C78"/>
    <mergeCell ref="B79:C79"/>
    <mergeCell ref="B55:C55"/>
    <mergeCell ref="B56:C56"/>
    <mergeCell ref="B80:C80"/>
    <mergeCell ref="B82:C82"/>
    <mergeCell ref="B69:C69"/>
    <mergeCell ref="B70:C70"/>
    <mergeCell ref="D1:F1"/>
    <mergeCell ref="B50:C50"/>
    <mergeCell ref="B51:C51"/>
    <mergeCell ref="B20:C20"/>
    <mergeCell ref="B21:C21"/>
    <mergeCell ref="B42:C42"/>
    <mergeCell ref="B43:C43"/>
    <mergeCell ref="B44:C44"/>
    <mergeCell ref="B47:C47"/>
    <mergeCell ref="B48:C48"/>
    <mergeCell ref="B36:C36"/>
    <mergeCell ref="B37:C37"/>
    <mergeCell ref="B34:C34"/>
    <mergeCell ref="B35:C35"/>
    <mergeCell ref="B9:C9"/>
    <mergeCell ref="B18:C18"/>
    <mergeCell ref="B52:C52"/>
    <mergeCell ref="B53:C53"/>
    <mergeCell ref="B54:C54"/>
    <mergeCell ref="B49:C49"/>
    <mergeCell ref="B40:C40"/>
    <mergeCell ref="B41:C41"/>
  </mergeCells>
  <printOptions horizontalCentered="1"/>
  <pageMargins left="0.70866141732283472" right="0.31496062992125984" top="0.55118110236220474" bottom="0.15748031496062992" header="0.31496062992125984" footer="0.31496062992125984"/>
  <pageSetup paperSize="9" scale="76" orientation="portrait" r:id="rId1"/>
  <headerFooter>
    <oddHeader>&amp;C&amp;"Times New Roman,Félkövér"&amp;12Martonvásár Város Önkormányzatának kiadásai 2018.
Polgármesteri Hivatal&amp;R&amp;"Times New Roman,Félkövér"&amp;12 6.a melléklet</oddHeader>
  </headerFooter>
  <rowBreaks count="1" manualBreakCount="1">
    <brk id="59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5"/>
  <sheetViews>
    <sheetView zoomScaleNormal="100" workbookViewId="0">
      <selection activeCell="A63" sqref="A63:XFD63"/>
    </sheetView>
  </sheetViews>
  <sheetFormatPr defaultColWidth="8.7109375" defaultRowHeight="15" x14ac:dyDescent="0.25"/>
  <cols>
    <col min="1" max="1" width="6.140625" style="690" customWidth="1"/>
    <col min="2" max="2" width="7.140625" style="691" customWidth="1"/>
    <col min="3" max="3" width="25" style="691" customWidth="1"/>
    <col min="4" max="4" width="11" style="692" bestFit="1" customWidth="1"/>
    <col min="5" max="5" width="8.85546875" style="692" customWidth="1"/>
    <col min="6" max="6" width="8.5703125" style="692" customWidth="1"/>
    <col min="7" max="7" width="9.5703125" style="692" bestFit="1" customWidth="1"/>
    <col min="8" max="8" width="6.7109375" style="692" customWidth="1"/>
    <col min="9" max="9" width="9.7109375" style="692" customWidth="1"/>
    <col min="10" max="10" width="9" style="692" bestFit="1" customWidth="1"/>
    <col min="11" max="11" width="7.140625" style="692" customWidth="1"/>
    <col min="12" max="12" width="6.42578125" style="692" customWidth="1"/>
    <col min="13" max="13" width="6.7109375" style="692" bestFit="1" customWidth="1"/>
    <col min="14" max="15" width="6.85546875" style="692" customWidth="1"/>
    <col min="16" max="16" width="11" style="692" bestFit="1" customWidth="1"/>
    <col min="17" max="17" width="6.85546875" style="692" bestFit="1" customWidth="1"/>
    <col min="18" max="18" width="8.5703125" style="692" customWidth="1"/>
    <col min="19" max="16384" width="8.7109375" style="661"/>
  </cols>
  <sheetData>
    <row r="1" spans="1:18" x14ac:dyDescent="0.25">
      <c r="A1" s="658"/>
      <c r="B1" s="659"/>
      <c r="C1" s="659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0"/>
      <c r="O1" s="660"/>
      <c r="P1" s="1260" t="s">
        <v>390</v>
      </c>
      <c r="Q1" s="1260"/>
      <c r="R1" s="1260"/>
    </row>
    <row r="2" spans="1:18" ht="40.5" customHeight="1" x14ac:dyDescent="0.25">
      <c r="A2" s="1268" t="s">
        <v>0</v>
      </c>
      <c r="B2" s="1268" t="s">
        <v>182</v>
      </c>
      <c r="C2" s="1268"/>
      <c r="D2" s="1262" t="s">
        <v>180</v>
      </c>
      <c r="E2" s="1263"/>
      <c r="F2" s="1264"/>
      <c r="G2" s="1261" t="s">
        <v>185</v>
      </c>
      <c r="H2" s="1261"/>
      <c r="I2" s="1261"/>
      <c r="J2" s="1261" t="s">
        <v>288</v>
      </c>
      <c r="K2" s="1261"/>
      <c r="L2" s="1261"/>
      <c r="M2" s="1261" t="s">
        <v>289</v>
      </c>
      <c r="N2" s="1261"/>
      <c r="O2" s="1261"/>
      <c r="P2" s="1261" t="s">
        <v>579</v>
      </c>
      <c r="Q2" s="1261"/>
      <c r="R2" s="1261"/>
    </row>
    <row r="3" spans="1:18" ht="15" customHeight="1" x14ac:dyDescent="0.25">
      <c r="A3" s="1268"/>
      <c r="B3" s="1268"/>
      <c r="C3" s="1268"/>
      <c r="D3" s="1262"/>
      <c r="E3" s="1263"/>
      <c r="F3" s="1264"/>
      <c r="G3" s="1261" t="s">
        <v>189</v>
      </c>
      <c r="H3" s="1261"/>
      <c r="I3" s="1261"/>
      <c r="J3" s="1261" t="s">
        <v>189</v>
      </c>
      <c r="K3" s="1261"/>
      <c r="L3" s="1261"/>
      <c r="M3" s="1261" t="s">
        <v>189</v>
      </c>
      <c r="N3" s="1261"/>
      <c r="O3" s="1261"/>
      <c r="P3" s="1261" t="s">
        <v>189</v>
      </c>
      <c r="Q3" s="1261"/>
      <c r="R3" s="1261"/>
    </row>
    <row r="4" spans="1:18" s="662" customFormat="1" ht="25.5" customHeight="1" x14ac:dyDescent="0.25">
      <c r="A4" s="1268"/>
      <c r="B4" s="1268"/>
      <c r="C4" s="1268"/>
      <c r="D4" s="975" t="s">
        <v>931</v>
      </c>
      <c r="E4" s="975" t="s">
        <v>786</v>
      </c>
      <c r="F4" s="975" t="s">
        <v>932</v>
      </c>
      <c r="G4" s="975" t="s">
        <v>931</v>
      </c>
      <c r="H4" s="975" t="s">
        <v>786</v>
      </c>
      <c r="I4" s="975" t="s">
        <v>932</v>
      </c>
      <c r="J4" s="975" t="s">
        <v>931</v>
      </c>
      <c r="K4" s="975" t="s">
        <v>786</v>
      </c>
      <c r="L4" s="975" t="s">
        <v>932</v>
      </c>
      <c r="M4" s="975" t="s">
        <v>931</v>
      </c>
      <c r="N4" s="975" t="s">
        <v>786</v>
      </c>
      <c r="O4" s="975" t="s">
        <v>932</v>
      </c>
      <c r="P4" s="975" t="s">
        <v>931</v>
      </c>
      <c r="Q4" s="975" t="s">
        <v>786</v>
      </c>
      <c r="R4" s="975" t="s">
        <v>932</v>
      </c>
    </row>
    <row r="5" spans="1:18" ht="15" customHeight="1" x14ac:dyDescent="0.25">
      <c r="A5" s="663" t="s">
        <v>2</v>
      </c>
      <c r="B5" s="1266" t="s">
        <v>1</v>
      </c>
      <c r="C5" s="1266"/>
      <c r="D5" s="652">
        <v>108474</v>
      </c>
      <c r="E5" s="652">
        <f t="shared" ref="E5:F18" si="0">+H5+K5+N5+Q5</f>
        <v>-920</v>
      </c>
      <c r="F5" s="924">
        <f t="shared" si="0"/>
        <v>107554</v>
      </c>
      <c r="G5" s="652">
        <v>108474</v>
      </c>
      <c r="H5" s="652">
        <f>-350-70-500</f>
        <v>-920</v>
      </c>
      <c r="I5" s="652">
        <f>+H5+G5</f>
        <v>107554</v>
      </c>
      <c r="J5" s="652"/>
      <c r="K5" s="652"/>
      <c r="L5" s="652">
        <f>+K5+J5</f>
        <v>0</v>
      </c>
      <c r="M5" s="652"/>
      <c r="N5" s="652"/>
      <c r="O5" s="652">
        <f>+N5+M5</f>
        <v>0</v>
      </c>
      <c r="P5" s="652"/>
      <c r="Q5" s="652"/>
      <c r="R5" s="652">
        <f>+P5+Q5</f>
        <v>0</v>
      </c>
    </row>
    <row r="6" spans="1:18" ht="15" customHeight="1" x14ac:dyDescent="0.25">
      <c r="A6" s="663" t="s">
        <v>4</v>
      </c>
      <c r="B6" s="1266" t="s">
        <v>3</v>
      </c>
      <c r="C6" s="1266"/>
      <c r="D6" s="652">
        <f t="shared" ref="D6:D18" si="1">+G6+J6+M6+P6</f>
        <v>0</v>
      </c>
      <c r="E6" s="652">
        <f t="shared" si="0"/>
        <v>0</v>
      </c>
      <c r="F6" s="652">
        <f t="shared" si="0"/>
        <v>0</v>
      </c>
      <c r="G6" s="652"/>
      <c r="H6" s="652"/>
      <c r="I6" s="652">
        <f t="shared" ref="I6:I22" si="2">+H6+G6</f>
        <v>0</v>
      </c>
      <c r="J6" s="652"/>
      <c r="K6" s="652"/>
      <c r="L6" s="652">
        <f t="shared" ref="L6:L22" si="3">+K6+J6</f>
        <v>0</v>
      </c>
      <c r="M6" s="652"/>
      <c r="N6" s="652"/>
      <c r="O6" s="652">
        <f t="shared" ref="O6:O22" si="4">+N6+M6</f>
        <v>0</v>
      </c>
      <c r="P6" s="652"/>
      <c r="Q6" s="652"/>
      <c r="R6" s="652">
        <f t="shared" ref="R6:R22" si="5">+P6+Q6</f>
        <v>0</v>
      </c>
    </row>
    <row r="7" spans="1:18" ht="15" customHeight="1" x14ac:dyDescent="0.25">
      <c r="A7" s="663" t="s">
        <v>6</v>
      </c>
      <c r="B7" s="1266" t="s">
        <v>5</v>
      </c>
      <c r="C7" s="1266"/>
      <c r="D7" s="652">
        <f t="shared" si="1"/>
        <v>0</v>
      </c>
      <c r="E7" s="652">
        <f t="shared" si="0"/>
        <v>0</v>
      </c>
      <c r="F7" s="652">
        <f t="shared" si="0"/>
        <v>0</v>
      </c>
      <c r="G7" s="652"/>
      <c r="H7" s="652"/>
      <c r="I7" s="652">
        <f t="shared" si="2"/>
        <v>0</v>
      </c>
      <c r="J7" s="652"/>
      <c r="K7" s="652"/>
      <c r="L7" s="652">
        <f t="shared" si="3"/>
        <v>0</v>
      </c>
      <c r="M7" s="652"/>
      <c r="N7" s="652"/>
      <c r="O7" s="652">
        <f t="shared" si="4"/>
        <v>0</v>
      </c>
      <c r="P7" s="652"/>
      <c r="Q7" s="652"/>
      <c r="R7" s="652">
        <f t="shared" si="5"/>
        <v>0</v>
      </c>
    </row>
    <row r="8" spans="1:18" ht="22.5" customHeight="1" x14ac:dyDescent="0.25">
      <c r="A8" s="663" t="s">
        <v>8</v>
      </c>
      <c r="B8" s="1266" t="s">
        <v>7</v>
      </c>
      <c r="C8" s="1266"/>
      <c r="D8" s="652">
        <f t="shared" si="1"/>
        <v>1134</v>
      </c>
      <c r="E8" s="652">
        <f t="shared" si="0"/>
        <v>0</v>
      </c>
      <c r="F8" s="652">
        <f t="shared" si="0"/>
        <v>1134</v>
      </c>
      <c r="G8" s="652">
        <v>1134</v>
      </c>
      <c r="H8" s="652"/>
      <c r="I8" s="652">
        <f t="shared" si="2"/>
        <v>1134</v>
      </c>
      <c r="J8" s="652"/>
      <c r="K8" s="652"/>
      <c r="L8" s="652">
        <f t="shared" si="3"/>
        <v>0</v>
      </c>
      <c r="M8" s="652"/>
      <c r="N8" s="652"/>
      <c r="O8" s="652">
        <f t="shared" si="4"/>
        <v>0</v>
      </c>
      <c r="P8" s="652"/>
      <c r="Q8" s="652"/>
      <c r="R8" s="652">
        <f t="shared" si="5"/>
        <v>0</v>
      </c>
    </row>
    <row r="9" spans="1:18" ht="15" customHeight="1" x14ac:dyDescent="0.25">
      <c r="A9" s="663" t="s">
        <v>10</v>
      </c>
      <c r="B9" s="1266" t="s">
        <v>9</v>
      </c>
      <c r="C9" s="1266"/>
      <c r="D9" s="652">
        <f t="shared" si="1"/>
        <v>0</v>
      </c>
      <c r="E9" s="652">
        <f t="shared" si="0"/>
        <v>0</v>
      </c>
      <c r="F9" s="652">
        <f t="shared" si="0"/>
        <v>0</v>
      </c>
      <c r="G9" s="652"/>
      <c r="H9" s="652"/>
      <c r="I9" s="652">
        <f t="shared" si="2"/>
        <v>0</v>
      </c>
      <c r="J9" s="652"/>
      <c r="K9" s="652"/>
      <c r="L9" s="652">
        <f t="shared" si="3"/>
        <v>0</v>
      </c>
      <c r="M9" s="652"/>
      <c r="N9" s="652"/>
      <c r="O9" s="652">
        <f t="shared" si="4"/>
        <v>0</v>
      </c>
      <c r="P9" s="652"/>
      <c r="Q9" s="652"/>
      <c r="R9" s="652">
        <f t="shared" si="5"/>
        <v>0</v>
      </c>
    </row>
    <row r="10" spans="1:18" ht="15" customHeight="1" x14ac:dyDescent="0.25">
      <c r="A10" s="663" t="s">
        <v>12</v>
      </c>
      <c r="B10" s="1266" t="s">
        <v>11</v>
      </c>
      <c r="C10" s="1266"/>
      <c r="D10" s="652">
        <f t="shared" si="1"/>
        <v>6276</v>
      </c>
      <c r="E10" s="652">
        <f t="shared" si="0"/>
        <v>0</v>
      </c>
      <c r="F10" s="652">
        <f t="shared" si="0"/>
        <v>6276</v>
      </c>
      <c r="G10" s="652">
        <v>6276</v>
      </c>
      <c r="H10" s="652"/>
      <c r="I10" s="652">
        <f t="shared" si="2"/>
        <v>6276</v>
      </c>
      <c r="J10" s="652"/>
      <c r="K10" s="652"/>
      <c r="L10" s="652">
        <f t="shared" si="3"/>
        <v>0</v>
      </c>
      <c r="M10" s="652"/>
      <c r="N10" s="652"/>
      <c r="O10" s="652">
        <f t="shared" si="4"/>
        <v>0</v>
      </c>
      <c r="P10" s="652"/>
      <c r="Q10" s="652"/>
      <c r="R10" s="652">
        <f t="shared" si="5"/>
        <v>0</v>
      </c>
    </row>
    <row r="11" spans="1:18" ht="15" customHeight="1" x14ac:dyDescent="0.25">
      <c r="A11" s="663" t="s">
        <v>14</v>
      </c>
      <c r="B11" s="1266" t="s">
        <v>13</v>
      </c>
      <c r="C11" s="1266"/>
      <c r="D11" s="652">
        <f t="shared" si="1"/>
        <v>2100</v>
      </c>
      <c r="E11" s="652">
        <f t="shared" si="0"/>
        <v>0</v>
      </c>
      <c r="F11" s="652">
        <f t="shared" si="0"/>
        <v>2100</v>
      </c>
      <c r="G11" s="652">
        <v>2100</v>
      </c>
      <c r="H11" s="652"/>
      <c r="I11" s="652">
        <f t="shared" si="2"/>
        <v>2100</v>
      </c>
      <c r="J11" s="652"/>
      <c r="K11" s="652"/>
      <c r="L11" s="652">
        <f t="shared" si="3"/>
        <v>0</v>
      </c>
      <c r="M11" s="652"/>
      <c r="N11" s="652"/>
      <c r="O11" s="652">
        <f t="shared" si="4"/>
        <v>0</v>
      </c>
      <c r="P11" s="652"/>
      <c r="Q11" s="652"/>
      <c r="R11" s="652">
        <f t="shared" si="5"/>
        <v>0</v>
      </c>
    </row>
    <row r="12" spans="1:18" ht="15" customHeight="1" x14ac:dyDescent="0.25">
      <c r="A12" s="663" t="s">
        <v>16</v>
      </c>
      <c r="B12" s="1266" t="s">
        <v>15</v>
      </c>
      <c r="C12" s="1266"/>
      <c r="D12" s="652">
        <f t="shared" si="1"/>
        <v>0</v>
      </c>
      <c r="E12" s="652">
        <f t="shared" si="0"/>
        <v>0</v>
      </c>
      <c r="F12" s="652">
        <f t="shared" si="0"/>
        <v>0</v>
      </c>
      <c r="G12" s="652"/>
      <c r="H12" s="652"/>
      <c r="I12" s="652">
        <f t="shared" si="2"/>
        <v>0</v>
      </c>
      <c r="J12" s="652"/>
      <c r="K12" s="652"/>
      <c r="L12" s="652">
        <f t="shared" si="3"/>
        <v>0</v>
      </c>
      <c r="M12" s="652"/>
      <c r="N12" s="652"/>
      <c r="O12" s="652">
        <f t="shared" si="4"/>
        <v>0</v>
      </c>
      <c r="P12" s="652"/>
      <c r="Q12" s="652"/>
      <c r="R12" s="652">
        <f t="shared" si="5"/>
        <v>0</v>
      </c>
    </row>
    <row r="13" spans="1:18" ht="15" customHeight="1" x14ac:dyDescent="0.25">
      <c r="A13" s="663" t="s">
        <v>18</v>
      </c>
      <c r="B13" s="1266" t="s">
        <v>17</v>
      </c>
      <c r="C13" s="1266"/>
      <c r="D13" s="652">
        <f t="shared" si="1"/>
        <v>1066</v>
      </c>
      <c r="E13" s="652">
        <f t="shared" si="0"/>
        <v>0</v>
      </c>
      <c r="F13" s="652">
        <f t="shared" si="0"/>
        <v>1066</v>
      </c>
      <c r="G13" s="652">
        <v>1066</v>
      </c>
      <c r="H13" s="652"/>
      <c r="I13" s="652">
        <f t="shared" si="2"/>
        <v>1066</v>
      </c>
      <c r="J13" s="652"/>
      <c r="K13" s="652"/>
      <c r="L13" s="652">
        <f t="shared" si="3"/>
        <v>0</v>
      </c>
      <c r="M13" s="652"/>
      <c r="N13" s="652"/>
      <c r="O13" s="652">
        <f t="shared" si="4"/>
        <v>0</v>
      </c>
      <c r="P13" s="652"/>
      <c r="Q13" s="652"/>
      <c r="R13" s="652">
        <f t="shared" si="5"/>
        <v>0</v>
      </c>
    </row>
    <row r="14" spans="1:18" ht="15" customHeight="1" x14ac:dyDescent="0.25">
      <c r="A14" s="663" t="s">
        <v>20</v>
      </c>
      <c r="B14" s="1266" t="s">
        <v>19</v>
      </c>
      <c r="C14" s="1266"/>
      <c r="D14" s="652">
        <f t="shared" si="1"/>
        <v>0</v>
      </c>
      <c r="E14" s="652">
        <f t="shared" si="0"/>
        <v>0</v>
      </c>
      <c r="F14" s="652">
        <f t="shared" si="0"/>
        <v>0</v>
      </c>
      <c r="G14" s="652"/>
      <c r="H14" s="652"/>
      <c r="I14" s="652">
        <f t="shared" si="2"/>
        <v>0</v>
      </c>
      <c r="J14" s="652"/>
      <c r="K14" s="652"/>
      <c r="L14" s="652">
        <f t="shared" si="3"/>
        <v>0</v>
      </c>
      <c r="M14" s="652"/>
      <c r="N14" s="652"/>
      <c r="O14" s="652">
        <f t="shared" si="4"/>
        <v>0</v>
      </c>
      <c r="P14" s="652"/>
      <c r="Q14" s="652"/>
      <c r="R14" s="652">
        <f t="shared" si="5"/>
        <v>0</v>
      </c>
    </row>
    <row r="15" spans="1:18" ht="15" customHeight="1" x14ac:dyDescent="0.25">
      <c r="A15" s="663" t="s">
        <v>22</v>
      </c>
      <c r="B15" s="1266" t="s">
        <v>21</v>
      </c>
      <c r="C15" s="1266"/>
      <c r="D15" s="652">
        <f t="shared" si="1"/>
        <v>0</v>
      </c>
      <c r="E15" s="652">
        <f t="shared" si="0"/>
        <v>0</v>
      </c>
      <c r="F15" s="652">
        <f t="shared" si="0"/>
        <v>0</v>
      </c>
      <c r="G15" s="652"/>
      <c r="H15" s="652"/>
      <c r="I15" s="652">
        <f t="shared" si="2"/>
        <v>0</v>
      </c>
      <c r="J15" s="652"/>
      <c r="K15" s="652"/>
      <c r="L15" s="652">
        <f t="shared" si="3"/>
        <v>0</v>
      </c>
      <c r="M15" s="652"/>
      <c r="N15" s="652"/>
      <c r="O15" s="652">
        <f t="shared" si="4"/>
        <v>0</v>
      </c>
      <c r="P15" s="652"/>
      <c r="Q15" s="652"/>
      <c r="R15" s="652">
        <f t="shared" si="5"/>
        <v>0</v>
      </c>
    </row>
    <row r="16" spans="1:18" ht="15" customHeight="1" x14ac:dyDescent="0.25">
      <c r="A16" s="663" t="s">
        <v>24</v>
      </c>
      <c r="B16" s="1266" t="s">
        <v>23</v>
      </c>
      <c r="C16" s="1266"/>
      <c r="D16" s="652">
        <f t="shared" si="1"/>
        <v>300</v>
      </c>
      <c r="E16" s="652">
        <f t="shared" si="0"/>
        <v>0</v>
      </c>
      <c r="F16" s="652">
        <f t="shared" si="0"/>
        <v>300</v>
      </c>
      <c r="G16" s="652">
        <v>300</v>
      </c>
      <c r="H16" s="652"/>
      <c r="I16" s="652">
        <f t="shared" si="2"/>
        <v>300</v>
      </c>
      <c r="J16" s="652"/>
      <c r="K16" s="652"/>
      <c r="L16" s="652">
        <f t="shared" si="3"/>
        <v>0</v>
      </c>
      <c r="M16" s="652"/>
      <c r="N16" s="652"/>
      <c r="O16" s="652">
        <f t="shared" si="4"/>
        <v>0</v>
      </c>
      <c r="P16" s="652"/>
      <c r="Q16" s="652"/>
      <c r="R16" s="652">
        <f t="shared" si="5"/>
        <v>0</v>
      </c>
    </row>
    <row r="17" spans="1:18" ht="27.75" customHeight="1" x14ac:dyDescent="0.25">
      <c r="A17" s="663" t="s">
        <v>25</v>
      </c>
      <c r="B17" s="1266" t="s">
        <v>175</v>
      </c>
      <c r="C17" s="1266"/>
      <c r="D17" s="652">
        <v>1154</v>
      </c>
      <c r="E17" s="652">
        <f t="shared" si="0"/>
        <v>374</v>
      </c>
      <c r="F17" s="924">
        <f t="shared" si="0"/>
        <v>1528</v>
      </c>
      <c r="G17" s="652">
        <v>1154</v>
      </c>
      <c r="H17" s="652">
        <f>12+312+12+38</f>
        <v>374</v>
      </c>
      <c r="I17" s="924">
        <f t="shared" si="2"/>
        <v>1528</v>
      </c>
      <c r="J17" s="652"/>
      <c r="K17" s="652"/>
      <c r="L17" s="652">
        <f t="shared" si="3"/>
        <v>0</v>
      </c>
      <c r="M17" s="652"/>
      <c r="N17" s="652"/>
      <c r="O17" s="652">
        <f t="shared" si="4"/>
        <v>0</v>
      </c>
      <c r="P17" s="652"/>
      <c r="Q17" s="652"/>
      <c r="R17" s="652">
        <f t="shared" si="5"/>
        <v>0</v>
      </c>
    </row>
    <row r="18" spans="1:18" ht="15" customHeight="1" x14ac:dyDescent="0.25">
      <c r="A18" s="663" t="s">
        <v>25</v>
      </c>
      <c r="B18" s="1266" t="s">
        <v>26</v>
      </c>
      <c r="C18" s="1266"/>
      <c r="D18" s="652">
        <f t="shared" si="1"/>
        <v>0</v>
      </c>
      <c r="E18" s="652">
        <f t="shared" si="0"/>
        <v>0</v>
      </c>
      <c r="F18" s="652">
        <f t="shared" si="0"/>
        <v>0</v>
      </c>
      <c r="G18" s="652"/>
      <c r="H18" s="652"/>
      <c r="I18" s="924">
        <f t="shared" si="2"/>
        <v>0</v>
      </c>
      <c r="J18" s="652"/>
      <c r="K18" s="652"/>
      <c r="L18" s="652">
        <f t="shared" si="3"/>
        <v>0</v>
      </c>
      <c r="M18" s="652"/>
      <c r="N18" s="652"/>
      <c r="O18" s="652">
        <f t="shared" si="4"/>
        <v>0</v>
      </c>
      <c r="P18" s="652"/>
      <c r="Q18" s="652"/>
      <c r="R18" s="652">
        <f t="shared" si="5"/>
        <v>0</v>
      </c>
    </row>
    <row r="19" spans="1:18" s="665" customFormat="1" ht="15" customHeight="1" x14ac:dyDescent="0.25">
      <c r="A19" s="664" t="s">
        <v>27</v>
      </c>
      <c r="B19" s="1265" t="s">
        <v>423</v>
      </c>
      <c r="C19" s="1265"/>
      <c r="D19" s="651">
        <f>SUM(D5:D18)</f>
        <v>120504</v>
      </c>
      <c r="E19" s="651">
        <f t="shared" ref="E19:Q19" si="6">SUM(E5:E18)</f>
        <v>-546</v>
      </c>
      <c r="F19" s="651">
        <f t="shared" si="6"/>
        <v>119958</v>
      </c>
      <c r="G19" s="651">
        <f t="shared" si="6"/>
        <v>120504</v>
      </c>
      <c r="H19" s="651">
        <f t="shared" si="6"/>
        <v>-546</v>
      </c>
      <c r="I19" s="999">
        <f>SUM(I5:I18)</f>
        <v>119958</v>
      </c>
      <c r="J19" s="651">
        <f t="shared" si="6"/>
        <v>0</v>
      </c>
      <c r="K19" s="651">
        <f t="shared" si="6"/>
        <v>0</v>
      </c>
      <c r="L19" s="651">
        <f t="shared" si="3"/>
        <v>0</v>
      </c>
      <c r="M19" s="651">
        <f t="shared" si="6"/>
        <v>0</v>
      </c>
      <c r="N19" s="651">
        <f t="shared" si="6"/>
        <v>0</v>
      </c>
      <c r="O19" s="651">
        <f t="shared" si="4"/>
        <v>0</v>
      </c>
      <c r="P19" s="651">
        <f t="shared" si="6"/>
        <v>0</v>
      </c>
      <c r="Q19" s="651">
        <f t="shared" si="6"/>
        <v>0</v>
      </c>
      <c r="R19" s="651">
        <f t="shared" si="5"/>
        <v>0</v>
      </c>
    </row>
    <row r="20" spans="1:18" ht="15" customHeight="1" x14ac:dyDescent="0.25">
      <c r="A20" s="663" t="s">
        <v>29</v>
      </c>
      <c r="B20" s="1266" t="s">
        <v>28</v>
      </c>
      <c r="C20" s="1266"/>
      <c r="D20" s="652">
        <f>+G20+J20+M20+P20</f>
        <v>0</v>
      </c>
      <c r="E20" s="652">
        <f t="shared" ref="E20:F22" si="7">+H20+K20+N20+Q20</f>
        <v>0</v>
      </c>
      <c r="F20" s="652">
        <f t="shared" si="7"/>
        <v>0</v>
      </c>
      <c r="G20" s="652"/>
      <c r="H20" s="652"/>
      <c r="I20" s="924">
        <f t="shared" si="2"/>
        <v>0</v>
      </c>
      <c r="J20" s="652"/>
      <c r="K20" s="652"/>
      <c r="L20" s="652">
        <f t="shared" si="3"/>
        <v>0</v>
      </c>
      <c r="M20" s="652"/>
      <c r="N20" s="652"/>
      <c r="O20" s="652">
        <f t="shared" si="4"/>
        <v>0</v>
      </c>
      <c r="P20" s="652"/>
      <c r="Q20" s="652"/>
      <c r="R20" s="652">
        <f t="shared" si="5"/>
        <v>0</v>
      </c>
    </row>
    <row r="21" spans="1:18" ht="38.25" customHeight="1" x14ac:dyDescent="0.25">
      <c r="A21" s="663" t="s">
        <v>658</v>
      </c>
      <c r="B21" s="1266" t="s">
        <v>30</v>
      </c>
      <c r="C21" s="1266"/>
      <c r="D21" s="652">
        <v>2040</v>
      </c>
      <c r="E21" s="652">
        <f t="shared" si="7"/>
        <v>570</v>
      </c>
      <c r="F21" s="924">
        <f t="shared" si="7"/>
        <v>2610</v>
      </c>
      <c r="G21" s="652">
        <v>400</v>
      </c>
      <c r="H21" s="652">
        <f>20+550</f>
        <v>570</v>
      </c>
      <c r="I21" s="924">
        <f t="shared" si="2"/>
        <v>970</v>
      </c>
      <c r="J21" s="652"/>
      <c r="K21" s="652"/>
      <c r="L21" s="652">
        <f t="shared" si="3"/>
        <v>0</v>
      </c>
      <c r="M21" s="652">
        <v>1640</v>
      </c>
      <c r="N21" s="652"/>
      <c r="O21" s="652">
        <f t="shared" si="4"/>
        <v>1640</v>
      </c>
      <c r="P21" s="652"/>
      <c r="Q21" s="652"/>
      <c r="R21" s="652">
        <f t="shared" si="5"/>
        <v>0</v>
      </c>
    </row>
    <row r="22" spans="1:18" ht="15" customHeight="1" x14ac:dyDescent="0.25">
      <c r="A22" s="663" t="s">
        <v>32</v>
      </c>
      <c r="B22" s="1266" t="s">
        <v>31</v>
      </c>
      <c r="C22" s="1266"/>
      <c r="D22" s="652">
        <v>138</v>
      </c>
      <c r="E22" s="652">
        <f t="shared" si="7"/>
        <v>0</v>
      </c>
      <c r="F22" s="652">
        <f t="shared" si="7"/>
        <v>138</v>
      </c>
      <c r="G22" s="652">
        <v>138</v>
      </c>
      <c r="H22" s="652"/>
      <c r="I22" s="924">
        <f t="shared" si="2"/>
        <v>138</v>
      </c>
      <c r="J22" s="652"/>
      <c r="K22" s="652"/>
      <c r="L22" s="652">
        <f t="shared" si="3"/>
        <v>0</v>
      </c>
      <c r="M22" s="652"/>
      <c r="N22" s="652"/>
      <c r="O22" s="652">
        <f t="shared" si="4"/>
        <v>0</v>
      </c>
      <c r="P22" s="652"/>
      <c r="Q22" s="652"/>
      <c r="R22" s="652">
        <f t="shared" si="5"/>
        <v>0</v>
      </c>
    </row>
    <row r="23" spans="1:18" s="665" customFormat="1" ht="15" customHeight="1" x14ac:dyDescent="0.25">
      <c r="A23" s="664" t="s">
        <v>33</v>
      </c>
      <c r="B23" s="1265" t="s">
        <v>424</v>
      </c>
      <c r="C23" s="1265"/>
      <c r="D23" s="651">
        <f>SUM(D20:D22)</f>
        <v>2178</v>
      </c>
      <c r="E23" s="651">
        <f t="shared" ref="E23:R23" si="8">SUM(E20:E22)</f>
        <v>570</v>
      </c>
      <c r="F23" s="651">
        <f t="shared" si="8"/>
        <v>2748</v>
      </c>
      <c r="G23" s="651">
        <v>938</v>
      </c>
      <c r="H23" s="651">
        <f t="shared" si="8"/>
        <v>570</v>
      </c>
      <c r="I23" s="999">
        <f>SUM(I21:I22)</f>
        <v>1108</v>
      </c>
      <c r="J23" s="651">
        <f t="shared" si="8"/>
        <v>0</v>
      </c>
      <c r="K23" s="651">
        <f t="shared" si="8"/>
        <v>0</v>
      </c>
      <c r="L23" s="651">
        <f t="shared" si="8"/>
        <v>0</v>
      </c>
      <c r="M23" s="651">
        <v>1640</v>
      </c>
      <c r="N23" s="651">
        <f t="shared" si="8"/>
        <v>0</v>
      </c>
      <c r="O23" s="651">
        <f t="shared" si="8"/>
        <v>1640</v>
      </c>
      <c r="P23" s="651">
        <f t="shared" si="8"/>
        <v>0</v>
      </c>
      <c r="Q23" s="651">
        <f t="shared" si="8"/>
        <v>0</v>
      </c>
      <c r="R23" s="651">
        <f t="shared" si="8"/>
        <v>0</v>
      </c>
    </row>
    <row r="24" spans="1:18" s="666" customFormat="1" ht="15" customHeight="1" x14ac:dyDescent="0.25">
      <c r="A24" s="664" t="s">
        <v>34</v>
      </c>
      <c r="B24" s="1265" t="s">
        <v>425</v>
      </c>
      <c r="C24" s="1265"/>
      <c r="D24" s="651">
        <f t="shared" ref="D24:F24" si="9">+D23+D19</f>
        <v>122682</v>
      </c>
      <c r="E24" s="651">
        <f t="shared" si="9"/>
        <v>24</v>
      </c>
      <c r="F24" s="651">
        <f t="shared" si="9"/>
        <v>122706</v>
      </c>
      <c r="G24" s="651">
        <f>+G23+G19</f>
        <v>121442</v>
      </c>
      <c r="H24" s="651">
        <f t="shared" ref="H24:R24" si="10">+H23+H19</f>
        <v>24</v>
      </c>
      <c r="I24" s="999">
        <f>+I23+I19</f>
        <v>121066</v>
      </c>
      <c r="J24" s="651">
        <f t="shared" si="10"/>
        <v>0</v>
      </c>
      <c r="K24" s="651">
        <f t="shared" si="10"/>
        <v>0</v>
      </c>
      <c r="L24" s="651">
        <f t="shared" si="10"/>
        <v>0</v>
      </c>
      <c r="M24" s="651">
        <f t="shared" si="10"/>
        <v>1640</v>
      </c>
      <c r="N24" s="651">
        <f>+N23+N19</f>
        <v>0</v>
      </c>
      <c r="O24" s="651">
        <f t="shared" si="10"/>
        <v>1640</v>
      </c>
      <c r="P24" s="651">
        <f t="shared" si="10"/>
        <v>0</v>
      </c>
      <c r="Q24" s="651">
        <f t="shared" si="10"/>
        <v>0</v>
      </c>
      <c r="R24" s="651">
        <f t="shared" si="10"/>
        <v>0</v>
      </c>
    </row>
    <row r="25" spans="1:18" x14ac:dyDescent="0.25">
      <c r="A25" s="667"/>
      <c r="B25" s="976"/>
      <c r="C25" s="976"/>
      <c r="D25" s="656"/>
      <c r="E25" s="656"/>
      <c r="F25" s="657"/>
      <c r="G25" s="655"/>
      <c r="H25" s="656"/>
      <c r="I25" s="1000"/>
      <c r="J25" s="655"/>
      <c r="K25" s="656"/>
      <c r="L25" s="657"/>
      <c r="M25" s="655"/>
      <c r="N25" s="656"/>
      <c r="O25" s="657"/>
      <c r="P25" s="655"/>
      <c r="Q25" s="656"/>
      <c r="R25" s="657"/>
    </row>
    <row r="26" spans="1:18" s="666" customFormat="1" ht="27" customHeight="1" x14ac:dyDescent="0.25">
      <c r="A26" s="664" t="s">
        <v>35</v>
      </c>
      <c r="B26" s="1265" t="s">
        <v>426</v>
      </c>
      <c r="C26" s="1265"/>
      <c r="D26" s="651">
        <v>26863</v>
      </c>
      <c r="E26" s="651">
        <f t="shared" ref="E26:R26" si="11">SUM(E27:E31)</f>
        <v>5</v>
      </c>
      <c r="F26" s="651">
        <f t="shared" si="11"/>
        <v>26868</v>
      </c>
      <c r="G26" s="651">
        <f t="shared" si="11"/>
        <v>26469</v>
      </c>
      <c r="H26" s="651">
        <v>3</v>
      </c>
      <c r="I26" s="999">
        <f t="shared" si="11"/>
        <v>26474</v>
      </c>
      <c r="J26" s="651">
        <f t="shared" si="11"/>
        <v>0</v>
      </c>
      <c r="K26" s="651">
        <f t="shared" si="11"/>
        <v>0</v>
      </c>
      <c r="L26" s="651">
        <f t="shared" si="11"/>
        <v>0</v>
      </c>
      <c r="M26" s="651">
        <f t="shared" si="11"/>
        <v>394</v>
      </c>
      <c r="N26" s="651">
        <f t="shared" si="11"/>
        <v>0</v>
      </c>
      <c r="O26" s="651">
        <f t="shared" si="11"/>
        <v>394</v>
      </c>
      <c r="P26" s="651">
        <f t="shared" si="11"/>
        <v>0</v>
      </c>
      <c r="Q26" s="651">
        <f t="shared" si="11"/>
        <v>0</v>
      </c>
      <c r="R26" s="651">
        <f t="shared" si="11"/>
        <v>0</v>
      </c>
    </row>
    <row r="27" spans="1:18" ht="25.5" x14ac:dyDescent="0.25">
      <c r="A27" s="668" t="s">
        <v>35</v>
      </c>
      <c r="B27" s="669"/>
      <c r="C27" s="670" t="s">
        <v>36</v>
      </c>
      <c r="D27" s="652">
        <v>23600</v>
      </c>
      <c r="E27" s="652">
        <f t="shared" ref="E27:F31" si="12">+H27+K27+N27+Q27</f>
        <v>5</v>
      </c>
      <c r="F27" s="652">
        <f t="shared" si="12"/>
        <v>23605</v>
      </c>
      <c r="G27" s="652">
        <v>23206</v>
      </c>
      <c r="H27" s="652">
        <v>5</v>
      </c>
      <c r="I27" s="652">
        <f>+G27+H27</f>
        <v>23211</v>
      </c>
      <c r="J27" s="652"/>
      <c r="K27" s="652"/>
      <c r="L27" s="652">
        <f>+J27+K27</f>
        <v>0</v>
      </c>
      <c r="M27" s="652">
        <v>394</v>
      </c>
      <c r="N27" s="652"/>
      <c r="O27" s="652">
        <f>+M27+N27</f>
        <v>394</v>
      </c>
      <c r="P27" s="652"/>
      <c r="Q27" s="652"/>
      <c r="R27" s="652">
        <f>+Q27+P27</f>
        <v>0</v>
      </c>
    </row>
    <row r="28" spans="1:18" ht="25.5" x14ac:dyDescent="0.25">
      <c r="A28" s="668" t="s">
        <v>35</v>
      </c>
      <c r="B28" s="669"/>
      <c r="C28" s="670" t="s">
        <v>37</v>
      </c>
      <c r="D28" s="652">
        <f t="shared" ref="D28:D30" si="13">+G28+J28+M28+P28</f>
        <v>2484</v>
      </c>
      <c r="E28" s="652">
        <f t="shared" si="12"/>
        <v>0</v>
      </c>
      <c r="F28" s="652">
        <f t="shared" si="12"/>
        <v>2484</v>
      </c>
      <c r="G28" s="652">
        <v>2484</v>
      </c>
      <c r="H28" s="652"/>
      <c r="I28" s="652">
        <f t="shared" ref="I28:I31" si="14">+G28+H28</f>
        <v>2484</v>
      </c>
      <c r="J28" s="652"/>
      <c r="K28" s="652"/>
      <c r="L28" s="652">
        <f t="shared" ref="L28:L31" si="15">+J28+K28</f>
        <v>0</v>
      </c>
      <c r="M28" s="652"/>
      <c r="N28" s="652"/>
      <c r="O28" s="652">
        <f t="shared" ref="O28:O31" si="16">+M28+N28</f>
        <v>0</v>
      </c>
      <c r="P28" s="652"/>
      <c r="Q28" s="652"/>
      <c r="R28" s="652">
        <f t="shared" ref="R28:R31" si="17">+Q28+P28</f>
        <v>0</v>
      </c>
    </row>
    <row r="29" spans="1:18" ht="25.5" x14ac:dyDescent="0.25">
      <c r="A29" s="668" t="s">
        <v>35</v>
      </c>
      <c r="B29" s="669"/>
      <c r="C29" s="670" t="s">
        <v>38</v>
      </c>
      <c r="D29" s="652">
        <v>374</v>
      </c>
      <c r="E29" s="652">
        <f t="shared" si="12"/>
        <v>0</v>
      </c>
      <c r="F29" s="652">
        <f t="shared" si="12"/>
        <v>374</v>
      </c>
      <c r="G29" s="652">
        <v>374</v>
      </c>
      <c r="H29" s="652"/>
      <c r="I29" s="652">
        <f t="shared" si="14"/>
        <v>374</v>
      </c>
      <c r="J29" s="652"/>
      <c r="K29" s="652"/>
      <c r="L29" s="652">
        <f t="shared" si="15"/>
        <v>0</v>
      </c>
      <c r="M29" s="652"/>
      <c r="N29" s="652"/>
      <c r="O29" s="652">
        <f t="shared" si="16"/>
        <v>0</v>
      </c>
      <c r="P29" s="652"/>
      <c r="Q29" s="652"/>
      <c r="R29" s="652">
        <f t="shared" si="17"/>
        <v>0</v>
      </c>
    </row>
    <row r="30" spans="1:18" ht="62.25" customHeight="1" x14ac:dyDescent="0.25">
      <c r="A30" s="668" t="s">
        <v>35</v>
      </c>
      <c r="B30" s="669"/>
      <c r="C30" s="670" t="s">
        <v>39</v>
      </c>
      <c r="D30" s="652">
        <f t="shared" si="13"/>
        <v>0</v>
      </c>
      <c r="E30" s="652">
        <f t="shared" si="12"/>
        <v>0</v>
      </c>
      <c r="F30" s="652">
        <f t="shared" si="12"/>
        <v>0</v>
      </c>
      <c r="G30" s="652"/>
      <c r="H30" s="652"/>
      <c r="I30" s="652">
        <f t="shared" si="14"/>
        <v>0</v>
      </c>
      <c r="J30" s="652"/>
      <c r="K30" s="652"/>
      <c r="L30" s="652">
        <f t="shared" si="15"/>
        <v>0</v>
      </c>
      <c r="M30" s="652"/>
      <c r="N30" s="652"/>
      <c r="O30" s="652">
        <f t="shared" si="16"/>
        <v>0</v>
      </c>
      <c r="P30" s="652"/>
      <c r="Q30" s="652"/>
      <c r="R30" s="652">
        <f t="shared" si="17"/>
        <v>0</v>
      </c>
    </row>
    <row r="31" spans="1:18" ht="25.5" customHeight="1" x14ac:dyDescent="0.25">
      <c r="A31" s="668" t="s">
        <v>35</v>
      </c>
      <c r="B31" s="669"/>
      <c r="C31" s="670" t="s">
        <v>40</v>
      </c>
      <c r="D31" s="652">
        <v>405</v>
      </c>
      <c r="E31" s="652">
        <f t="shared" si="12"/>
        <v>0</v>
      </c>
      <c r="F31" s="652">
        <f t="shared" si="12"/>
        <v>405</v>
      </c>
      <c r="G31" s="652">
        <v>405</v>
      </c>
      <c r="H31" s="652"/>
      <c r="I31" s="652">
        <f t="shared" si="14"/>
        <v>405</v>
      </c>
      <c r="J31" s="652"/>
      <c r="K31" s="652"/>
      <c r="L31" s="652">
        <f t="shared" si="15"/>
        <v>0</v>
      </c>
      <c r="M31" s="652"/>
      <c r="N31" s="652"/>
      <c r="O31" s="652">
        <f t="shared" si="16"/>
        <v>0</v>
      </c>
      <c r="P31" s="652"/>
      <c r="Q31" s="652"/>
      <c r="R31" s="652">
        <f t="shared" si="17"/>
        <v>0</v>
      </c>
    </row>
    <row r="32" spans="1:18" x14ac:dyDescent="0.25">
      <c r="A32" s="671"/>
      <c r="B32" s="672"/>
      <c r="C32" s="673"/>
      <c r="D32" s="674"/>
      <c r="E32" s="674"/>
      <c r="F32" s="674"/>
      <c r="G32" s="674"/>
      <c r="H32" s="674"/>
      <c r="I32" s="674"/>
      <c r="J32" s="674"/>
      <c r="K32" s="674"/>
      <c r="L32" s="674"/>
      <c r="M32" s="674"/>
      <c r="N32" s="674"/>
      <c r="O32" s="674"/>
      <c r="P32" s="674"/>
      <c r="Q32" s="674"/>
      <c r="R32" s="674"/>
    </row>
    <row r="33" spans="1:18" x14ac:dyDescent="0.25">
      <c r="A33" s="663" t="s">
        <v>42</v>
      </c>
      <c r="B33" s="1266" t="s">
        <v>41</v>
      </c>
      <c r="C33" s="1266"/>
      <c r="D33" s="652">
        <f>+G33+J33+M33+P33</f>
        <v>675</v>
      </c>
      <c r="E33" s="652">
        <f t="shared" ref="E33:F35" si="18">+H33+K33+N33+Q33</f>
        <v>0</v>
      </c>
      <c r="F33" s="652">
        <f t="shared" si="18"/>
        <v>675</v>
      </c>
      <c r="G33" s="652">
        <v>675</v>
      </c>
      <c r="H33" s="652"/>
      <c r="I33" s="652">
        <f>+H33+G33</f>
        <v>675</v>
      </c>
      <c r="J33" s="652"/>
      <c r="K33" s="652"/>
      <c r="L33" s="652">
        <f>+J33+K33</f>
        <v>0</v>
      </c>
      <c r="M33" s="652"/>
      <c r="N33" s="652"/>
      <c r="O33" s="652">
        <f>+N33+M33</f>
        <v>0</v>
      </c>
      <c r="P33" s="652"/>
      <c r="Q33" s="652"/>
      <c r="R33" s="652">
        <f>+Q33+P33</f>
        <v>0</v>
      </c>
    </row>
    <row r="34" spans="1:18" x14ac:dyDescent="0.25">
      <c r="A34" s="663" t="s">
        <v>44</v>
      </c>
      <c r="B34" s="1266" t="s">
        <v>43</v>
      </c>
      <c r="C34" s="1266"/>
      <c r="D34" s="652">
        <v>1347</v>
      </c>
      <c r="E34" s="652">
        <f t="shared" si="18"/>
        <v>-87</v>
      </c>
      <c r="F34" s="652">
        <f t="shared" si="18"/>
        <v>1260</v>
      </c>
      <c r="G34" s="652">
        <v>1347</v>
      </c>
      <c r="H34" s="652">
        <f>-65-22</f>
        <v>-87</v>
      </c>
      <c r="I34" s="652">
        <f t="shared" ref="I34:I35" si="19">+H34+G34</f>
        <v>1260</v>
      </c>
      <c r="J34" s="652"/>
      <c r="K34" s="652"/>
      <c r="L34" s="652">
        <f t="shared" ref="L34:L35" si="20">+J34+K34</f>
        <v>0</v>
      </c>
      <c r="M34" s="652"/>
      <c r="N34" s="652"/>
      <c r="O34" s="652">
        <f t="shared" ref="O34:O35" si="21">+N34+M34</f>
        <v>0</v>
      </c>
      <c r="P34" s="652"/>
      <c r="Q34" s="652"/>
      <c r="R34" s="652">
        <f t="shared" ref="R34:R35" si="22">+Q34+P34</f>
        <v>0</v>
      </c>
    </row>
    <row r="35" spans="1:18" x14ac:dyDescent="0.25">
      <c r="A35" s="663" t="s">
        <v>46</v>
      </c>
      <c r="B35" s="1266" t="s">
        <v>45</v>
      </c>
      <c r="C35" s="1266"/>
      <c r="D35" s="652">
        <f t="shared" ref="D35" si="23">+G35+J35+M35+P35</f>
        <v>0</v>
      </c>
      <c r="E35" s="652">
        <f t="shared" si="18"/>
        <v>0</v>
      </c>
      <c r="F35" s="652">
        <f t="shared" si="18"/>
        <v>0</v>
      </c>
      <c r="G35" s="652"/>
      <c r="H35" s="652"/>
      <c r="I35" s="652">
        <f t="shared" si="19"/>
        <v>0</v>
      </c>
      <c r="J35" s="652"/>
      <c r="K35" s="652"/>
      <c r="L35" s="652">
        <f t="shared" si="20"/>
        <v>0</v>
      </c>
      <c r="M35" s="652"/>
      <c r="N35" s="652"/>
      <c r="O35" s="652">
        <f t="shared" si="21"/>
        <v>0</v>
      </c>
      <c r="P35" s="652"/>
      <c r="Q35" s="652"/>
      <c r="R35" s="652">
        <f t="shared" si="22"/>
        <v>0</v>
      </c>
    </row>
    <row r="36" spans="1:18" s="666" customFormat="1" x14ac:dyDescent="0.25">
      <c r="A36" s="664" t="s">
        <v>47</v>
      </c>
      <c r="B36" s="1265" t="s">
        <v>428</v>
      </c>
      <c r="C36" s="1265"/>
      <c r="D36" s="651">
        <f>SUM(D33:D35)</f>
        <v>2022</v>
      </c>
      <c r="E36" s="651">
        <f t="shared" ref="E36:R36" si="24">SUM(E33:E35)</f>
        <v>-87</v>
      </c>
      <c r="F36" s="651">
        <f t="shared" si="24"/>
        <v>1935</v>
      </c>
      <c r="G36" s="651">
        <f t="shared" si="24"/>
        <v>2022</v>
      </c>
      <c r="H36" s="651">
        <f t="shared" si="24"/>
        <v>-87</v>
      </c>
      <c r="I36" s="651">
        <f t="shared" si="24"/>
        <v>1935</v>
      </c>
      <c r="J36" s="651">
        <f>SUM(J33:J35)</f>
        <v>0</v>
      </c>
      <c r="K36" s="651">
        <f t="shared" si="24"/>
        <v>0</v>
      </c>
      <c r="L36" s="651">
        <f t="shared" si="24"/>
        <v>0</v>
      </c>
      <c r="M36" s="651">
        <f t="shared" si="24"/>
        <v>0</v>
      </c>
      <c r="N36" s="651">
        <f t="shared" si="24"/>
        <v>0</v>
      </c>
      <c r="O36" s="651">
        <f t="shared" si="24"/>
        <v>0</v>
      </c>
      <c r="P36" s="651">
        <f t="shared" si="24"/>
        <v>0</v>
      </c>
      <c r="Q36" s="651">
        <f t="shared" si="24"/>
        <v>0</v>
      </c>
      <c r="R36" s="651">
        <f t="shared" si="24"/>
        <v>0</v>
      </c>
    </row>
    <row r="37" spans="1:18" x14ac:dyDescent="0.25">
      <c r="A37" s="663" t="s">
        <v>49</v>
      </c>
      <c r="B37" s="1266" t="s">
        <v>48</v>
      </c>
      <c r="C37" s="1266"/>
      <c r="D37" s="652">
        <f>+G37+J37+M37+P37</f>
        <v>60</v>
      </c>
      <c r="E37" s="652">
        <f t="shared" ref="E37:F38" si="25">+H37+K37+N37+Q37</f>
        <v>20</v>
      </c>
      <c r="F37" s="652">
        <f t="shared" si="25"/>
        <v>80</v>
      </c>
      <c r="G37" s="652"/>
      <c r="H37" s="652"/>
      <c r="I37" s="652">
        <f>+H37+G37</f>
        <v>0</v>
      </c>
      <c r="J37" s="652">
        <v>60</v>
      </c>
      <c r="K37" s="652">
        <v>20</v>
      </c>
      <c r="L37" s="652">
        <f>+J37+K37</f>
        <v>80</v>
      </c>
      <c r="M37" s="652"/>
      <c r="N37" s="652"/>
      <c r="O37" s="652">
        <f>+N37+M37</f>
        <v>0</v>
      </c>
      <c r="P37" s="652"/>
      <c r="Q37" s="652"/>
      <c r="R37" s="652">
        <f>+Q37+P37</f>
        <v>0</v>
      </c>
    </row>
    <row r="38" spans="1:18" x14ac:dyDescent="0.25">
      <c r="A38" s="663" t="s">
        <v>51</v>
      </c>
      <c r="B38" s="1266" t="s">
        <v>50</v>
      </c>
      <c r="C38" s="1266"/>
      <c r="D38" s="652">
        <f>+G38+J38+M38+P38</f>
        <v>190</v>
      </c>
      <c r="E38" s="652">
        <f t="shared" si="25"/>
        <v>-20</v>
      </c>
      <c r="F38" s="652">
        <f t="shared" si="25"/>
        <v>170</v>
      </c>
      <c r="G38" s="652"/>
      <c r="H38" s="652"/>
      <c r="I38" s="652">
        <f>+H38+G38</f>
        <v>0</v>
      </c>
      <c r="J38" s="652">
        <v>190</v>
      </c>
      <c r="K38" s="652">
        <v>-20</v>
      </c>
      <c r="L38" s="652">
        <f>+J38+K38</f>
        <v>170</v>
      </c>
      <c r="M38" s="652"/>
      <c r="N38" s="652"/>
      <c r="O38" s="652">
        <f>+N38+M38</f>
        <v>0</v>
      </c>
      <c r="P38" s="652"/>
      <c r="Q38" s="652"/>
      <c r="R38" s="652">
        <f>+Q38+P38</f>
        <v>0</v>
      </c>
    </row>
    <row r="39" spans="1:18" s="666" customFormat="1" x14ac:dyDescent="0.25">
      <c r="A39" s="664" t="s">
        <v>52</v>
      </c>
      <c r="B39" s="1265" t="s">
        <v>429</v>
      </c>
      <c r="C39" s="1265"/>
      <c r="D39" s="651">
        <f t="shared" ref="D39:F39" si="26">SUM(D37:D38)</f>
        <v>250</v>
      </c>
      <c r="E39" s="651">
        <f t="shared" si="26"/>
        <v>0</v>
      </c>
      <c r="F39" s="651">
        <f t="shared" si="26"/>
        <v>250</v>
      </c>
      <c r="G39" s="651">
        <f t="shared" ref="G39:R39" si="27">+G38+G37</f>
        <v>0</v>
      </c>
      <c r="H39" s="651">
        <f t="shared" si="27"/>
        <v>0</v>
      </c>
      <c r="I39" s="651">
        <f t="shared" si="27"/>
        <v>0</v>
      </c>
      <c r="J39" s="651">
        <f t="shared" si="27"/>
        <v>250</v>
      </c>
      <c r="K39" s="651">
        <f t="shared" si="27"/>
        <v>0</v>
      </c>
      <c r="L39" s="651">
        <f t="shared" si="27"/>
        <v>250</v>
      </c>
      <c r="M39" s="651">
        <f t="shared" si="27"/>
        <v>0</v>
      </c>
      <c r="N39" s="651">
        <f t="shared" si="27"/>
        <v>0</v>
      </c>
      <c r="O39" s="651">
        <f t="shared" si="27"/>
        <v>0</v>
      </c>
      <c r="P39" s="651">
        <f t="shared" si="27"/>
        <v>0</v>
      </c>
      <c r="Q39" s="651">
        <f t="shared" si="27"/>
        <v>0</v>
      </c>
      <c r="R39" s="651">
        <f t="shared" si="27"/>
        <v>0</v>
      </c>
    </row>
    <row r="40" spans="1:18" x14ac:dyDescent="0.25">
      <c r="A40" s="663" t="s">
        <v>54</v>
      </c>
      <c r="B40" s="1266" t="s">
        <v>53</v>
      </c>
      <c r="C40" s="1266"/>
      <c r="D40" s="652">
        <f>+G40+J40+M40+P40</f>
        <v>0</v>
      </c>
      <c r="E40" s="652">
        <f t="shared" ref="E40:F48" si="28">+H40+K40+N40+Q40</f>
        <v>0</v>
      </c>
      <c r="F40" s="652">
        <f t="shared" si="28"/>
        <v>0</v>
      </c>
      <c r="G40" s="652"/>
      <c r="H40" s="652"/>
      <c r="I40" s="652">
        <f>+H40+G40</f>
        <v>0</v>
      </c>
      <c r="J40" s="652"/>
      <c r="K40" s="652"/>
      <c r="L40" s="652">
        <f>+J40+K40</f>
        <v>0</v>
      </c>
      <c r="M40" s="652"/>
      <c r="N40" s="652"/>
      <c r="O40" s="652">
        <f>+N40+M40</f>
        <v>0</v>
      </c>
      <c r="P40" s="652"/>
      <c r="Q40" s="652"/>
      <c r="R40" s="652">
        <f>+Q40+P40</f>
        <v>0</v>
      </c>
    </row>
    <row r="41" spans="1:18" x14ac:dyDescent="0.25">
      <c r="A41" s="663" t="s">
        <v>56</v>
      </c>
      <c r="B41" s="1266" t="s">
        <v>55</v>
      </c>
      <c r="C41" s="1266"/>
      <c r="D41" s="652">
        <f t="shared" ref="D41:D46" si="29">+G41+J41+M41+P41</f>
        <v>17718</v>
      </c>
      <c r="E41" s="652">
        <f t="shared" si="28"/>
        <v>0</v>
      </c>
      <c r="F41" s="652">
        <f t="shared" si="28"/>
        <v>17718</v>
      </c>
      <c r="G41" s="652"/>
      <c r="H41" s="652"/>
      <c r="I41" s="652">
        <f t="shared" ref="I41:I48" si="30">+H41+G41</f>
        <v>0</v>
      </c>
      <c r="J41" s="122"/>
      <c r="K41" s="652"/>
      <c r="L41" s="652">
        <f t="shared" ref="L41:L49" si="31">+J41+K41</f>
        <v>0</v>
      </c>
      <c r="M41" s="652"/>
      <c r="N41" s="652"/>
      <c r="O41" s="652">
        <f t="shared" ref="O41:O47" si="32">+N41+M41</f>
        <v>0</v>
      </c>
      <c r="P41" s="122">
        <v>17718</v>
      </c>
      <c r="Q41" s="652"/>
      <c r="R41" s="652">
        <f t="shared" ref="R41:R48" si="33">+Q41+P41</f>
        <v>17718</v>
      </c>
    </row>
    <row r="42" spans="1:18" x14ac:dyDescent="0.25">
      <c r="A42" s="663" t="s">
        <v>57</v>
      </c>
      <c r="B42" s="1266" t="s">
        <v>430</v>
      </c>
      <c r="C42" s="1266"/>
      <c r="D42" s="652">
        <f t="shared" si="29"/>
        <v>0</v>
      </c>
      <c r="E42" s="652">
        <f t="shared" si="28"/>
        <v>0</v>
      </c>
      <c r="F42" s="652">
        <f t="shared" si="28"/>
        <v>0</v>
      </c>
      <c r="G42" s="652"/>
      <c r="H42" s="652"/>
      <c r="I42" s="652">
        <f t="shared" si="30"/>
        <v>0</v>
      </c>
      <c r="J42" s="652"/>
      <c r="K42" s="652"/>
      <c r="L42" s="652">
        <f t="shared" si="31"/>
        <v>0</v>
      </c>
      <c r="M42" s="652"/>
      <c r="N42" s="652"/>
      <c r="O42" s="652">
        <f t="shared" si="32"/>
        <v>0</v>
      </c>
      <c r="P42" s="652"/>
      <c r="Q42" s="652"/>
      <c r="R42" s="652">
        <f t="shared" si="33"/>
        <v>0</v>
      </c>
    </row>
    <row r="43" spans="1:18" x14ac:dyDescent="0.25">
      <c r="A43" s="663" t="s">
        <v>59</v>
      </c>
      <c r="B43" s="1266" t="s">
        <v>58</v>
      </c>
      <c r="C43" s="1266"/>
      <c r="D43" s="652">
        <f t="shared" si="29"/>
        <v>0</v>
      </c>
      <c r="E43" s="652">
        <f t="shared" si="28"/>
        <v>0</v>
      </c>
      <c r="F43" s="652">
        <f t="shared" si="28"/>
        <v>0</v>
      </c>
      <c r="G43" s="652"/>
      <c r="H43" s="652"/>
      <c r="I43" s="652">
        <f t="shared" si="30"/>
        <v>0</v>
      </c>
      <c r="J43" s="652">
        <v>0</v>
      </c>
      <c r="K43" s="652"/>
      <c r="L43" s="652">
        <f t="shared" si="31"/>
        <v>0</v>
      </c>
      <c r="M43" s="652"/>
      <c r="N43" s="652"/>
      <c r="O43" s="652">
        <f t="shared" si="32"/>
        <v>0</v>
      </c>
      <c r="P43" s="652"/>
      <c r="Q43" s="652"/>
      <c r="R43" s="652">
        <f t="shared" si="33"/>
        <v>0</v>
      </c>
    </row>
    <row r="44" spans="1:18" x14ac:dyDescent="0.25">
      <c r="A44" s="663" t="s">
        <v>60</v>
      </c>
      <c r="B44" s="1266" t="s">
        <v>166</v>
      </c>
      <c r="C44" s="1266"/>
      <c r="D44" s="652">
        <v>5</v>
      </c>
      <c r="E44" s="652">
        <f t="shared" si="28"/>
        <v>0</v>
      </c>
      <c r="F44" s="652">
        <f t="shared" si="28"/>
        <v>5</v>
      </c>
      <c r="G44" s="652">
        <v>5</v>
      </c>
      <c r="H44" s="652"/>
      <c r="I44" s="652">
        <f t="shared" si="30"/>
        <v>5</v>
      </c>
      <c r="J44" s="652"/>
      <c r="K44" s="652"/>
      <c r="L44" s="652">
        <f t="shared" si="31"/>
        <v>0</v>
      </c>
      <c r="M44" s="652"/>
      <c r="N44" s="652"/>
      <c r="O44" s="652">
        <f t="shared" si="32"/>
        <v>0</v>
      </c>
      <c r="P44" s="652"/>
      <c r="Q44" s="652"/>
      <c r="R44" s="652">
        <f t="shared" si="33"/>
        <v>0</v>
      </c>
    </row>
    <row r="45" spans="1:18" ht="25.5" x14ac:dyDescent="0.25">
      <c r="A45" s="668" t="s">
        <v>60</v>
      </c>
      <c r="B45" s="669"/>
      <c r="C45" s="670" t="s">
        <v>61</v>
      </c>
      <c r="D45" s="652">
        <f t="shared" si="29"/>
        <v>0</v>
      </c>
      <c r="E45" s="652">
        <f t="shared" si="28"/>
        <v>0</v>
      </c>
      <c r="F45" s="652">
        <f t="shared" si="28"/>
        <v>0</v>
      </c>
      <c r="G45" s="652"/>
      <c r="H45" s="652"/>
      <c r="I45" s="652">
        <f t="shared" si="30"/>
        <v>0</v>
      </c>
      <c r="J45" s="652"/>
      <c r="K45" s="652"/>
      <c r="L45" s="652">
        <f t="shared" si="31"/>
        <v>0</v>
      </c>
      <c r="M45" s="652"/>
      <c r="N45" s="652"/>
      <c r="O45" s="652">
        <f t="shared" si="32"/>
        <v>0</v>
      </c>
      <c r="P45" s="652"/>
      <c r="Q45" s="652"/>
      <c r="R45" s="652">
        <f t="shared" si="33"/>
        <v>0</v>
      </c>
    </row>
    <row r="46" spans="1:18" ht="25.5" x14ac:dyDescent="0.25">
      <c r="A46" s="668" t="s">
        <v>60</v>
      </c>
      <c r="B46" s="669"/>
      <c r="C46" s="670" t="s">
        <v>168</v>
      </c>
      <c r="D46" s="652">
        <f t="shared" si="29"/>
        <v>0</v>
      </c>
      <c r="E46" s="652">
        <f t="shared" si="28"/>
        <v>0</v>
      </c>
      <c r="F46" s="652">
        <f t="shared" si="28"/>
        <v>0</v>
      </c>
      <c r="G46" s="652"/>
      <c r="H46" s="652"/>
      <c r="I46" s="652">
        <f t="shared" si="30"/>
        <v>0</v>
      </c>
      <c r="J46" s="652"/>
      <c r="K46" s="652"/>
      <c r="L46" s="652">
        <f t="shared" si="31"/>
        <v>0</v>
      </c>
      <c r="M46" s="652"/>
      <c r="N46" s="652"/>
      <c r="O46" s="652">
        <f t="shared" si="32"/>
        <v>0</v>
      </c>
      <c r="P46" s="652"/>
      <c r="Q46" s="652"/>
      <c r="R46" s="652">
        <f t="shared" si="33"/>
        <v>0</v>
      </c>
    </row>
    <row r="47" spans="1:18" ht="28.5" customHeight="1" x14ac:dyDescent="0.25">
      <c r="A47" s="663" t="s">
        <v>63</v>
      </c>
      <c r="B47" s="1266" t="s">
        <v>431</v>
      </c>
      <c r="C47" s="1266"/>
      <c r="D47" s="652">
        <v>449</v>
      </c>
      <c r="E47" s="652">
        <f t="shared" si="28"/>
        <v>0</v>
      </c>
      <c r="F47" s="652">
        <f t="shared" si="28"/>
        <v>449</v>
      </c>
      <c r="G47" s="652">
        <v>89</v>
      </c>
      <c r="H47" s="652"/>
      <c r="I47" s="652">
        <f t="shared" si="30"/>
        <v>89</v>
      </c>
      <c r="J47" s="652"/>
      <c r="K47" s="652"/>
      <c r="L47" s="652">
        <f t="shared" si="31"/>
        <v>0</v>
      </c>
      <c r="M47" s="652">
        <v>360</v>
      </c>
      <c r="N47" s="652"/>
      <c r="O47" s="652">
        <f t="shared" si="32"/>
        <v>360</v>
      </c>
      <c r="P47" s="652"/>
      <c r="Q47" s="652"/>
      <c r="R47" s="652">
        <f t="shared" si="33"/>
        <v>0</v>
      </c>
    </row>
    <row r="48" spans="1:18" x14ac:dyDescent="0.25">
      <c r="A48" s="663" t="s">
        <v>65</v>
      </c>
      <c r="B48" s="1266" t="s">
        <v>432</v>
      </c>
      <c r="C48" s="1266"/>
      <c r="D48" s="652">
        <v>298</v>
      </c>
      <c r="E48" s="652">
        <f t="shared" si="28"/>
        <v>327</v>
      </c>
      <c r="F48" s="924">
        <f t="shared" si="28"/>
        <v>625</v>
      </c>
      <c r="G48" s="652">
        <v>298</v>
      </c>
      <c r="H48" s="652">
        <f>66+21-100</f>
        <v>-13</v>
      </c>
      <c r="I48" s="652">
        <f t="shared" si="30"/>
        <v>285</v>
      </c>
      <c r="J48" s="652">
        <v>0</v>
      </c>
      <c r="K48" s="652">
        <f>100+240</f>
        <v>340</v>
      </c>
      <c r="L48" s="652">
        <f t="shared" si="31"/>
        <v>340</v>
      </c>
      <c r="M48" s="652"/>
      <c r="O48" s="652">
        <v>0</v>
      </c>
      <c r="P48" s="652"/>
      <c r="Q48" s="652"/>
      <c r="R48" s="652">
        <f t="shared" si="33"/>
        <v>0</v>
      </c>
    </row>
    <row r="49" spans="1:18" s="666" customFormat="1" x14ac:dyDescent="0.25">
      <c r="A49" s="664" t="s">
        <v>66</v>
      </c>
      <c r="B49" s="1265" t="s">
        <v>433</v>
      </c>
      <c r="C49" s="1265"/>
      <c r="D49" s="651">
        <f t="shared" ref="D49:F49" si="34">SUM(D40:D48)</f>
        <v>18470</v>
      </c>
      <c r="E49" s="651">
        <f t="shared" si="34"/>
        <v>327</v>
      </c>
      <c r="F49" s="651">
        <f t="shared" si="34"/>
        <v>18797</v>
      </c>
      <c r="G49" s="651">
        <f t="shared" ref="G49:R49" si="35">SUM(G40:G48)</f>
        <v>392</v>
      </c>
      <c r="H49" s="651">
        <f t="shared" si="35"/>
        <v>-13</v>
      </c>
      <c r="I49" s="651">
        <f t="shared" si="35"/>
        <v>379</v>
      </c>
      <c r="J49" s="651">
        <f>SUM(J40:J48)</f>
        <v>0</v>
      </c>
      <c r="K49" s="651">
        <f>SUM(K40:K48)</f>
        <v>340</v>
      </c>
      <c r="L49" s="652">
        <f t="shared" si="31"/>
        <v>340</v>
      </c>
      <c r="M49" s="651">
        <f t="shared" si="35"/>
        <v>360</v>
      </c>
      <c r="N49" s="651">
        <f t="shared" si="35"/>
        <v>0</v>
      </c>
      <c r="O49" s="651">
        <f t="shared" si="35"/>
        <v>360</v>
      </c>
      <c r="P49" s="651">
        <f t="shared" si="35"/>
        <v>17718</v>
      </c>
      <c r="Q49" s="651">
        <f t="shared" si="35"/>
        <v>0</v>
      </c>
      <c r="R49" s="651">
        <f t="shared" si="35"/>
        <v>17718</v>
      </c>
    </row>
    <row r="50" spans="1:18" x14ac:dyDescent="0.25">
      <c r="A50" s="663" t="s">
        <v>68</v>
      </c>
      <c r="B50" s="1266" t="s">
        <v>67</v>
      </c>
      <c r="C50" s="1266"/>
      <c r="D50" s="652">
        <f>G50</f>
        <v>60</v>
      </c>
      <c r="E50" s="652">
        <f t="shared" ref="E50:F51" si="36">H50</f>
        <v>0</v>
      </c>
      <c r="F50" s="652">
        <f t="shared" si="36"/>
        <v>60</v>
      </c>
      <c r="G50" s="652">
        <v>60</v>
      </c>
      <c r="H50" s="652"/>
      <c r="I50" s="652">
        <f>+G50+H50</f>
        <v>60</v>
      </c>
      <c r="J50" s="652"/>
      <c r="K50" s="652"/>
      <c r="L50" s="652">
        <f>+J50+K50</f>
        <v>0</v>
      </c>
      <c r="M50" s="652"/>
      <c r="N50" s="652"/>
      <c r="O50" s="652">
        <f>+N50+M50</f>
        <v>0</v>
      </c>
      <c r="P50" s="652"/>
      <c r="Q50" s="652"/>
      <c r="R50" s="652">
        <f>+Q50+P50</f>
        <v>0</v>
      </c>
    </row>
    <row r="51" spans="1:18" x14ac:dyDescent="0.25">
      <c r="A51" s="663" t="s">
        <v>70</v>
      </c>
      <c r="B51" s="1266" t="s">
        <v>69</v>
      </c>
      <c r="C51" s="1266"/>
      <c r="D51" s="652">
        <f>G51</f>
        <v>0</v>
      </c>
      <c r="E51" s="652">
        <f t="shared" si="36"/>
        <v>0</v>
      </c>
      <c r="F51" s="652">
        <f t="shared" si="36"/>
        <v>0</v>
      </c>
      <c r="G51" s="652"/>
      <c r="H51" s="652"/>
      <c r="I51" s="652">
        <f>+G51+H51</f>
        <v>0</v>
      </c>
      <c r="J51" s="652"/>
      <c r="K51" s="652"/>
      <c r="L51" s="652">
        <f>+J51+K51</f>
        <v>0</v>
      </c>
      <c r="M51" s="652"/>
      <c r="N51" s="652"/>
      <c r="O51" s="652">
        <f>+N51+M51</f>
        <v>0</v>
      </c>
      <c r="P51" s="652"/>
      <c r="Q51" s="652"/>
      <c r="R51" s="652">
        <f>+Q51+P51</f>
        <v>0</v>
      </c>
    </row>
    <row r="52" spans="1:18" s="665" customFormat="1" ht="26.25" customHeight="1" x14ac:dyDescent="0.25">
      <c r="A52" s="664" t="s">
        <v>71</v>
      </c>
      <c r="B52" s="1265" t="s">
        <v>155</v>
      </c>
      <c r="C52" s="1265"/>
      <c r="D52" s="651">
        <f>SUM(D50:D51)</f>
        <v>60</v>
      </c>
      <c r="E52" s="651">
        <f t="shared" ref="E52:R52" si="37">+E51+E50</f>
        <v>0</v>
      </c>
      <c r="F52" s="651">
        <f t="shared" si="37"/>
        <v>60</v>
      </c>
      <c r="G52" s="651">
        <f t="shared" si="37"/>
        <v>60</v>
      </c>
      <c r="H52" s="651">
        <f t="shared" si="37"/>
        <v>0</v>
      </c>
      <c r="I52" s="651">
        <f t="shared" si="37"/>
        <v>60</v>
      </c>
      <c r="J52" s="651">
        <f t="shared" si="37"/>
        <v>0</v>
      </c>
      <c r="K52" s="651">
        <f t="shared" si="37"/>
        <v>0</v>
      </c>
      <c r="L52" s="651">
        <f t="shared" si="37"/>
        <v>0</v>
      </c>
      <c r="M52" s="651">
        <f t="shared" si="37"/>
        <v>0</v>
      </c>
      <c r="N52" s="651">
        <f t="shared" si="37"/>
        <v>0</v>
      </c>
      <c r="O52" s="651">
        <f t="shared" si="37"/>
        <v>0</v>
      </c>
      <c r="P52" s="651">
        <f t="shared" si="37"/>
        <v>0</v>
      </c>
      <c r="Q52" s="651">
        <f t="shared" si="37"/>
        <v>0</v>
      </c>
      <c r="R52" s="651">
        <f t="shared" si="37"/>
        <v>0</v>
      </c>
    </row>
    <row r="53" spans="1:18" ht="25.5" customHeight="1" x14ac:dyDescent="0.25">
      <c r="A53" s="663" t="s">
        <v>73</v>
      </c>
      <c r="B53" s="1266" t="s">
        <v>72</v>
      </c>
      <c r="C53" s="1266"/>
      <c r="D53" s="653">
        <v>5474</v>
      </c>
      <c r="E53" s="653">
        <f t="shared" ref="E53:F57" si="38">+H53+K53+N53+Q53</f>
        <v>0</v>
      </c>
      <c r="F53" s="653">
        <v>5474</v>
      </c>
      <c r="G53" s="653">
        <v>623</v>
      </c>
      <c r="H53" s="652"/>
      <c r="I53" s="653">
        <v>623</v>
      </c>
      <c r="J53" s="653">
        <f>(J49+J39)*0.27</f>
        <v>67.5</v>
      </c>
      <c r="K53" s="652"/>
      <c r="L53" s="653">
        <f>+K53+J53</f>
        <v>67.5</v>
      </c>
      <c r="M53" s="652"/>
      <c r="N53" s="652"/>
      <c r="O53" s="652">
        <f>+M53+N53</f>
        <v>0</v>
      </c>
      <c r="P53" s="122">
        <v>4783</v>
      </c>
      <c r="Q53" s="652"/>
      <c r="R53" s="652">
        <f>+Q53+P53</f>
        <v>4783</v>
      </c>
    </row>
    <row r="54" spans="1:18" x14ac:dyDescent="0.25">
      <c r="A54" s="663" t="s">
        <v>75</v>
      </c>
      <c r="B54" s="1266" t="s">
        <v>434</v>
      </c>
      <c r="C54" s="1266"/>
      <c r="D54" s="653">
        <f t="shared" ref="D54:D56" si="39">+G54+J54+M54+P54</f>
        <v>936</v>
      </c>
      <c r="E54" s="653">
        <f t="shared" si="38"/>
        <v>0</v>
      </c>
      <c r="F54" s="653">
        <f t="shared" si="38"/>
        <v>936</v>
      </c>
      <c r="G54" s="652"/>
      <c r="H54" s="652"/>
      <c r="I54" s="653">
        <f t="shared" ref="I54:I57" si="40">+G54+H54</f>
        <v>0</v>
      </c>
      <c r="J54" s="653"/>
      <c r="K54" s="652"/>
      <c r="L54" s="653">
        <f t="shared" ref="L54:L57" si="41">+K54+J54</f>
        <v>0</v>
      </c>
      <c r="M54" s="652"/>
      <c r="N54" s="652"/>
      <c r="O54" s="652">
        <f t="shared" ref="O54:O58" si="42">+M54+N54</f>
        <v>0</v>
      </c>
      <c r="P54" s="652">
        <v>936</v>
      </c>
      <c r="Q54" s="652"/>
      <c r="R54" s="652">
        <f t="shared" ref="R54:R57" si="43">+Q54+P54</f>
        <v>936</v>
      </c>
    </row>
    <row r="55" spans="1:18" x14ac:dyDescent="0.25">
      <c r="A55" s="663" t="s">
        <v>76</v>
      </c>
      <c r="B55" s="1266" t="s">
        <v>435</v>
      </c>
      <c r="C55" s="1266"/>
      <c r="D55" s="653">
        <f t="shared" si="39"/>
        <v>0</v>
      </c>
      <c r="E55" s="653">
        <f t="shared" si="38"/>
        <v>0</v>
      </c>
      <c r="F55" s="653">
        <f t="shared" si="38"/>
        <v>0</v>
      </c>
      <c r="G55" s="652"/>
      <c r="H55" s="652"/>
      <c r="I55" s="653">
        <f t="shared" si="40"/>
        <v>0</v>
      </c>
      <c r="J55" s="653"/>
      <c r="K55" s="652"/>
      <c r="L55" s="653">
        <f t="shared" si="41"/>
        <v>0</v>
      </c>
      <c r="M55" s="652"/>
      <c r="N55" s="652"/>
      <c r="O55" s="652">
        <f t="shared" si="42"/>
        <v>0</v>
      </c>
      <c r="P55" s="652"/>
      <c r="Q55" s="652"/>
      <c r="R55" s="652">
        <f t="shared" si="43"/>
        <v>0</v>
      </c>
    </row>
    <row r="56" spans="1:18" x14ac:dyDescent="0.25">
      <c r="A56" s="663" t="s">
        <v>77</v>
      </c>
      <c r="B56" s="1266" t="s">
        <v>436</v>
      </c>
      <c r="C56" s="1266"/>
      <c r="D56" s="653">
        <f t="shared" si="39"/>
        <v>0</v>
      </c>
      <c r="E56" s="653">
        <f t="shared" si="38"/>
        <v>0</v>
      </c>
      <c r="F56" s="653">
        <f t="shared" si="38"/>
        <v>0</v>
      </c>
      <c r="G56" s="652"/>
      <c r="H56" s="652"/>
      <c r="I56" s="653">
        <f t="shared" si="40"/>
        <v>0</v>
      </c>
      <c r="J56" s="653"/>
      <c r="K56" s="652"/>
      <c r="L56" s="653">
        <f t="shared" si="41"/>
        <v>0</v>
      </c>
      <c r="M56" s="652"/>
      <c r="N56" s="652"/>
      <c r="O56" s="652">
        <f t="shared" si="42"/>
        <v>0</v>
      </c>
      <c r="P56" s="652"/>
      <c r="Q56" s="652"/>
      <c r="R56" s="652">
        <f t="shared" si="43"/>
        <v>0</v>
      </c>
    </row>
    <row r="57" spans="1:18" x14ac:dyDescent="0.25">
      <c r="A57" s="663" t="s">
        <v>79</v>
      </c>
      <c r="B57" s="1266" t="s">
        <v>78</v>
      </c>
      <c r="C57" s="1266"/>
      <c r="D57" s="653">
        <v>12</v>
      </c>
      <c r="E57" s="653"/>
      <c r="F57" s="653">
        <f t="shared" si="38"/>
        <v>12</v>
      </c>
      <c r="G57" s="652">
        <v>12</v>
      </c>
      <c r="H57" s="652"/>
      <c r="I57" s="653">
        <f t="shared" si="40"/>
        <v>12</v>
      </c>
      <c r="J57" s="653"/>
      <c r="K57" s="652"/>
      <c r="L57" s="653">
        <f t="shared" si="41"/>
        <v>0</v>
      </c>
      <c r="M57" s="652"/>
      <c r="N57" s="652"/>
      <c r="O57" s="652">
        <f t="shared" si="42"/>
        <v>0</v>
      </c>
      <c r="P57" s="652"/>
      <c r="Q57" s="652"/>
      <c r="R57" s="652">
        <f t="shared" si="43"/>
        <v>0</v>
      </c>
    </row>
    <row r="58" spans="1:18" s="771" customFormat="1" ht="27" customHeight="1" x14ac:dyDescent="0.25">
      <c r="A58" s="769" t="s">
        <v>80</v>
      </c>
      <c r="B58" s="1267" t="s">
        <v>152</v>
      </c>
      <c r="C58" s="1267"/>
      <c r="D58" s="770">
        <f>SUM(D53:D57)</f>
        <v>6422</v>
      </c>
      <c r="E58" s="770">
        <f t="shared" ref="E58:R58" si="44">SUM(E53:E57)</f>
        <v>0</v>
      </c>
      <c r="F58" s="770">
        <f t="shared" si="44"/>
        <v>6422</v>
      </c>
      <c r="G58" s="770">
        <f t="shared" si="44"/>
        <v>635</v>
      </c>
      <c r="H58" s="770">
        <f t="shared" si="44"/>
        <v>0</v>
      </c>
      <c r="I58" s="770">
        <f t="shared" si="44"/>
        <v>635</v>
      </c>
      <c r="J58" s="770">
        <f t="shared" si="44"/>
        <v>67.5</v>
      </c>
      <c r="K58" s="770">
        <f t="shared" si="44"/>
        <v>0</v>
      </c>
      <c r="L58" s="770">
        <f t="shared" si="44"/>
        <v>67.5</v>
      </c>
      <c r="M58" s="770">
        <f t="shared" si="44"/>
        <v>0</v>
      </c>
      <c r="N58" s="770">
        <f t="shared" si="44"/>
        <v>0</v>
      </c>
      <c r="O58" s="652">
        <f t="shared" si="42"/>
        <v>0</v>
      </c>
      <c r="P58" s="770">
        <f t="shared" si="44"/>
        <v>5719</v>
      </c>
      <c r="Q58" s="770">
        <f t="shared" si="44"/>
        <v>0</v>
      </c>
      <c r="R58" s="770">
        <f t="shared" si="44"/>
        <v>5719</v>
      </c>
    </row>
    <row r="59" spans="1:18" x14ac:dyDescent="0.25">
      <c r="A59" s="664" t="s">
        <v>81</v>
      </c>
      <c r="B59" s="1265" t="s">
        <v>342</v>
      </c>
      <c r="C59" s="1265"/>
      <c r="D59" s="654">
        <f t="shared" ref="D59:R59" si="45">+D58+D52+D49+D39+D36</f>
        <v>27224</v>
      </c>
      <c r="E59" s="654">
        <f t="shared" si="45"/>
        <v>240</v>
      </c>
      <c r="F59" s="654">
        <f t="shared" si="45"/>
        <v>27464</v>
      </c>
      <c r="G59" s="654">
        <f t="shared" si="45"/>
        <v>3109</v>
      </c>
      <c r="H59" s="651">
        <f t="shared" si="45"/>
        <v>-100</v>
      </c>
      <c r="I59" s="651">
        <f t="shared" si="45"/>
        <v>3009</v>
      </c>
      <c r="J59" s="654">
        <f t="shared" si="45"/>
        <v>317.5</v>
      </c>
      <c r="K59" s="654">
        <f t="shared" si="45"/>
        <v>340</v>
      </c>
      <c r="L59" s="654">
        <f t="shared" si="45"/>
        <v>657.5</v>
      </c>
      <c r="M59" s="654">
        <f t="shared" si="45"/>
        <v>360</v>
      </c>
      <c r="N59" s="654">
        <f t="shared" si="45"/>
        <v>0</v>
      </c>
      <c r="O59" s="654">
        <f t="shared" si="45"/>
        <v>360</v>
      </c>
      <c r="P59" s="654">
        <f t="shared" si="45"/>
        <v>23437</v>
      </c>
      <c r="Q59" s="654">
        <f t="shared" si="45"/>
        <v>0</v>
      </c>
      <c r="R59" s="654">
        <f t="shared" si="45"/>
        <v>23437</v>
      </c>
    </row>
    <row r="60" spans="1:18" x14ac:dyDescent="0.25">
      <c r="A60" s="667"/>
      <c r="B60" s="835"/>
      <c r="C60" s="835"/>
      <c r="D60" s="654"/>
      <c r="E60" s="654"/>
      <c r="F60" s="654"/>
      <c r="G60" s="654"/>
      <c r="H60" s="651"/>
      <c r="I60" s="651"/>
      <c r="J60" s="654"/>
      <c r="K60" s="654"/>
      <c r="L60" s="654"/>
      <c r="M60" s="654"/>
      <c r="N60" s="654"/>
      <c r="O60" s="654"/>
      <c r="P60" s="654"/>
      <c r="Q60" s="654"/>
      <c r="R60" s="654"/>
    </row>
    <row r="61" spans="1:18" ht="22.5" customHeight="1" x14ac:dyDescent="0.25">
      <c r="A61" s="663" t="s">
        <v>101</v>
      </c>
      <c r="B61" s="1266" t="s">
        <v>857</v>
      </c>
      <c r="C61" s="1266"/>
      <c r="D61" s="652">
        <v>113</v>
      </c>
      <c r="E61" s="653"/>
      <c r="F61" s="653">
        <f t="shared" ref="F61" si="46">+I61+L61+O61+R61</f>
        <v>113</v>
      </c>
      <c r="G61" s="652">
        <v>113</v>
      </c>
      <c r="H61" s="652"/>
      <c r="I61" s="653">
        <f t="shared" ref="I61" si="47">+G61+H61</f>
        <v>113</v>
      </c>
      <c r="J61" s="652"/>
      <c r="K61" s="652"/>
      <c r="L61" s="652"/>
      <c r="M61" s="652"/>
      <c r="N61" s="652"/>
      <c r="O61" s="652"/>
      <c r="P61" s="652"/>
      <c r="Q61" s="652"/>
      <c r="R61" s="652"/>
    </row>
    <row r="62" spans="1:18" ht="28.5" customHeight="1" x14ac:dyDescent="0.25">
      <c r="A62" s="663" t="s">
        <v>107</v>
      </c>
      <c r="B62" s="1266" t="s">
        <v>164</v>
      </c>
      <c r="C62" s="1266"/>
      <c r="D62" s="652">
        <f>+G62+J62+M62+P62</f>
        <v>10444</v>
      </c>
      <c r="E62" s="652">
        <f t="shared" ref="E62:F64" si="48">+H62+K62+N62+Q62</f>
        <v>0</v>
      </c>
      <c r="F62" s="652">
        <f t="shared" si="48"/>
        <v>10444</v>
      </c>
      <c r="G62" s="652"/>
      <c r="H62" s="652"/>
      <c r="I62" s="652"/>
      <c r="J62" s="652">
        <v>10444</v>
      </c>
      <c r="K62" s="652"/>
      <c r="L62" s="652">
        <v>10444</v>
      </c>
      <c r="M62" s="652"/>
      <c r="N62" s="652"/>
      <c r="O62" s="652"/>
      <c r="P62" s="652"/>
      <c r="Q62" s="652"/>
      <c r="R62" s="652"/>
    </row>
    <row r="63" spans="1:18" ht="25.5" customHeight="1" x14ac:dyDescent="0.25">
      <c r="A63" s="675" t="s">
        <v>107</v>
      </c>
      <c r="B63" s="669"/>
      <c r="C63" s="676" t="s">
        <v>104</v>
      </c>
      <c r="D63" s="652">
        <f>+G63+J63+M63+P63</f>
        <v>0</v>
      </c>
      <c r="E63" s="652">
        <f t="shared" si="48"/>
        <v>0</v>
      </c>
      <c r="F63" s="652">
        <f t="shared" si="48"/>
        <v>0</v>
      </c>
      <c r="G63" s="652"/>
      <c r="H63" s="652"/>
      <c r="I63" s="652"/>
      <c r="J63" s="652"/>
      <c r="K63" s="652"/>
      <c r="L63" s="652"/>
      <c r="M63" s="652"/>
      <c r="N63" s="652"/>
      <c r="O63" s="652"/>
      <c r="P63" s="652"/>
      <c r="Q63" s="652"/>
      <c r="R63" s="652"/>
    </row>
    <row r="64" spans="1:18" s="665" customFormat="1" x14ac:dyDescent="0.25">
      <c r="A64" s="664" t="s">
        <v>108</v>
      </c>
      <c r="B64" s="1265" t="s">
        <v>163</v>
      </c>
      <c r="C64" s="1265"/>
      <c r="D64" s="651">
        <v>10557</v>
      </c>
      <c r="E64" s="651">
        <f t="shared" si="48"/>
        <v>0</v>
      </c>
      <c r="F64" s="651">
        <f>+F62+F61</f>
        <v>10557</v>
      </c>
      <c r="G64" s="651">
        <v>113</v>
      </c>
      <c r="H64" s="651">
        <f>+H62+H61</f>
        <v>0</v>
      </c>
      <c r="I64" s="654">
        <f>+I61</f>
        <v>113</v>
      </c>
      <c r="J64" s="651">
        <f t="shared" ref="J64:R64" si="49">+J62</f>
        <v>10444</v>
      </c>
      <c r="K64" s="651">
        <f t="shared" si="49"/>
        <v>0</v>
      </c>
      <c r="L64" s="651">
        <f t="shared" si="49"/>
        <v>10444</v>
      </c>
      <c r="M64" s="651">
        <f t="shared" si="49"/>
        <v>0</v>
      </c>
      <c r="N64" s="651">
        <f t="shared" si="49"/>
        <v>0</v>
      </c>
      <c r="O64" s="651">
        <f t="shared" si="49"/>
        <v>0</v>
      </c>
      <c r="P64" s="651"/>
      <c r="Q64" s="651">
        <f t="shared" si="49"/>
        <v>0</v>
      </c>
      <c r="R64" s="651">
        <f t="shared" si="49"/>
        <v>0</v>
      </c>
    </row>
    <row r="65" spans="1:18" ht="8.25" customHeight="1" x14ac:dyDescent="0.25">
      <c r="A65" s="677"/>
      <c r="B65" s="678"/>
      <c r="C65" s="678"/>
      <c r="D65" s="679"/>
      <c r="E65" s="679"/>
      <c r="F65" s="679"/>
      <c r="G65" s="679"/>
      <c r="H65" s="679"/>
      <c r="I65" s="679"/>
      <c r="J65" s="679"/>
      <c r="K65" s="679"/>
      <c r="L65" s="679"/>
      <c r="M65" s="679"/>
      <c r="N65" s="679"/>
      <c r="O65" s="679"/>
      <c r="P65" s="679"/>
      <c r="Q65" s="679"/>
      <c r="R65" s="679"/>
    </row>
    <row r="66" spans="1:18" ht="11.25" customHeight="1" x14ac:dyDescent="0.25">
      <c r="A66" s="680"/>
      <c r="B66" s="681"/>
      <c r="C66" s="681"/>
      <c r="D66" s="682"/>
      <c r="E66" s="682"/>
      <c r="F66" s="682"/>
      <c r="G66" s="682"/>
      <c r="H66" s="682"/>
      <c r="I66" s="682"/>
      <c r="J66" s="682"/>
      <c r="K66" s="682"/>
      <c r="L66" s="682"/>
      <c r="M66" s="682"/>
      <c r="N66" s="682"/>
      <c r="O66" s="682"/>
      <c r="P66" s="682"/>
      <c r="Q66" s="682"/>
      <c r="R66" s="682"/>
    </row>
    <row r="67" spans="1:18" ht="15" customHeight="1" x14ac:dyDescent="0.25">
      <c r="A67" s="663" t="s">
        <v>110</v>
      </c>
      <c r="B67" s="1266" t="s">
        <v>109</v>
      </c>
      <c r="C67" s="1266"/>
      <c r="D67" s="652">
        <f>+G67+J67+M67+P67</f>
        <v>0</v>
      </c>
      <c r="E67" s="652">
        <f t="shared" ref="E67:F74" si="50">+H67+K67+N67+Q67</f>
        <v>0</v>
      </c>
      <c r="F67" s="652">
        <f t="shared" si="50"/>
        <v>0</v>
      </c>
      <c r="G67" s="652"/>
      <c r="H67" s="652"/>
      <c r="I67" s="652"/>
      <c r="J67" s="652"/>
      <c r="K67" s="652"/>
      <c r="L67" s="652"/>
      <c r="M67" s="652"/>
      <c r="N67" s="652"/>
      <c r="O67" s="652"/>
      <c r="P67" s="652"/>
      <c r="Q67" s="652"/>
      <c r="R67" s="652"/>
    </row>
    <row r="68" spans="1:18" ht="15" customHeight="1" x14ac:dyDescent="0.25">
      <c r="A68" s="663" t="s">
        <v>111</v>
      </c>
      <c r="B68" s="1266" t="s">
        <v>437</v>
      </c>
      <c r="C68" s="1266"/>
      <c r="D68" s="652">
        <f t="shared" ref="D68:D73" si="51">+G68+J68+M68+P68</f>
        <v>0</v>
      </c>
      <c r="E68" s="652">
        <f t="shared" si="50"/>
        <v>0</v>
      </c>
      <c r="F68" s="652">
        <f t="shared" si="50"/>
        <v>0</v>
      </c>
      <c r="G68" s="652"/>
      <c r="H68" s="652"/>
      <c r="I68" s="652"/>
      <c r="J68" s="652"/>
      <c r="K68" s="652"/>
      <c r="L68" s="652"/>
      <c r="M68" s="652"/>
      <c r="N68" s="652"/>
      <c r="O68" s="652"/>
      <c r="P68" s="652"/>
      <c r="Q68" s="652"/>
      <c r="R68" s="652"/>
    </row>
    <row r="69" spans="1:18" ht="25.5" x14ac:dyDescent="0.25">
      <c r="A69" s="668" t="s">
        <v>111</v>
      </c>
      <c r="B69" s="669"/>
      <c r="C69" s="676" t="s">
        <v>112</v>
      </c>
      <c r="D69" s="652">
        <f t="shared" si="51"/>
        <v>0</v>
      </c>
      <c r="E69" s="652">
        <f t="shared" si="50"/>
        <v>0</v>
      </c>
      <c r="F69" s="652">
        <f t="shared" si="50"/>
        <v>0</v>
      </c>
      <c r="G69" s="652"/>
      <c r="H69" s="652"/>
      <c r="I69" s="652"/>
      <c r="J69" s="652"/>
      <c r="K69" s="652"/>
      <c r="L69" s="652"/>
      <c r="M69" s="652"/>
      <c r="N69" s="652"/>
      <c r="O69" s="652"/>
      <c r="P69" s="652"/>
      <c r="Q69" s="652"/>
      <c r="R69" s="652"/>
    </row>
    <row r="70" spans="1:18" ht="27.75" customHeight="1" x14ac:dyDescent="0.25">
      <c r="A70" s="663" t="s">
        <v>114</v>
      </c>
      <c r="B70" s="1266" t="s">
        <v>113</v>
      </c>
      <c r="C70" s="1266"/>
      <c r="D70" s="652">
        <f t="shared" si="51"/>
        <v>0</v>
      </c>
      <c r="E70" s="652">
        <f>+H70+K70+N70+Q70</f>
        <v>0</v>
      </c>
      <c r="F70" s="652">
        <f t="shared" si="50"/>
        <v>0</v>
      </c>
      <c r="G70" s="652"/>
      <c r="H70" s="652"/>
      <c r="I70" s="652"/>
      <c r="J70" s="652"/>
      <c r="K70" s="652"/>
      <c r="L70" s="652"/>
      <c r="M70" s="652"/>
      <c r="N70" s="652"/>
      <c r="O70" s="652"/>
      <c r="P70" s="652"/>
      <c r="Q70" s="652"/>
      <c r="R70" s="652"/>
    </row>
    <row r="71" spans="1:18" ht="28.5" customHeight="1" x14ac:dyDescent="0.25">
      <c r="A71" s="663" t="s">
        <v>116</v>
      </c>
      <c r="B71" s="1266" t="s">
        <v>115</v>
      </c>
      <c r="C71" s="1266"/>
      <c r="D71" s="652">
        <v>33</v>
      </c>
      <c r="E71" s="652">
        <f t="shared" si="50"/>
        <v>0</v>
      </c>
      <c r="F71" s="652">
        <f t="shared" si="50"/>
        <v>33</v>
      </c>
      <c r="G71" s="652">
        <v>33</v>
      </c>
      <c r="H71" s="652"/>
      <c r="I71" s="652">
        <f>+G71+H71</f>
        <v>33</v>
      </c>
      <c r="J71" s="652"/>
      <c r="K71" s="652"/>
      <c r="L71" s="652"/>
      <c r="M71" s="652"/>
      <c r="N71" s="652"/>
      <c r="O71" s="652"/>
      <c r="P71" s="652"/>
      <c r="Q71" s="652"/>
      <c r="R71" s="652"/>
    </row>
    <row r="72" spans="1:18" ht="15" customHeight="1" x14ac:dyDescent="0.25">
      <c r="A72" s="663" t="s">
        <v>118</v>
      </c>
      <c r="B72" s="1266" t="s">
        <v>117</v>
      </c>
      <c r="C72" s="1266"/>
      <c r="D72" s="652">
        <f t="shared" si="51"/>
        <v>0</v>
      </c>
      <c r="E72" s="652">
        <f t="shared" si="50"/>
        <v>0</v>
      </c>
      <c r="F72" s="652">
        <f t="shared" si="50"/>
        <v>0</v>
      </c>
      <c r="G72" s="652"/>
      <c r="H72" s="652"/>
      <c r="I72" s="652"/>
      <c r="J72" s="652"/>
      <c r="K72" s="652"/>
      <c r="L72" s="652"/>
      <c r="M72" s="652"/>
      <c r="N72" s="652"/>
      <c r="O72" s="652"/>
      <c r="P72" s="652"/>
      <c r="Q72" s="652"/>
      <c r="R72" s="652"/>
    </row>
    <row r="73" spans="1:18" ht="27" customHeight="1" x14ac:dyDescent="0.25">
      <c r="A73" s="663" t="s">
        <v>120</v>
      </c>
      <c r="B73" s="1266" t="s">
        <v>119</v>
      </c>
      <c r="C73" s="1266"/>
      <c r="D73" s="652">
        <f t="shared" si="51"/>
        <v>0</v>
      </c>
      <c r="E73" s="652">
        <f t="shared" si="50"/>
        <v>0</v>
      </c>
      <c r="F73" s="652">
        <f t="shared" si="50"/>
        <v>0</v>
      </c>
      <c r="G73" s="652"/>
      <c r="H73" s="652"/>
      <c r="I73" s="652"/>
      <c r="J73" s="652"/>
      <c r="K73" s="652"/>
      <c r="L73" s="652"/>
      <c r="M73" s="652"/>
      <c r="N73" s="652"/>
      <c r="O73" s="652"/>
      <c r="P73" s="652"/>
      <c r="Q73" s="652"/>
      <c r="R73" s="652"/>
    </row>
    <row r="74" spans="1:18" ht="25.5" customHeight="1" x14ac:dyDescent="0.25">
      <c r="A74" s="663" t="s">
        <v>122</v>
      </c>
      <c r="B74" s="1266" t="s">
        <v>121</v>
      </c>
      <c r="C74" s="1266"/>
      <c r="D74" s="652">
        <v>9</v>
      </c>
      <c r="E74" s="652">
        <f t="shared" si="50"/>
        <v>0</v>
      </c>
      <c r="F74" s="652">
        <f t="shared" si="50"/>
        <v>9</v>
      </c>
      <c r="G74" s="652">
        <v>9</v>
      </c>
      <c r="H74" s="652"/>
      <c r="I74" s="652">
        <f>+G74+H74</f>
        <v>9</v>
      </c>
      <c r="J74" s="652"/>
      <c r="K74" s="652"/>
      <c r="L74" s="652"/>
      <c r="M74" s="652"/>
      <c r="N74" s="652"/>
      <c r="O74" s="652"/>
      <c r="P74" s="652"/>
      <c r="Q74" s="652"/>
      <c r="R74" s="652"/>
    </row>
    <row r="75" spans="1:18" ht="15" customHeight="1" x14ac:dyDescent="0.25">
      <c r="A75" s="664" t="s">
        <v>123</v>
      </c>
      <c r="B75" s="1265" t="s">
        <v>161</v>
      </c>
      <c r="C75" s="1265"/>
      <c r="D75" s="651">
        <f t="shared" ref="D75:F75" si="52">SUM(D67:D74)</f>
        <v>42</v>
      </c>
      <c r="E75" s="651">
        <f t="shared" si="52"/>
        <v>0</v>
      </c>
      <c r="F75" s="651">
        <f t="shared" si="52"/>
        <v>42</v>
      </c>
      <c r="G75" s="651">
        <f t="shared" ref="G75:R75" si="53">(((((+G74+G73)+G72)+G71)+G70)+G68)+G67</f>
        <v>42</v>
      </c>
      <c r="H75" s="651">
        <f t="shared" si="53"/>
        <v>0</v>
      </c>
      <c r="I75" s="651">
        <f t="shared" si="53"/>
        <v>42</v>
      </c>
      <c r="J75" s="651">
        <f t="shared" si="53"/>
        <v>0</v>
      </c>
      <c r="K75" s="651">
        <f t="shared" si="53"/>
        <v>0</v>
      </c>
      <c r="L75" s="651">
        <f t="shared" si="53"/>
        <v>0</v>
      </c>
      <c r="M75" s="651">
        <f t="shared" si="53"/>
        <v>0</v>
      </c>
      <c r="N75" s="651">
        <f t="shared" si="53"/>
        <v>0</v>
      </c>
      <c r="O75" s="651">
        <f t="shared" si="53"/>
        <v>0</v>
      </c>
      <c r="P75" s="651">
        <f t="shared" si="53"/>
        <v>0</v>
      </c>
      <c r="Q75" s="651">
        <f t="shared" si="53"/>
        <v>0</v>
      </c>
      <c r="R75" s="651">
        <f t="shared" si="53"/>
        <v>0</v>
      </c>
    </row>
    <row r="76" spans="1:18" x14ac:dyDescent="0.25">
      <c r="A76" s="667"/>
      <c r="B76" s="976"/>
      <c r="C76" s="976"/>
      <c r="D76" s="656"/>
      <c r="E76" s="656"/>
      <c r="F76" s="657"/>
      <c r="G76" s="655"/>
      <c r="H76" s="656"/>
      <c r="I76" s="657"/>
      <c r="J76" s="655"/>
      <c r="K76" s="656"/>
      <c r="L76" s="657"/>
      <c r="M76" s="655"/>
      <c r="N76" s="656"/>
      <c r="O76" s="657"/>
      <c r="P76" s="655"/>
      <c r="Q76" s="656"/>
      <c r="R76" s="657"/>
    </row>
    <row r="77" spans="1:18" ht="15" hidden="1" customHeight="1" x14ac:dyDescent="0.25">
      <c r="A77" s="663" t="s">
        <v>125</v>
      </c>
      <c r="B77" s="1266" t="s">
        <v>124</v>
      </c>
      <c r="C77" s="1266"/>
      <c r="D77" s="652">
        <f>+G77+J77+M77+P77</f>
        <v>0</v>
      </c>
      <c r="E77" s="652"/>
      <c r="F77" s="652"/>
      <c r="G77" s="652"/>
      <c r="H77" s="652"/>
      <c r="I77" s="652"/>
      <c r="J77" s="652"/>
      <c r="K77" s="652"/>
      <c r="L77" s="652"/>
      <c r="M77" s="652"/>
      <c r="N77" s="652"/>
      <c r="O77" s="652"/>
      <c r="P77" s="652"/>
      <c r="Q77" s="652"/>
      <c r="R77" s="652"/>
    </row>
    <row r="78" spans="1:18" ht="15" hidden="1" customHeight="1" x14ac:dyDescent="0.25">
      <c r="A78" s="663" t="s">
        <v>127</v>
      </c>
      <c r="B78" s="1266" t="s">
        <v>126</v>
      </c>
      <c r="C78" s="1266"/>
      <c r="D78" s="652">
        <f t="shared" ref="D78:D80" si="54">+G78+J78+M78+P78</f>
        <v>0</v>
      </c>
      <c r="E78" s="652"/>
      <c r="F78" s="652"/>
      <c r="G78" s="652"/>
      <c r="H78" s="652"/>
      <c r="I78" s="652"/>
      <c r="J78" s="652"/>
      <c r="K78" s="652"/>
      <c r="L78" s="652"/>
      <c r="M78" s="652"/>
      <c r="N78" s="652"/>
      <c r="O78" s="652"/>
      <c r="P78" s="652"/>
      <c r="Q78" s="652"/>
      <c r="R78" s="652"/>
    </row>
    <row r="79" spans="1:18" ht="15" hidden="1" customHeight="1" x14ac:dyDescent="0.25">
      <c r="A79" s="663" t="s">
        <v>129</v>
      </c>
      <c r="B79" s="1266" t="s">
        <v>438</v>
      </c>
      <c r="C79" s="1266"/>
      <c r="D79" s="652">
        <f t="shared" si="54"/>
        <v>0</v>
      </c>
      <c r="E79" s="652"/>
      <c r="F79" s="652"/>
      <c r="G79" s="652"/>
      <c r="H79" s="652"/>
      <c r="I79" s="652"/>
      <c r="J79" s="652"/>
      <c r="K79" s="652"/>
      <c r="L79" s="652"/>
      <c r="M79" s="652"/>
      <c r="N79" s="652"/>
      <c r="O79" s="652"/>
      <c r="P79" s="652"/>
      <c r="Q79" s="652"/>
      <c r="R79" s="652"/>
    </row>
    <row r="80" spans="1:18" ht="15" hidden="1" customHeight="1" x14ac:dyDescent="0.25">
      <c r="A80" s="663" t="s">
        <v>131</v>
      </c>
      <c r="B80" s="1266" t="s">
        <v>130</v>
      </c>
      <c r="C80" s="1266"/>
      <c r="D80" s="652">
        <f t="shared" si="54"/>
        <v>0</v>
      </c>
      <c r="E80" s="652"/>
      <c r="F80" s="652"/>
      <c r="G80" s="652"/>
      <c r="H80" s="652"/>
      <c r="I80" s="652"/>
      <c r="J80" s="652"/>
      <c r="K80" s="652"/>
      <c r="L80" s="652"/>
      <c r="M80" s="652"/>
      <c r="N80" s="652"/>
      <c r="O80" s="652"/>
      <c r="P80" s="652"/>
      <c r="Q80" s="652"/>
      <c r="R80" s="652"/>
    </row>
    <row r="81" spans="1:18" x14ac:dyDescent="0.25">
      <c r="A81" s="664" t="s">
        <v>132</v>
      </c>
      <c r="B81" s="1265" t="s">
        <v>313</v>
      </c>
      <c r="C81" s="1265"/>
      <c r="D81" s="651">
        <f t="shared" ref="D81:R81" si="55">SUM(D77:D80)</f>
        <v>0</v>
      </c>
      <c r="E81" s="651">
        <f t="shared" si="55"/>
        <v>0</v>
      </c>
      <c r="F81" s="651">
        <f t="shared" si="55"/>
        <v>0</v>
      </c>
      <c r="G81" s="651">
        <f t="shared" si="55"/>
        <v>0</v>
      </c>
      <c r="H81" s="651">
        <f t="shared" si="55"/>
        <v>0</v>
      </c>
      <c r="I81" s="651">
        <f t="shared" si="55"/>
        <v>0</v>
      </c>
      <c r="J81" s="651">
        <f t="shared" si="55"/>
        <v>0</v>
      </c>
      <c r="K81" s="651">
        <f t="shared" si="55"/>
        <v>0</v>
      </c>
      <c r="L81" s="651">
        <f t="shared" si="55"/>
        <v>0</v>
      </c>
      <c r="M81" s="651">
        <f t="shared" si="55"/>
        <v>0</v>
      </c>
      <c r="N81" s="651">
        <f t="shared" si="55"/>
        <v>0</v>
      </c>
      <c r="O81" s="651">
        <f t="shared" si="55"/>
        <v>0</v>
      </c>
      <c r="P81" s="651">
        <f t="shared" si="55"/>
        <v>0</v>
      </c>
      <c r="Q81" s="651">
        <f t="shared" si="55"/>
        <v>0</v>
      </c>
      <c r="R81" s="651">
        <f t="shared" si="55"/>
        <v>0</v>
      </c>
    </row>
    <row r="82" spans="1:18" x14ac:dyDescent="0.25">
      <c r="A82" s="667"/>
      <c r="B82" s="835"/>
      <c r="C82" s="835"/>
      <c r="D82" s="656"/>
      <c r="E82" s="656"/>
      <c r="F82" s="657"/>
      <c r="G82" s="655"/>
      <c r="H82" s="656"/>
      <c r="I82" s="657"/>
      <c r="J82" s="655"/>
      <c r="K82" s="656"/>
      <c r="L82" s="657"/>
      <c r="M82" s="655"/>
      <c r="N82" s="656"/>
      <c r="O82" s="657"/>
      <c r="P82" s="655"/>
      <c r="Q82" s="656"/>
      <c r="R82" s="657"/>
    </row>
    <row r="83" spans="1:18" ht="15" customHeight="1" x14ac:dyDescent="0.25">
      <c r="A83" s="664" t="s">
        <v>134</v>
      </c>
      <c r="B83" s="1265" t="s">
        <v>158</v>
      </c>
      <c r="C83" s="1265"/>
      <c r="D83" s="652"/>
      <c r="E83" s="652"/>
      <c r="F83" s="652"/>
      <c r="G83" s="652"/>
      <c r="H83" s="652"/>
      <c r="I83" s="652"/>
      <c r="J83" s="652"/>
      <c r="K83" s="652"/>
      <c r="L83" s="652"/>
      <c r="M83" s="652"/>
      <c r="N83" s="652"/>
      <c r="O83" s="652"/>
      <c r="P83" s="652"/>
      <c r="Q83" s="652"/>
      <c r="R83" s="652"/>
    </row>
    <row r="84" spans="1:18" ht="15.75" customHeight="1" thickBot="1" x14ac:dyDescent="0.3">
      <c r="A84" s="683"/>
      <c r="B84" s="678"/>
      <c r="C84" s="678"/>
      <c r="D84" s="674"/>
      <c r="E84" s="674"/>
      <c r="F84" s="684"/>
      <c r="G84" s="685"/>
      <c r="H84" s="674"/>
      <c r="I84" s="684"/>
      <c r="J84" s="685"/>
      <c r="K84" s="674"/>
      <c r="L84" s="684"/>
      <c r="M84" s="685"/>
      <c r="N84" s="674"/>
      <c r="O84" s="684"/>
      <c r="P84" s="685"/>
      <c r="Q84" s="674"/>
      <c r="R84" s="684"/>
    </row>
    <row r="85" spans="1:18" s="689" customFormat="1" ht="40.5" customHeight="1" thickBot="1" x14ac:dyDescent="0.3">
      <c r="A85" s="686" t="s">
        <v>135</v>
      </c>
      <c r="B85" s="1269" t="s">
        <v>157</v>
      </c>
      <c r="C85" s="1270"/>
      <c r="D85" s="687">
        <f t="shared" ref="D85:R85" si="56">+D83+D81+D75+D64+D59+D26+D24</f>
        <v>187368</v>
      </c>
      <c r="E85" s="687">
        <f t="shared" si="56"/>
        <v>269</v>
      </c>
      <c r="F85" s="687">
        <f t="shared" si="56"/>
        <v>187637</v>
      </c>
      <c r="G85" s="687">
        <f t="shared" si="56"/>
        <v>151175</v>
      </c>
      <c r="H85" s="687">
        <f t="shared" si="56"/>
        <v>-73</v>
      </c>
      <c r="I85" s="687">
        <f>+I83+I81+I75+I59+I26+I24</f>
        <v>150591</v>
      </c>
      <c r="J85" s="687">
        <f t="shared" si="56"/>
        <v>10761.5</v>
      </c>
      <c r="K85" s="687">
        <f t="shared" si="56"/>
        <v>340</v>
      </c>
      <c r="L85" s="687">
        <f t="shared" si="56"/>
        <v>11101.5</v>
      </c>
      <c r="M85" s="687">
        <f t="shared" si="56"/>
        <v>2394</v>
      </c>
      <c r="N85" s="687">
        <f>+N83+N81+N75+N64+N59+N26+N24</f>
        <v>0</v>
      </c>
      <c r="O85" s="687">
        <f t="shared" si="56"/>
        <v>2394</v>
      </c>
      <c r="P85" s="687">
        <f t="shared" si="56"/>
        <v>23437</v>
      </c>
      <c r="Q85" s="687">
        <f t="shared" si="56"/>
        <v>0</v>
      </c>
      <c r="R85" s="688">
        <f t="shared" si="56"/>
        <v>23437</v>
      </c>
    </row>
  </sheetData>
  <mergeCells count="76">
    <mergeCell ref="B85:C85"/>
    <mergeCell ref="B61:C61"/>
    <mergeCell ref="B64:C64"/>
    <mergeCell ref="B67:C67"/>
    <mergeCell ref="B70:C70"/>
    <mergeCell ref="B77:C77"/>
    <mergeCell ref="B73:C73"/>
    <mergeCell ref="B74:C74"/>
    <mergeCell ref="B78:C78"/>
    <mergeCell ref="B79:C79"/>
    <mergeCell ref="B81:C81"/>
    <mergeCell ref="B80:C80"/>
    <mergeCell ref="B83:C83"/>
    <mergeCell ref="B14:C14"/>
    <mergeCell ref="B44:C44"/>
    <mergeCell ref="B68:C68"/>
    <mergeCell ref="B75:C75"/>
    <mergeCell ref="B57:C57"/>
    <mergeCell ref="B47:C47"/>
    <mergeCell ref="B48:C48"/>
    <mergeCell ref="B49:C49"/>
    <mergeCell ref="B50:C50"/>
    <mergeCell ref="B51:C51"/>
    <mergeCell ref="B52:C52"/>
    <mergeCell ref="B53:C53"/>
    <mergeCell ref="B54:C54"/>
    <mergeCell ref="B33:C33"/>
    <mergeCell ref="B34:C34"/>
    <mergeCell ref="B35:C35"/>
    <mergeCell ref="B13:C13"/>
    <mergeCell ref="A2:A4"/>
    <mergeCell ref="B2:C4"/>
    <mergeCell ref="B5:C5"/>
    <mergeCell ref="B6:C6"/>
    <mergeCell ref="B7:C7"/>
    <mergeCell ref="B8:C8"/>
    <mergeCell ref="B9:C9"/>
    <mergeCell ref="B10:C10"/>
    <mergeCell ref="B11:C11"/>
    <mergeCell ref="B12:C12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36:C36"/>
    <mergeCell ref="B37:C37"/>
    <mergeCell ref="B72:C72"/>
    <mergeCell ref="B62:C62"/>
    <mergeCell ref="B59:C59"/>
    <mergeCell ref="B58:C58"/>
    <mergeCell ref="B71:C71"/>
    <mergeCell ref="B39:C39"/>
    <mergeCell ref="B40:C40"/>
    <mergeCell ref="B41:C41"/>
    <mergeCell ref="B42:C42"/>
    <mergeCell ref="B56:C56"/>
    <mergeCell ref="B43:C43"/>
    <mergeCell ref="B55:C55"/>
    <mergeCell ref="B38:C38"/>
    <mergeCell ref="D2:F3"/>
    <mergeCell ref="G3:I3"/>
    <mergeCell ref="J3:L3"/>
    <mergeCell ref="M3:O3"/>
    <mergeCell ref="P3:R3"/>
    <mergeCell ref="P1:R1"/>
    <mergeCell ref="G2:I2"/>
    <mergeCell ref="M2:O2"/>
    <mergeCell ref="P2:R2"/>
    <mergeCell ref="J2:L2"/>
  </mergeCells>
  <pageMargins left="0.31496062992125984" right="0.11811023622047245" top="0.74803149606299213" bottom="0.74803149606299213" header="0.31496062992125984" footer="0.31496062992125984"/>
  <pageSetup paperSize="9" scale="80" orientation="landscape" cellComments="asDisplayed" r:id="rId1"/>
  <headerFooter>
    <oddHeader>&amp;C&amp;"Times New Roman,Félkövér"&amp;12Martonvásár Város Önkormányzatának kiadásai 2018.
Brunszvik Teréz Óvoda&amp;R&amp;"Times New Roman,Félkövér"&amp;12 6/b. melléklet</oddHeader>
  </headerFooter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9"/>
  <sheetViews>
    <sheetView tabSelected="1" topLeftCell="A4" zoomScaleNormal="100" workbookViewId="0">
      <selection activeCell="C6" sqref="C6:D6"/>
    </sheetView>
  </sheetViews>
  <sheetFormatPr defaultColWidth="9.140625" defaultRowHeight="15.75" x14ac:dyDescent="0.25"/>
  <cols>
    <col min="1" max="1" width="5.42578125" style="131" customWidth="1"/>
    <col min="2" max="2" width="54.85546875" style="125" customWidth="1"/>
    <col min="3" max="3" width="10.42578125" style="125" customWidth="1"/>
    <col min="4" max="4" width="9.140625" style="125" customWidth="1"/>
    <col min="5" max="5" width="9" style="125" customWidth="1"/>
    <col min="6" max="20" width="9.140625" style="88"/>
    <col min="21" max="16384" width="9.140625" style="125"/>
  </cols>
  <sheetData>
    <row r="1" spans="1:20" ht="15.95" customHeight="1" x14ac:dyDescent="0.25">
      <c r="A1" s="82" t="s">
        <v>301</v>
      </c>
      <c r="B1" s="83"/>
      <c r="C1" s="83"/>
      <c r="D1" s="83"/>
      <c r="E1" s="83"/>
    </row>
    <row r="2" spans="1:20" ht="15.95" customHeight="1" x14ac:dyDescent="0.25">
      <c r="A2" s="1068" t="s">
        <v>302</v>
      </c>
      <c r="B2" s="1068"/>
      <c r="D2" s="513"/>
      <c r="E2" s="748" t="s">
        <v>387</v>
      </c>
    </row>
    <row r="3" spans="1:20" ht="35.25" customHeight="1" x14ac:dyDescent="0.25">
      <c r="A3" s="132"/>
      <c r="B3" s="132" t="s">
        <v>182</v>
      </c>
      <c r="C3" s="150" t="s">
        <v>943</v>
      </c>
      <c r="D3" s="64" t="s">
        <v>786</v>
      </c>
      <c r="E3" s="64" t="s">
        <v>942</v>
      </c>
      <c r="O3" s="125"/>
      <c r="P3" s="125"/>
      <c r="Q3" s="125"/>
      <c r="R3" s="125"/>
      <c r="S3" s="125"/>
      <c r="T3" s="125"/>
    </row>
    <row r="4" spans="1:20" s="144" customFormat="1" x14ac:dyDescent="0.25">
      <c r="A4" s="142" t="s">
        <v>399</v>
      </c>
      <c r="B4" s="136" t="s">
        <v>398</v>
      </c>
      <c r="C4" s="148">
        <f>+C7+C8+C13+C14</f>
        <v>1003151</v>
      </c>
      <c r="D4" s="148">
        <f t="shared" ref="D4:E4" si="0">+D7+D8+D13+D14</f>
        <v>20396</v>
      </c>
      <c r="E4" s="148">
        <f t="shared" si="0"/>
        <v>1023547</v>
      </c>
      <c r="F4" s="143"/>
      <c r="G4" s="143"/>
      <c r="H4" s="143"/>
      <c r="I4" s="143"/>
      <c r="J4" s="143"/>
      <c r="K4" s="143"/>
      <c r="L4" s="143"/>
      <c r="M4" s="143"/>
      <c r="N4" s="143"/>
    </row>
    <row r="5" spans="1:20" s="126" customFormat="1" ht="12" customHeight="1" x14ac:dyDescent="0.2">
      <c r="A5" s="94" t="s">
        <v>396</v>
      </c>
      <c r="B5" s="147" t="s">
        <v>330</v>
      </c>
      <c r="C5" s="92">
        <f>+'3.mell. Bevétel'!C11</f>
        <v>454373</v>
      </c>
      <c r="D5" s="92">
        <f>+'3.mell. Bevétel'!D11</f>
        <v>11394</v>
      </c>
      <c r="E5" s="92">
        <f>+'3.mell. Bevétel'!E11</f>
        <v>465767</v>
      </c>
      <c r="F5" s="88"/>
      <c r="G5" s="88"/>
      <c r="H5" s="88"/>
      <c r="I5" s="88"/>
      <c r="J5" s="88"/>
      <c r="K5" s="88"/>
      <c r="L5" s="88"/>
      <c r="M5" s="88"/>
      <c r="N5" s="88"/>
    </row>
    <row r="6" spans="1:20" s="126" customFormat="1" ht="26.25" customHeight="1" x14ac:dyDescent="0.2">
      <c r="A6" s="146" t="s">
        <v>397</v>
      </c>
      <c r="B6" s="147" t="s">
        <v>205</v>
      </c>
      <c r="C6" s="92">
        <f>+'3.mell. Bevétel'!C12+'6.mell Int.összesen'!D15</f>
        <v>32261</v>
      </c>
      <c r="D6" s="92">
        <f>+'3.mell. Bevétel'!D12+'6.mell Int.összesen'!E15</f>
        <v>652</v>
      </c>
      <c r="E6" s="92">
        <f>+'3.mell. Bevétel'!E12+'6.mell Int.összesen'!F15</f>
        <v>32913</v>
      </c>
      <c r="F6" s="88"/>
      <c r="G6" s="88"/>
      <c r="H6" s="88"/>
      <c r="I6" s="88"/>
      <c r="J6" s="88"/>
      <c r="K6" s="88"/>
      <c r="L6" s="88"/>
      <c r="M6" s="88"/>
      <c r="N6" s="88"/>
    </row>
    <row r="7" spans="1:20" s="145" customFormat="1" ht="12" customHeight="1" x14ac:dyDescent="0.2">
      <c r="A7" s="66" t="s">
        <v>307</v>
      </c>
      <c r="B7" s="58" t="s">
        <v>328</v>
      </c>
      <c r="C7" s="76">
        <f>+C5+C6</f>
        <v>486634</v>
      </c>
      <c r="D7" s="76">
        <f t="shared" ref="D7:E7" si="1">+D5+D6</f>
        <v>12046</v>
      </c>
      <c r="E7" s="76">
        <f t="shared" si="1"/>
        <v>498680</v>
      </c>
      <c r="F7" s="143"/>
      <c r="G7" s="143"/>
      <c r="H7" s="143"/>
      <c r="I7" s="143"/>
      <c r="J7" s="143"/>
      <c r="K7" s="143"/>
      <c r="L7" s="143"/>
      <c r="M7" s="143"/>
      <c r="N7" s="143"/>
    </row>
    <row r="8" spans="1:20" s="126" customFormat="1" ht="12" customHeight="1" x14ac:dyDescent="0.2">
      <c r="A8" s="138" t="s">
        <v>400</v>
      </c>
      <c r="B8" s="58" t="s">
        <v>334</v>
      </c>
      <c r="C8" s="76">
        <f>SUM(C9:C12)</f>
        <v>288500</v>
      </c>
      <c r="D8" s="76">
        <f t="shared" ref="D8:E8" si="2">SUM(D9:D12)</f>
        <v>0</v>
      </c>
      <c r="E8" s="76">
        <f t="shared" si="2"/>
        <v>288500</v>
      </c>
      <c r="F8" s="88"/>
      <c r="G8" s="88"/>
      <c r="H8" s="88"/>
      <c r="I8" s="88"/>
      <c r="J8" s="88"/>
      <c r="K8" s="88"/>
      <c r="L8" s="88"/>
      <c r="M8" s="88"/>
      <c r="N8" s="88"/>
    </row>
    <row r="9" spans="1:20" s="126" customFormat="1" ht="12" customHeight="1" x14ac:dyDescent="0.2">
      <c r="A9" s="94" t="s">
        <v>401</v>
      </c>
      <c r="B9" s="147" t="s">
        <v>332</v>
      </c>
      <c r="C9" s="76">
        <f>+'3.mell. Bevétel'!C40</f>
        <v>0</v>
      </c>
      <c r="D9" s="76">
        <f>+'3.mell. Bevétel'!D40</f>
        <v>0</v>
      </c>
      <c r="E9" s="76">
        <f>+'3.mell. Bevétel'!E40</f>
        <v>0</v>
      </c>
      <c r="F9" s="88"/>
      <c r="G9" s="88"/>
      <c r="H9" s="88"/>
      <c r="I9" s="88"/>
      <c r="J9" s="88"/>
      <c r="K9" s="88"/>
      <c r="L9" s="88"/>
      <c r="M9" s="88"/>
      <c r="N9" s="88"/>
    </row>
    <row r="10" spans="1:20" s="126" customFormat="1" ht="12" customHeight="1" x14ac:dyDescent="0.2">
      <c r="A10" s="146" t="s">
        <v>402</v>
      </c>
      <c r="B10" s="147" t="s">
        <v>220</v>
      </c>
      <c r="C10" s="76">
        <f>+'3.mell. Bevétel'!C43</f>
        <v>129000</v>
      </c>
      <c r="D10" s="76">
        <f>+'3.mell. Bevétel'!D43</f>
        <v>0</v>
      </c>
      <c r="E10" s="76">
        <f>+'3.mell. Bevétel'!E43</f>
        <v>129000</v>
      </c>
      <c r="F10" s="88"/>
      <c r="G10" s="88"/>
      <c r="H10" s="88"/>
      <c r="I10" s="88"/>
      <c r="J10" s="88"/>
      <c r="K10" s="88"/>
      <c r="L10" s="88"/>
      <c r="M10" s="88"/>
      <c r="N10" s="88"/>
    </row>
    <row r="11" spans="1:20" s="126" customFormat="1" ht="12" customHeight="1" x14ac:dyDescent="0.2">
      <c r="A11" s="94" t="s">
        <v>403</v>
      </c>
      <c r="B11" s="147" t="s">
        <v>333</v>
      </c>
      <c r="C11" s="76">
        <f>+'3.mell. Bevétel'!C52</f>
        <v>154000</v>
      </c>
      <c r="D11" s="76">
        <f>+'3.mell. Bevétel'!D52</f>
        <v>0</v>
      </c>
      <c r="E11" s="76">
        <f>+'3.mell. Bevétel'!E52</f>
        <v>154000</v>
      </c>
      <c r="F11" s="88"/>
      <c r="G11" s="88"/>
      <c r="H11" s="88"/>
      <c r="I11" s="88"/>
      <c r="J11" s="88"/>
      <c r="K11" s="88"/>
      <c r="L11" s="88"/>
      <c r="M11" s="88"/>
      <c r="N11" s="88"/>
    </row>
    <row r="12" spans="1:20" s="126" customFormat="1" ht="12" customHeight="1" x14ac:dyDescent="0.2">
      <c r="A12" s="146" t="s">
        <v>404</v>
      </c>
      <c r="B12" s="147" t="s">
        <v>233</v>
      </c>
      <c r="C12" s="76">
        <f>+'3.mell. Bevétel'!C53</f>
        <v>5500</v>
      </c>
      <c r="D12" s="76">
        <f>+'3.mell. Bevétel'!D53</f>
        <v>0</v>
      </c>
      <c r="E12" s="76">
        <f>+'3.mell. Bevétel'!E53</f>
        <v>5500</v>
      </c>
      <c r="F12" s="88"/>
      <c r="G12" s="88"/>
      <c r="H12" s="88"/>
      <c r="I12" s="88"/>
      <c r="J12" s="88"/>
      <c r="K12" s="88"/>
      <c r="L12" s="88"/>
      <c r="M12" s="88"/>
      <c r="N12" s="88"/>
    </row>
    <row r="13" spans="1:20" s="126" customFormat="1" ht="12" customHeight="1" x14ac:dyDescent="0.2">
      <c r="A13" s="66">
        <v>3</v>
      </c>
      <c r="B13" s="58" t="s">
        <v>280</v>
      </c>
      <c r="C13" s="76">
        <f>+'3.mell. Bevétel'!C65+'6.mell Int.összesen'!D36</f>
        <v>226324</v>
      </c>
      <c r="D13" s="76">
        <f>+'3.mell. Bevétel'!D65+'6.mell Int.összesen'!E36</f>
        <v>8350</v>
      </c>
      <c r="E13" s="76">
        <f>+'3.mell. Bevétel'!E65+'6.mell Int.összesen'!F36</f>
        <v>234674</v>
      </c>
      <c r="F13" s="88"/>
      <c r="G13" s="88"/>
      <c r="H13" s="88"/>
      <c r="I13" s="88"/>
      <c r="J13" s="88"/>
      <c r="K13" s="88"/>
      <c r="L13" s="88"/>
      <c r="M13" s="88"/>
      <c r="N13" s="88"/>
    </row>
    <row r="14" spans="1:20" s="126" customFormat="1" ht="12" customHeight="1" x14ac:dyDescent="0.2">
      <c r="A14" s="138">
        <v>4</v>
      </c>
      <c r="B14" s="58" t="s">
        <v>278</v>
      </c>
      <c r="C14" s="76">
        <f>+'3.mell. Bevétel'!C69+'6.mell Int.összesen'!D39</f>
        <v>1693</v>
      </c>
      <c r="D14" s="76">
        <f>+'3.mell. Bevétel'!D69+'6.mell Int.összesen'!E39</f>
        <v>0</v>
      </c>
      <c r="E14" s="76">
        <f>+'3.mell. Bevétel'!E69+'6.mell Int.összesen'!F39</f>
        <v>1693</v>
      </c>
      <c r="F14" s="88"/>
      <c r="G14" s="88"/>
      <c r="H14" s="88"/>
      <c r="I14" s="88"/>
      <c r="J14" s="88"/>
      <c r="K14" s="88"/>
      <c r="L14" s="88"/>
      <c r="M14" s="88"/>
      <c r="N14" s="88"/>
    </row>
    <row r="15" spans="1:20" s="145" customFormat="1" ht="12" customHeight="1" x14ac:dyDescent="0.2">
      <c r="A15" s="67" t="s">
        <v>405</v>
      </c>
      <c r="B15" s="136" t="s">
        <v>279</v>
      </c>
      <c r="C15" s="80">
        <f>SUM(C16:C18)</f>
        <v>664949</v>
      </c>
      <c r="D15" s="80">
        <f t="shared" ref="D15:E15" si="3">SUM(D16:D18)</f>
        <v>-169813</v>
      </c>
      <c r="E15" s="80">
        <f t="shared" si="3"/>
        <v>495136</v>
      </c>
      <c r="F15" s="143"/>
      <c r="G15" s="143"/>
      <c r="H15" s="143"/>
      <c r="I15" s="143"/>
      <c r="J15" s="143"/>
      <c r="K15" s="143"/>
      <c r="L15" s="143"/>
      <c r="M15" s="143"/>
      <c r="N15" s="143"/>
    </row>
    <row r="16" spans="1:20" s="126" customFormat="1" ht="12" customHeight="1" x14ac:dyDescent="0.2">
      <c r="A16" s="138">
        <v>1</v>
      </c>
      <c r="B16" s="58" t="s">
        <v>329</v>
      </c>
      <c r="C16" s="76">
        <f>+'3.mell. Bevétel'!C37+'6.mell Int.összesen'!D41</f>
        <v>664949</v>
      </c>
      <c r="D16" s="76">
        <f>+'3.mell. Bevétel'!D37+'6.mell Int.összesen'!E27</f>
        <v>-169813</v>
      </c>
      <c r="E16" s="76">
        <f>+'3.mell. Bevétel'!E37+'6.mell Int.összesen'!F27</f>
        <v>495136</v>
      </c>
      <c r="F16" s="88"/>
      <c r="G16" s="88"/>
      <c r="H16" s="88"/>
      <c r="I16" s="88"/>
      <c r="J16" s="88"/>
      <c r="K16" s="88"/>
      <c r="L16" s="88"/>
      <c r="M16" s="88"/>
      <c r="N16" s="88"/>
    </row>
    <row r="17" spans="1:20" s="126" customFormat="1" ht="12" customHeight="1" x14ac:dyDescent="0.2">
      <c r="A17" s="66">
        <v>2</v>
      </c>
      <c r="B17" s="58" t="s">
        <v>279</v>
      </c>
      <c r="C17" s="76">
        <f>+'3.mell. Bevétel'!C66</f>
        <v>0</v>
      </c>
      <c r="D17" s="76">
        <f>+'3.mell. Bevétel'!D66</f>
        <v>0</v>
      </c>
      <c r="E17" s="76">
        <f>+'3.mell. Bevétel'!E66</f>
        <v>0</v>
      </c>
      <c r="F17" s="88"/>
      <c r="G17" s="88"/>
      <c r="H17" s="88"/>
      <c r="I17" s="88"/>
      <c r="J17" s="88"/>
      <c r="K17" s="88"/>
      <c r="L17" s="88"/>
      <c r="M17" s="88"/>
      <c r="N17" s="88"/>
    </row>
    <row r="18" spans="1:20" s="126" customFormat="1" ht="12" customHeight="1" x14ac:dyDescent="0.2">
      <c r="A18" s="138">
        <v>3</v>
      </c>
      <c r="B18" s="58" t="s">
        <v>283</v>
      </c>
      <c r="C18" s="76">
        <f>+'3.mell. Bevétel'!C71</f>
        <v>0</v>
      </c>
      <c r="D18" s="76">
        <f>+'3.mell. Bevétel'!D71</f>
        <v>0</v>
      </c>
      <c r="E18" s="76">
        <f>+'3.mell. Bevétel'!E71</f>
        <v>0</v>
      </c>
      <c r="F18" s="88"/>
      <c r="G18" s="88"/>
      <c r="H18" s="88"/>
      <c r="I18" s="88"/>
      <c r="J18" s="88"/>
      <c r="K18" s="88"/>
      <c r="L18" s="88"/>
      <c r="M18" s="88"/>
      <c r="N18" s="88"/>
    </row>
    <row r="19" spans="1:20" s="126" customFormat="1" ht="12" customHeight="1" x14ac:dyDescent="0.2">
      <c r="A19" s="66"/>
      <c r="B19" s="59" t="s">
        <v>384</v>
      </c>
      <c r="C19" s="80">
        <f>+C15+C4</f>
        <v>1668100</v>
      </c>
      <c r="D19" s="80">
        <f t="shared" ref="D19:E19" si="4">+D15+D4</f>
        <v>-149417</v>
      </c>
      <c r="E19" s="80">
        <f t="shared" si="4"/>
        <v>1518683</v>
      </c>
      <c r="F19" s="88"/>
      <c r="G19" s="88"/>
      <c r="H19" s="88"/>
      <c r="I19" s="88"/>
      <c r="J19" s="88"/>
      <c r="K19" s="88"/>
      <c r="L19" s="88"/>
      <c r="M19" s="88"/>
      <c r="N19" s="88"/>
    </row>
    <row r="20" spans="1:20" s="126" customFormat="1" ht="12" customHeight="1" x14ac:dyDescent="0.2">
      <c r="A20" s="142" t="s">
        <v>406</v>
      </c>
      <c r="B20" s="59" t="s">
        <v>286</v>
      </c>
      <c r="C20" s="80">
        <f>+C22+C21</f>
        <v>2384628</v>
      </c>
      <c r="D20" s="80">
        <f t="shared" ref="D20:E20" si="5">+D22+D21</f>
        <v>259022</v>
      </c>
      <c r="E20" s="80">
        <f t="shared" si="5"/>
        <v>2643650</v>
      </c>
      <c r="F20" s="88"/>
      <c r="G20" s="88"/>
      <c r="H20" s="88"/>
      <c r="I20" s="88"/>
      <c r="J20" s="88"/>
      <c r="K20" s="88"/>
      <c r="L20" s="88"/>
      <c r="M20" s="88"/>
      <c r="N20" s="88"/>
    </row>
    <row r="21" spans="1:20" s="126" customFormat="1" ht="12" customHeight="1" x14ac:dyDescent="0.2">
      <c r="A21" s="66">
        <v>1</v>
      </c>
      <c r="B21" s="58" t="s">
        <v>744</v>
      </c>
      <c r="C21" s="76">
        <f>+'3.mell. Bevétel'!C74</f>
        <v>1230000</v>
      </c>
      <c r="D21" s="76">
        <f>+'3.mell. Bevétel'!D74</f>
        <v>0</v>
      </c>
      <c r="E21" s="76">
        <f>+'3.mell. Bevétel'!E74</f>
        <v>1230000</v>
      </c>
      <c r="F21" s="88"/>
      <c r="G21" s="88"/>
      <c r="H21" s="88"/>
      <c r="I21" s="88"/>
      <c r="J21" s="88"/>
      <c r="K21" s="88"/>
      <c r="L21" s="88"/>
      <c r="M21" s="88"/>
      <c r="N21" s="88"/>
    </row>
    <row r="22" spans="1:20" s="126" customFormat="1" ht="12" customHeight="1" x14ac:dyDescent="0.2">
      <c r="A22" s="138">
        <v>2</v>
      </c>
      <c r="B22" s="58" t="s">
        <v>335</v>
      </c>
      <c r="C22" s="76">
        <f>SUM(C23:C24)</f>
        <v>1154628</v>
      </c>
      <c r="D22" s="76">
        <f>SUM(D23:D24)</f>
        <v>259022</v>
      </c>
      <c r="E22" s="76">
        <f>SUM(E23:E24)</f>
        <v>1413650</v>
      </c>
      <c r="F22" s="88"/>
      <c r="G22" s="88"/>
      <c r="H22" s="88"/>
      <c r="I22" s="88"/>
      <c r="J22" s="88"/>
      <c r="K22" s="88"/>
      <c r="L22" s="88"/>
      <c r="M22" s="88"/>
      <c r="N22" s="88"/>
    </row>
    <row r="23" spans="1:20" s="126" customFormat="1" ht="12" customHeight="1" x14ac:dyDescent="0.2">
      <c r="A23" s="66" t="s">
        <v>396</v>
      </c>
      <c r="B23" s="147" t="s">
        <v>382</v>
      </c>
      <c r="C23" s="92">
        <f>+'3.mell. Bevétel'!C76+'6.mell Int.összesen'!D46</f>
        <v>531720</v>
      </c>
      <c r="D23" s="92">
        <f>+'3.mell. Bevétel'!D76+'6.mell Int.összesen'!E46</f>
        <v>259022</v>
      </c>
      <c r="E23" s="92">
        <f>+'3.mell. Bevétel'!E76+'6.mell Int.összesen'!F46</f>
        <v>790742</v>
      </c>
      <c r="F23" s="88"/>
      <c r="G23" s="88"/>
      <c r="H23" s="88"/>
      <c r="I23" s="88"/>
      <c r="J23" s="88"/>
      <c r="K23" s="88"/>
      <c r="L23" s="88"/>
      <c r="M23" s="88"/>
      <c r="N23" s="88"/>
    </row>
    <row r="24" spans="1:20" s="126" customFormat="1" ht="12" customHeight="1" x14ac:dyDescent="0.2">
      <c r="A24" s="138" t="s">
        <v>397</v>
      </c>
      <c r="B24" s="147" t="s">
        <v>383</v>
      </c>
      <c r="C24" s="92">
        <f>+'3.mell. Bevétel'!C77</f>
        <v>622908</v>
      </c>
      <c r="D24" s="92">
        <f>+'3.mell. Bevétel'!D77</f>
        <v>0</v>
      </c>
      <c r="E24" s="92">
        <f>+'3.mell. Bevétel'!E77</f>
        <v>622908</v>
      </c>
      <c r="F24" s="88"/>
      <c r="G24" s="88"/>
      <c r="H24" s="88"/>
      <c r="I24" s="88"/>
      <c r="J24" s="88"/>
      <c r="K24" s="88"/>
      <c r="L24" s="88"/>
      <c r="M24" s="88"/>
      <c r="N24" s="88"/>
    </row>
    <row r="25" spans="1:20" s="126" customFormat="1" ht="12.75" customHeight="1" x14ac:dyDescent="0.2">
      <c r="A25" s="1063" t="s">
        <v>385</v>
      </c>
      <c r="B25" s="1064"/>
      <c r="C25" s="149">
        <f>+C20+C15+C4</f>
        <v>4052728</v>
      </c>
      <c r="D25" s="149">
        <f t="shared" ref="D25:E25" si="6">+D20+D15+D4</f>
        <v>109605</v>
      </c>
      <c r="E25" s="149">
        <f t="shared" si="6"/>
        <v>4162333</v>
      </c>
      <c r="F25" s="88"/>
      <c r="G25" s="88"/>
      <c r="H25" s="88"/>
      <c r="I25" s="88"/>
      <c r="J25" s="88"/>
      <c r="K25" s="88"/>
      <c r="L25" s="88"/>
      <c r="M25" s="88"/>
      <c r="N25" s="88"/>
    </row>
    <row r="26" spans="1:20" s="126" customFormat="1" ht="12" customHeight="1" x14ac:dyDescent="0.2">
      <c r="A26" s="124"/>
      <c r="B26" s="79"/>
      <c r="C26" s="139"/>
      <c r="D26" s="79"/>
      <c r="E26" s="79"/>
      <c r="F26" s="88"/>
      <c r="G26" s="88"/>
      <c r="H26" s="88"/>
      <c r="I26" s="88"/>
      <c r="J26" s="88"/>
      <c r="K26" s="88"/>
      <c r="L26" s="88"/>
      <c r="M26" s="88"/>
      <c r="N26" s="88"/>
    </row>
    <row r="27" spans="1:20" s="126" customFormat="1" ht="16.5" customHeight="1" x14ac:dyDescent="0.2">
      <c r="A27" s="1069" t="s">
        <v>308</v>
      </c>
      <c r="B27" s="1070"/>
      <c r="C27" s="1070"/>
      <c r="D27" s="1070"/>
      <c r="E27" s="1070"/>
      <c r="F27" s="88"/>
      <c r="G27" s="88"/>
      <c r="H27" s="88"/>
      <c r="I27" s="88"/>
      <c r="J27" s="88"/>
      <c r="K27" s="88"/>
      <c r="L27" s="88"/>
      <c r="M27" s="88"/>
      <c r="N27" s="88"/>
    </row>
    <row r="28" spans="1:20" s="126" customFormat="1" ht="15" customHeight="1" x14ac:dyDescent="0.25">
      <c r="A28" s="1068" t="s">
        <v>309</v>
      </c>
      <c r="B28" s="1068"/>
      <c r="C28" s="127"/>
      <c r="D28" s="127"/>
      <c r="E28" s="127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</row>
    <row r="29" spans="1:20" ht="30" customHeight="1" x14ac:dyDescent="0.25">
      <c r="A29" s="133"/>
      <c r="B29" s="133" t="s">
        <v>182</v>
      </c>
      <c r="C29" s="150" t="s">
        <v>943</v>
      </c>
      <c r="D29" s="64" t="s">
        <v>786</v>
      </c>
      <c r="E29" s="64" t="s">
        <v>942</v>
      </c>
    </row>
    <row r="30" spans="1:20" ht="16.5" customHeight="1" x14ac:dyDescent="0.25">
      <c r="A30" s="142" t="s">
        <v>399</v>
      </c>
      <c r="B30" s="136" t="s">
        <v>410</v>
      </c>
      <c r="C30" s="148">
        <f>+C31+C32+C33+C34+C35+C36</f>
        <v>1614931</v>
      </c>
      <c r="D30" s="148">
        <f t="shared" ref="D30:E30" si="7">+D31+D32+D33+D34+D35+D36</f>
        <v>72318</v>
      </c>
      <c r="E30" s="148">
        <f t="shared" si="7"/>
        <v>1687249.3399999999</v>
      </c>
    </row>
    <row r="31" spans="1:20" ht="13.5" customHeight="1" x14ac:dyDescent="0.25">
      <c r="A31" s="4">
        <v>1</v>
      </c>
      <c r="B31" s="117" t="s">
        <v>172</v>
      </c>
      <c r="C31" s="137">
        <f>+'5. mell. Önk.össz kiadás'!D5+'6.mell Int.összesen'!D55</f>
        <v>341268</v>
      </c>
      <c r="D31" s="137">
        <f>+'5. mell. Önk.össz kiadás'!E5+'6.mell Int.összesen'!E55</f>
        <v>18919</v>
      </c>
      <c r="E31" s="137">
        <f>+'5. mell. Önk.össz kiadás'!F5+'6.mell Int.összesen'!F55</f>
        <v>360187</v>
      </c>
      <c r="O31" s="125"/>
      <c r="P31" s="125"/>
      <c r="Q31" s="125"/>
      <c r="R31" s="125"/>
      <c r="S31" s="125"/>
      <c r="T31" s="125"/>
    </row>
    <row r="32" spans="1:20" ht="12" customHeight="1" x14ac:dyDescent="0.25">
      <c r="A32" s="4">
        <v>2</v>
      </c>
      <c r="B32" s="117" t="s">
        <v>171</v>
      </c>
      <c r="C32" s="137">
        <f>+'5. mell. Önk.össz kiadás'!D7+'6.mell Int.összesen'!D56</f>
        <v>73142</v>
      </c>
      <c r="D32" s="137">
        <f>+'5. mell. Önk.össz kiadás'!E7+'6.mell Int.összesen'!E56</f>
        <v>3870</v>
      </c>
      <c r="E32" s="137">
        <f>+'5. mell. Önk.össz kiadás'!F7+'6.mell Int.összesen'!F56</f>
        <v>77012</v>
      </c>
      <c r="O32" s="125"/>
      <c r="P32" s="125"/>
      <c r="Q32" s="125"/>
      <c r="R32" s="125"/>
      <c r="S32" s="125"/>
      <c r="T32" s="125"/>
    </row>
    <row r="33" spans="1:20" ht="12" customHeight="1" x14ac:dyDescent="0.25">
      <c r="A33" s="4">
        <v>3</v>
      </c>
      <c r="B33" s="117" t="s">
        <v>151</v>
      </c>
      <c r="C33" s="137">
        <f>+'5. mell. Önk.össz kiadás'!D14+'6.mell Int.összesen'!D63</f>
        <v>573976</v>
      </c>
      <c r="D33" s="137">
        <f>+'5. mell. Önk.össz kiadás'!E14+'6.mell Int.összesen'!E63</f>
        <v>34699</v>
      </c>
      <c r="E33" s="137">
        <f>+'5. mell. Önk.össz kiadás'!F14+'6.mell Int.összesen'!F63</f>
        <v>608675.34</v>
      </c>
      <c r="O33" s="125"/>
      <c r="P33" s="125"/>
      <c r="Q33" s="125"/>
      <c r="R33" s="125"/>
      <c r="S33" s="125"/>
      <c r="T33" s="125"/>
    </row>
    <row r="34" spans="1:20" ht="12" customHeight="1" x14ac:dyDescent="0.25">
      <c r="A34" s="4">
        <v>4</v>
      </c>
      <c r="B34" s="118" t="s">
        <v>150</v>
      </c>
      <c r="C34" s="137">
        <f>+'5. mell. Önk.össz kiadás'!D16</f>
        <v>23333</v>
      </c>
      <c r="D34" s="137">
        <f>+'5. mell. Önk.össz kiadás'!E16</f>
        <v>0</v>
      </c>
      <c r="E34" s="137">
        <f>+'5. mell. Önk.össz kiadás'!F16</f>
        <v>23333</v>
      </c>
      <c r="K34" s="88" t="s">
        <v>694</v>
      </c>
      <c r="O34" s="125"/>
      <c r="P34" s="125"/>
      <c r="Q34" s="125"/>
      <c r="R34" s="125"/>
      <c r="S34" s="125"/>
      <c r="T34" s="125"/>
    </row>
    <row r="35" spans="1:20" ht="12" customHeight="1" x14ac:dyDescent="0.25">
      <c r="A35" s="4">
        <v>5</v>
      </c>
      <c r="B35" s="117" t="s">
        <v>163</v>
      </c>
      <c r="C35" s="137">
        <f>+'5. mell. Önk.össz kiadás'!D18-'5. mell. Önk.össz kiadás'!D19+'6.mell Int.összesen'!D67</f>
        <v>238527</v>
      </c>
      <c r="D35" s="137">
        <f>+'5. mell. Önk.össz kiadás'!E18-'5. mell. Önk.össz kiadás'!E19+'6.mell Int.összesen'!E67</f>
        <v>11034</v>
      </c>
      <c r="E35" s="137">
        <f>+'5. mell. Önk.össz kiadás'!F18-'5. mell. Önk.össz kiadás'!F19+'6.mell Int.összesen'!F67</f>
        <v>249561</v>
      </c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</row>
    <row r="36" spans="1:20" ht="12" customHeight="1" x14ac:dyDescent="0.25">
      <c r="A36" s="4">
        <v>6</v>
      </c>
      <c r="B36" s="117" t="s">
        <v>420</v>
      </c>
      <c r="C36" s="137">
        <f>+'5. mell. Önk.össz kiadás'!D19</f>
        <v>364685</v>
      </c>
      <c r="D36" s="137">
        <f>+'5. mell. Önk.össz kiadás'!E19</f>
        <v>3796</v>
      </c>
      <c r="E36" s="137">
        <f>+'5. mell. Önk.össz kiadás'!F19</f>
        <v>368481</v>
      </c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</row>
    <row r="37" spans="1:20" ht="12" customHeight="1" x14ac:dyDescent="0.25">
      <c r="A37" s="6" t="s">
        <v>411</v>
      </c>
      <c r="B37" s="136" t="s">
        <v>412</v>
      </c>
      <c r="C37" s="149">
        <f>+C38+C39+C40</f>
        <v>1571643</v>
      </c>
      <c r="D37" s="149">
        <f t="shared" ref="D37:E37" si="8">+D38+D39+D40</f>
        <v>37287</v>
      </c>
      <c r="E37" s="149">
        <f t="shared" si="8"/>
        <v>1608930</v>
      </c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</row>
    <row r="38" spans="1:20" ht="12" customHeight="1" x14ac:dyDescent="0.25">
      <c r="A38" s="4">
        <v>1</v>
      </c>
      <c r="B38" s="117" t="s">
        <v>161</v>
      </c>
      <c r="C38" s="137">
        <f>+'5. mell. Önk.össz kiadás'!D21+'6.mell Int.összesen'!D69</f>
        <v>1462316</v>
      </c>
      <c r="D38" s="137">
        <f>+'5. mell. Önk.össz kiadás'!E21+'6.mell Int.összesen'!E69</f>
        <v>19418</v>
      </c>
      <c r="E38" s="137">
        <f>+'5. mell. Önk.össz kiadás'!F21+'6.mell Int.összesen'!F69</f>
        <v>1481734</v>
      </c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</row>
    <row r="39" spans="1:20" ht="12" customHeight="1" x14ac:dyDescent="0.25">
      <c r="A39" s="4">
        <v>2</v>
      </c>
      <c r="B39" s="117" t="s">
        <v>160</v>
      </c>
      <c r="C39" s="137">
        <f>+'5. mell. Önk.össz kiadás'!D23</f>
        <v>109327</v>
      </c>
      <c r="D39" s="137">
        <f>+'5. mell. Önk.össz kiadás'!E23</f>
        <v>17869</v>
      </c>
      <c r="E39" s="137">
        <f>+'5. mell. Önk.össz kiadás'!F23</f>
        <v>127196</v>
      </c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</row>
    <row r="40" spans="1:20" ht="12" customHeight="1" x14ac:dyDescent="0.25">
      <c r="A40" s="4">
        <v>3</v>
      </c>
      <c r="B40" s="117" t="s">
        <v>158</v>
      </c>
      <c r="C40" s="137">
        <f>+'5. mell. Önk.össz kiadás'!D25+'6.mell Int.összesen'!D73</f>
        <v>0</v>
      </c>
      <c r="D40" s="137">
        <f>+'5. mell. Önk.össz kiadás'!E25+'6.mell Int.összesen'!E73</f>
        <v>0</v>
      </c>
      <c r="E40" s="137">
        <f>+'5. mell. Önk.össz kiadás'!F25+'6.mell Int.összesen'!F73</f>
        <v>0</v>
      </c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</row>
    <row r="41" spans="1:20" s="144" customFormat="1" ht="12" customHeight="1" x14ac:dyDescent="0.25">
      <c r="A41" s="6"/>
      <c r="B41" s="120" t="s">
        <v>408</v>
      </c>
      <c r="C41" s="149">
        <f>+C37+C30</f>
        <v>3186574</v>
      </c>
      <c r="D41" s="149">
        <f t="shared" ref="D41:E41" si="9">+D37+D30</f>
        <v>109605</v>
      </c>
      <c r="E41" s="149">
        <f t="shared" si="9"/>
        <v>3296179.34</v>
      </c>
    </row>
    <row r="42" spans="1:20" ht="12" customHeight="1" x14ac:dyDescent="0.25">
      <c r="A42" s="6" t="s">
        <v>413</v>
      </c>
      <c r="B42" s="151" t="s">
        <v>277</v>
      </c>
      <c r="C42" s="149">
        <f>+'5.g. mell. Egyéb tev.'!D103+'5.g. mell. Egyéb tev.'!D104+'5.g. mell. Egyéb tev.'!D105</f>
        <v>866154</v>
      </c>
      <c r="D42" s="149">
        <f>+'5.g. mell. Egyéb tev.'!E103+'5.g. mell. Egyéb tev.'!E104+'5.g. mell. Egyéb tev.'!E105</f>
        <v>0</v>
      </c>
      <c r="E42" s="149">
        <f>+'5.g. mell. Egyéb tev.'!F103+'5.g. mell. Egyéb tev.'!F104+'5.g. mell. Egyéb tev.'!F105</f>
        <v>866154</v>
      </c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</row>
    <row r="43" spans="1:20" s="144" customFormat="1" ht="12" customHeight="1" x14ac:dyDescent="0.25">
      <c r="A43" s="1065" t="s">
        <v>409</v>
      </c>
      <c r="B43" s="1066"/>
      <c r="C43" s="149">
        <f>C42+C41</f>
        <v>4052728</v>
      </c>
      <c r="D43" s="149">
        <f t="shared" ref="D43:E43" si="10">D42+D41</f>
        <v>109605</v>
      </c>
      <c r="E43" s="149">
        <f t="shared" si="10"/>
        <v>4162333.34</v>
      </c>
    </row>
    <row r="44" spans="1:20" ht="15" customHeight="1" x14ac:dyDescent="0.25">
      <c r="A44" s="128"/>
      <c r="B44" s="88"/>
      <c r="C44" s="88"/>
      <c r="D44" s="88"/>
      <c r="E44" s="88"/>
      <c r="O44" s="125"/>
      <c r="P44" s="125"/>
      <c r="Q44" s="125"/>
      <c r="R44" s="125"/>
      <c r="S44" s="125"/>
      <c r="T44" s="125"/>
    </row>
    <row r="45" spans="1:20" s="126" customFormat="1" ht="15.75" customHeight="1" x14ac:dyDescent="0.25">
      <c r="A45" s="1067" t="s">
        <v>314</v>
      </c>
      <c r="B45" s="1067"/>
      <c r="C45" s="1067"/>
      <c r="D45" s="1067"/>
      <c r="E45" s="1067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</row>
    <row r="46" spans="1:20" s="88" customFormat="1" x14ac:dyDescent="0.25">
      <c r="A46" s="129" t="s">
        <v>315</v>
      </c>
      <c r="B46" s="130"/>
      <c r="C46" s="125"/>
      <c r="D46" s="125"/>
      <c r="E46" s="125"/>
    </row>
    <row r="47" spans="1:20" ht="21" x14ac:dyDescent="0.25">
      <c r="A47" s="134">
        <v>1</v>
      </c>
      <c r="B47" s="87" t="s">
        <v>414</v>
      </c>
      <c r="C47" s="84">
        <f>+C19-C41</f>
        <v>-1518474</v>
      </c>
      <c r="D47" s="84">
        <f t="shared" ref="D47:E47" si="11">+D19-D41</f>
        <v>-259022</v>
      </c>
      <c r="E47" s="84">
        <f t="shared" si="11"/>
        <v>-1777496.3399999999</v>
      </c>
    </row>
    <row r="48" spans="1:20" x14ac:dyDescent="0.25">
      <c r="A48" s="128"/>
      <c r="B48" s="88"/>
      <c r="C48" s="88"/>
      <c r="D48" s="88"/>
      <c r="E48" s="88"/>
    </row>
    <row r="49" spans="1:20" x14ac:dyDescent="0.25">
      <c r="A49" s="1067" t="s">
        <v>316</v>
      </c>
      <c r="B49" s="1067"/>
      <c r="C49" s="1067"/>
      <c r="D49" s="1067"/>
      <c r="E49" s="1067"/>
    </row>
    <row r="50" spans="1:20" x14ac:dyDescent="0.25">
      <c r="A50" s="129" t="s">
        <v>317</v>
      </c>
      <c r="B50" s="130"/>
    </row>
    <row r="51" spans="1:20" x14ac:dyDescent="0.25">
      <c r="A51" s="134" t="s">
        <v>307</v>
      </c>
      <c r="B51" s="87" t="s">
        <v>318</v>
      </c>
      <c r="C51" s="84">
        <f>+C52-C53</f>
        <v>1518474</v>
      </c>
      <c r="D51" s="84">
        <f t="shared" ref="D51:E51" si="12">+D52-D53</f>
        <v>259022</v>
      </c>
      <c r="E51" s="84">
        <f t="shared" si="12"/>
        <v>1777496</v>
      </c>
    </row>
    <row r="52" spans="1:20" x14ac:dyDescent="0.25">
      <c r="A52" s="135" t="s">
        <v>311</v>
      </c>
      <c r="B52" s="85" t="s">
        <v>415</v>
      </c>
      <c r="C52" s="86">
        <f>+C20</f>
        <v>2384628</v>
      </c>
      <c r="D52" s="86">
        <f t="shared" ref="D52:E52" si="13">+D20</f>
        <v>259022</v>
      </c>
      <c r="E52" s="86">
        <f t="shared" si="13"/>
        <v>2643650</v>
      </c>
    </row>
    <row r="53" spans="1:20" x14ac:dyDescent="0.25">
      <c r="A53" s="135" t="s">
        <v>312</v>
      </c>
      <c r="B53" s="85" t="s">
        <v>416</v>
      </c>
      <c r="C53" s="86">
        <f>+C42</f>
        <v>866154</v>
      </c>
      <c r="D53" s="86">
        <f t="shared" ref="D53:E53" si="14">+D42</f>
        <v>0</v>
      </c>
      <c r="E53" s="86">
        <f t="shared" si="14"/>
        <v>866154</v>
      </c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</row>
    <row r="54" spans="1:20" x14ac:dyDescent="0.25">
      <c r="A54" s="128"/>
      <c r="B54" s="88"/>
      <c r="C54" s="88"/>
      <c r="D54" s="88"/>
      <c r="E54" s="88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</row>
    <row r="55" spans="1:20" x14ac:dyDescent="0.25">
      <c r="A55" s="129" t="s">
        <v>319</v>
      </c>
      <c r="B55" s="130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</row>
    <row r="56" spans="1:20" x14ac:dyDescent="0.25">
      <c r="A56" s="104"/>
      <c r="B56" s="87" t="s">
        <v>581</v>
      </c>
      <c r="C56" s="84">
        <f>+C25-C43</f>
        <v>0</v>
      </c>
      <c r="D56" s="84">
        <f t="shared" ref="D56:E56" si="15">+D25-D43</f>
        <v>0</v>
      </c>
      <c r="E56" s="84">
        <f t="shared" si="15"/>
        <v>-0.33999999985098839</v>
      </c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</row>
    <row r="57" spans="1:20" x14ac:dyDescent="0.25">
      <c r="A57" s="128"/>
      <c r="B57" s="88"/>
      <c r="C57" s="88"/>
      <c r="D57" s="88"/>
      <c r="E57" s="88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</row>
    <row r="58" spans="1:20" x14ac:dyDescent="0.25">
      <c r="A58" s="128"/>
      <c r="B58" s="88"/>
      <c r="C58" s="88"/>
      <c r="D58" s="88"/>
      <c r="E58" s="88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</row>
    <row r="59" spans="1:20" x14ac:dyDescent="0.25">
      <c r="A59" s="128"/>
      <c r="B59" s="88"/>
      <c r="C59" s="88"/>
      <c r="D59" s="88"/>
      <c r="E59" s="88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</row>
    <row r="60" spans="1:20" x14ac:dyDescent="0.25">
      <c r="A60" s="128"/>
      <c r="B60" s="88"/>
      <c r="C60" s="88"/>
      <c r="D60" s="88"/>
      <c r="E60" s="88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</row>
    <row r="61" spans="1:20" x14ac:dyDescent="0.25">
      <c r="A61" s="128"/>
      <c r="B61" s="88"/>
      <c r="C61" s="88"/>
      <c r="D61" s="88"/>
      <c r="E61" s="88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</row>
    <row r="62" spans="1:20" x14ac:dyDescent="0.25">
      <c r="A62" s="128"/>
      <c r="B62" s="88"/>
      <c r="C62" s="88"/>
      <c r="D62" s="88"/>
      <c r="E62" s="88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</row>
    <row r="63" spans="1:20" x14ac:dyDescent="0.25">
      <c r="A63" s="128"/>
      <c r="B63" s="88"/>
      <c r="C63" s="88"/>
      <c r="D63" s="88"/>
      <c r="E63" s="88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</row>
    <row r="64" spans="1:20" x14ac:dyDescent="0.25">
      <c r="A64" s="128"/>
      <c r="B64" s="88"/>
      <c r="C64" s="88"/>
      <c r="D64" s="88"/>
      <c r="E64" s="88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</row>
    <row r="65" spans="1:20" x14ac:dyDescent="0.25">
      <c r="A65" s="128"/>
      <c r="B65" s="88"/>
      <c r="C65" s="88"/>
      <c r="D65" s="88"/>
      <c r="E65" s="88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</row>
    <row r="66" spans="1:20" x14ac:dyDescent="0.25">
      <c r="A66" s="128"/>
      <c r="B66" s="88"/>
      <c r="C66" s="88"/>
      <c r="D66" s="88"/>
      <c r="E66" s="88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</row>
    <row r="67" spans="1:20" x14ac:dyDescent="0.25">
      <c r="A67" s="128"/>
      <c r="B67" s="88"/>
      <c r="C67" s="88"/>
      <c r="D67" s="88"/>
      <c r="E67" s="88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</row>
    <row r="68" spans="1:20" x14ac:dyDescent="0.25">
      <c r="A68" s="128"/>
      <c r="B68" s="88"/>
      <c r="C68" s="88"/>
      <c r="D68" s="88"/>
      <c r="E68" s="88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</row>
    <row r="69" spans="1:20" x14ac:dyDescent="0.25">
      <c r="A69" s="128"/>
      <c r="B69" s="88"/>
      <c r="C69" s="88"/>
      <c r="D69" s="88"/>
      <c r="E69" s="88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</row>
    <row r="70" spans="1:20" x14ac:dyDescent="0.25">
      <c r="A70" s="128"/>
      <c r="B70" s="88"/>
      <c r="C70" s="88"/>
      <c r="D70" s="88"/>
      <c r="E70" s="88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</row>
    <row r="71" spans="1:20" x14ac:dyDescent="0.25">
      <c r="A71" s="128"/>
      <c r="B71" s="88"/>
      <c r="C71" s="88"/>
      <c r="D71" s="88"/>
      <c r="E71" s="88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25"/>
    </row>
    <row r="72" spans="1:20" x14ac:dyDescent="0.25">
      <c r="A72" s="128"/>
      <c r="B72" s="88"/>
      <c r="C72" s="88"/>
      <c r="D72" s="88"/>
      <c r="E72" s="88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</row>
    <row r="73" spans="1:20" x14ac:dyDescent="0.25">
      <c r="A73" s="128"/>
      <c r="B73" s="88"/>
      <c r="C73" s="88"/>
      <c r="D73" s="88"/>
      <c r="E73" s="88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</row>
    <row r="74" spans="1:20" x14ac:dyDescent="0.25">
      <c r="A74" s="128"/>
      <c r="B74" s="88"/>
      <c r="C74" s="88"/>
      <c r="D74" s="88"/>
      <c r="E74" s="88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</row>
    <row r="75" spans="1:20" x14ac:dyDescent="0.25">
      <c r="A75" s="128"/>
      <c r="B75" s="88"/>
      <c r="C75" s="88"/>
      <c r="D75" s="88"/>
      <c r="E75" s="88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</row>
    <row r="76" spans="1:20" x14ac:dyDescent="0.25">
      <c r="A76" s="128"/>
      <c r="B76" s="88"/>
      <c r="C76" s="88"/>
      <c r="D76" s="88"/>
      <c r="E76" s="88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</row>
    <row r="77" spans="1:20" x14ac:dyDescent="0.25">
      <c r="A77" s="128"/>
      <c r="B77" s="88"/>
      <c r="C77" s="88"/>
      <c r="D77" s="88"/>
      <c r="E77" s="88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</row>
    <row r="78" spans="1:20" x14ac:dyDescent="0.25">
      <c r="A78" s="128"/>
      <c r="B78" s="88"/>
      <c r="C78" s="88"/>
      <c r="D78" s="88"/>
      <c r="E78" s="88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25"/>
    </row>
    <row r="79" spans="1:20" x14ac:dyDescent="0.25">
      <c r="A79" s="128"/>
      <c r="B79" s="88"/>
      <c r="C79" s="88"/>
      <c r="D79" s="88"/>
      <c r="E79" s="88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25"/>
    </row>
    <row r="80" spans="1:20" x14ac:dyDescent="0.25">
      <c r="A80" s="128"/>
      <c r="B80" s="88"/>
      <c r="C80" s="88"/>
      <c r="D80" s="88"/>
      <c r="E80" s="88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</row>
    <row r="81" spans="1:20" x14ac:dyDescent="0.25">
      <c r="A81" s="128"/>
      <c r="B81" s="88"/>
      <c r="C81" s="88"/>
      <c r="D81" s="88"/>
      <c r="E81" s="88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25"/>
    </row>
    <row r="82" spans="1:20" x14ac:dyDescent="0.25">
      <c r="A82" s="128"/>
      <c r="B82" s="88"/>
      <c r="C82" s="88"/>
      <c r="D82" s="88"/>
      <c r="E82" s="88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25"/>
    </row>
    <row r="83" spans="1:20" x14ac:dyDescent="0.25">
      <c r="A83" s="128"/>
      <c r="B83" s="88"/>
      <c r="C83" s="88"/>
      <c r="D83" s="88"/>
      <c r="E83" s="88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</row>
    <row r="84" spans="1:20" x14ac:dyDescent="0.25">
      <c r="A84" s="128"/>
      <c r="B84" s="88"/>
      <c r="C84" s="88"/>
      <c r="D84" s="88"/>
      <c r="E84" s="88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</row>
    <row r="85" spans="1:20" x14ac:dyDescent="0.25">
      <c r="A85" s="128"/>
      <c r="B85" s="88"/>
      <c r="C85" s="88"/>
      <c r="D85" s="88"/>
      <c r="E85" s="88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25"/>
    </row>
    <row r="86" spans="1:20" x14ac:dyDescent="0.25">
      <c r="A86" s="128"/>
      <c r="B86" s="88"/>
      <c r="C86" s="88"/>
      <c r="D86" s="88"/>
      <c r="E86" s="88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</row>
    <row r="87" spans="1:20" x14ac:dyDescent="0.25">
      <c r="A87" s="128"/>
      <c r="B87" s="88"/>
      <c r="C87" s="88"/>
      <c r="D87" s="88"/>
      <c r="E87" s="88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</row>
    <row r="88" spans="1:20" x14ac:dyDescent="0.25">
      <c r="A88" s="128"/>
      <c r="B88" s="88"/>
      <c r="C88" s="88"/>
      <c r="D88" s="88"/>
      <c r="E88" s="88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5"/>
    </row>
    <row r="89" spans="1:20" x14ac:dyDescent="0.25">
      <c r="A89" s="128"/>
      <c r="B89" s="88"/>
      <c r="C89" s="88"/>
      <c r="D89" s="88"/>
      <c r="E89" s="88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  <c r="T89" s="125"/>
    </row>
    <row r="90" spans="1:20" x14ac:dyDescent="0.25">
      <c r="A90" s="128"/>
      <c r="B90" s="88"/>
      <c r="C90" s="88"/>
      <c r="D90" s="88"/>
      <c r="E90" s="88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</row>
    <row r="91" spans="1:20" x14ac:dyDescent="0.25">
      <c r="A91" s="128"/>
      <c r="B91" s="88"/>
      <c r="C91" s="88"/>
      <c r="D91" s="88"/>
      <c r="E91" s="88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</row>
    <row r="92" spans="1:20" x14ac:dyDescent="0.25">
      <c r="A92" s="128"/>
      <c r="B92" s="88"/>
      <c r="C92" s="88"/>
      <c r="D92" s="88"/>
      <c r="E92" s="88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</row>
    <row r="93" spans="1:20" x14ac:dyDescent="0.25">
      <c r="A93" s="128"/>
      <c r="B93" s="88"/>
      <c r="C93" s="88"/>
      <c r="D93" s="88"/>
      <c r="E93" s="88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</row>
    <row r="94" spans="1:20" x14ac:dyDescent="0.25">
      <c r="A94" s="128"/>
      <c r="B94" s="88"/>
      <c r="C94" s="88"/>
      <c r="D94" s="88"/>
      <c r="E94" s="88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</row>
    <row r="95" spans="1:20" x14ac:dyDescent="0.25">
      <c r="A95" s="128"/>
      <c r="B95" s="88"/>
      <c r="C95" s="88"/>
      <c r="D95" s="88"/>
      <c r="E95" s="88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5"/>
      <c r="S95" s="125"/>
      <c r="T95" s="125"/>
    </row>
    <row r="96" spans="1:20" x14ac:dyDescent="0.25">
      <c r="A96" s="128"/>
      <c r="B96" s="88"/>
      <c r="C96" s="88"/>
      <c r="D96" s="88"/>
      <c r="E96" s="88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125"/>
      <c r="S96" s="125"/>
      <c r="T96" s="125"/>
    </row>
    <row r="97" spans="1:20" x14ac:dyDescent="0.25">
      <c r="A97" s="128"/>
      <c r="B97" s="88"/>
      <c r="C97" s="88"/>
      <c r="D97" s="88"/>
      <c r="E97" s="88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5"/>
    </row>
    <row r="98" spans="1:20" x14ac:dyDescent="0.25">
      <c r="A98" s="128"/>
      <c r="B98" s="88"/>
      <c r="C98" s="88"/>
      <c r="D98" s="88"/>
      <c r="E98" s="88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125"/>
    </row>
    <row r="99" spans="1:20" x14ac:dyDescent="0.25">
      <c r="A99" s="128"/>
      <c r="B99" s="88"/>
      <c r="C99" s="88"/>
      <c r="D99" s="88"/>
      <c r="E99" s="88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</row>
    <row r="100" spans="1:20" x14ac:dyDescent="0.25">
      <c r="A100" s="128"/>
      <c r="B100" s="88"/>
      <c r="C100" s="88"/>
      <c r="D100" s="88"/>
      <c r="E100" s="88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</row>
    <row r="101" spans="1:20" x14ac:dyDescent="0.25">
      <c r="A101" s="128"/>
      <c r="B101" s="88"/>
      <c r="C101" s="88"/>
      <c r="D101" s="88"/>
      <c r="E101" s="88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</row>
    <row r="102" spans="1:20" x14ac:dyDescent="0.25">
      <c r="A102" s="128"/>
      <c r="B102" s="88"/>
      <c r="C102" s="88"/>
      <c r="D102" s="88"/>
      <c r="E102" s="88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</row>
    <row r="103" spans="1:20" x14ac:dyDescent="0.25">
      <c r="A103" s="128"/>
      <c r="B103" s="88"/>
      <c r="C103" s="88"/>
      <c r="D103" s="88"/>
      <c r="E103" s="88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</row>
    <row r="104" spans="1:20" x14ac:dyDescent="0.25">
      <c r="A104" s="128"/>
      <c r="B104" s="88"/>
      <c r="C104" s="88"/>
      <c r="D104" s="88"/>
      <c r="E104" s="88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</row>
    <row r="105" spans="1:20" x14ac:dyDescent="0.25">
      <c r="A105" s="128"/>
      <c r="B105" s="88"/>
      <c r="C105" s="88"/>
      <c r="D105" s="88"/>
      <c r="E105" s="88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</row>
    <row r="106" spans="1:20" x14ac:dyDescent="0.25">
      <c r="A106" s="128"/>
      <c r="B106" s="88"/>
      <c r="C106" s="88"/>
      <c r="D106" s="88"/>
      <c r="E106" s="88"/>
      <c r="F106" s="125"/>
      <c r="G106" s="125"/>
      <c r="H106" s="125"/>
      <c r="I106" s="125"/>
      <c r="J106" s="125"/>
      <c r="K106" s="125"/>
      <c r="L106" s="125"/>
      <c r="M106" s="125"/>
      <c r="N106" s="125"/>
      <c r="O106" s="125"/>
      <c r="P106" s="125"/>
      <c r="Q106" s="125"/>
      <c r="R106" s="125"/>
      <c r="S106" s="125"/>
      <c r="T106" s="125"/>
    </row>
    <row r="107" spans="1:20" x14ac:dyDescent="0.25">
      <c r="A107" s="128"/>
      <c r="B107" s="88"/>
      <c r="C107" s="88"/>
      <c r="D107" s="88"/>
      <c r="E107" s="88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</row>
    <row r="108" spans="1:20" x14ac:dyDescent="0.25">
      <c r="A108" s="128"/>
      <c r="B108" s="88"/>
      <c r="C108" s="88"/>
      <c r="D108" s="88"/>
      <c r="E108" s="88"/>
      <c r="F108" s="125"/>
      <c r="G108" s="125"/>
      <c r="H108" s="125"/>
      <c r="I108" s="125"/>
      <c r="J108" s="125"/>
      <c r="K108" s="125"/>
      <c r="L108" s="125"/>
      <c r="M108" s="125"/>
      <c r="N108" s="125"/>
      <c r="O108" s="125"/>
      <c r="P108" s="125"/>
      <c r="Q108" s="125"/>
      <c r="R108" s="125"/>
      <c r="S108" s="125"/>
      <c r="T108" s="125"/>
    </row>
    <row r="109" spans="1:20" x14ac:dyDescent="0.25">
      <c r="A109" s="128"/>
      <c r="B109" s="88"/>
      <c r="C109" s="88"/>
      <c r="D109" s="88"/>
      <c r="E109" s="88"/>
      <c r="F109" s="125"/>
      <c r="G109" s="125"/>
      <c r="H109" s="125"/>
      <c r="I109" s="125"/>
      <c r="J109" s="125"/>
      <c r="K109" s="125"/>
      <c r="L109" s="125"/>
      <c r="M109" s="125"/>
      <c r="N109" s="125"/>
      <c r="O109" s="125"/>
      <c r="P109" s="125"/>
      <c r="Q109" s="125"/>
      <c r="R109" s="125"/>
      <c r="S109" s="125"/>
      <c r="T109" s="125"/>
    </row>
    <row r="110" spans="1:20" x14ac:dyDescent="0.25">
      <c r="A110" s="128"/>
      <c r="B110" s="88"/>
      <c r="C110" s="88"/>
      <c r="D110" s="88"/>
      <c r="E110" s="88"/>
      <c r="F110" s="125"/>
      <c r="G110" s="125"/>
      <c r="H110" s="125"/>
      <c r="I110" s="125"/>
      <c r="J110" s="125"/>
      <c r="K110" s="125"/>
      <c r="L110" s="125"/>
      <c r="M110" s="125"/>
      <c r="N110" s="125"/>
      <c r="O110" s="125"/>
      <c r="P110" s="125"/>
      <c r="Q110" s="125"/>
      <c r="R110" s="125"/>
      <c r="S110" s="125"/>
      <c r="T110" s="125"/>
    </row>
    <row r="111" spans="1:20" x14ac:dyDescent="0.25">
      <c r="A111" s="128"/>
      <c r="B111" s="88"/>
      <c r="C111" s="88"/>
      <c r="D111" s="88"/>
      <c r="E111" s="88"/>
      <c r="F111" s="125"/>
      <c r="G111" s="125"/>
      <c r="H111" s="125"/>
      <c r="I111" s="125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T111" s="125"/>
    </row>
    <row r="112" spans="1:20" x14ac:dyDescent="0.25">
      <c r="A112" s="128"/>
      <c r="B112" s="88"/>
      <c r="C112" s="88"/>
      <c r="D112" s="88"/>
      <c r="E112" s="88"/>
      <c r="F112" s="125"/>
      <c r="G112" s="125"/>
      <c r="H112" s="125"/>
      <c r="I112" s="125"/>
      <c r="J112" s="125"/>
      <c r="K112" s="125"/>
      <c r="L112" s="125"/>
      <c r="M112" s="125"/>
      <c r="N112" s="125"/>
      <c r="O112" s="125"/>
      <c r="P112" s="125"/>
      <c r="Q112" s="125"/>
      <c r="R112" s="125"/>
      <c r="S112" s="125"/>
      <c r="T112" s="125"/>
    </row>
    <row r="113" spans="1:20" x14ac:dyDescent="0.25">
      <c r="A113" s="128"/>
      <c r="B113" s="88"/>
      <c r="C113" s="88"/>
      <c r="D113" s="88"/>
      <c r="E113" s="88"/>
      <c r="F113" s="125"/>
      <c r="G113" s="125"/>
      <c r="H113" s="125"/>
      <c r="I113" s="125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25"/>
    </row>
    <row r="114" spans="1:20" x14ac:dyDescent="0.25">
      <c r="A114" s="128"/>
      <c r="B114" s="88"/>
      <c r="C114" s="88"/>
      <c r="D114" s="88"/>
      <c r="E114" s="88"/>
      <c r="F114" s="125"/>
      <c r="G114" s="125"/>
      <c r="H114" s="125"/>
      <c r="I114" s="125"/>
      <c r="J114" s="125"/>
      <c r="K114" s="125"/>
      <c r="L114" s="125"/>
      <c r="M114" s="125"/>
      <c r="N114" s="125"/>
      <c r="O114" s="125"/>
      <c r="P114" s="125"/>
      <c r="Q114" s="125"/>
      <c r="R114" s="125"/>
      <c r="S114" s="125"/>
      <c r="T114" s="125"/>
    </row>
    <row r="115" spans="1:20" x14ac:dyDescent="0.25">
      <c r="A115" s="128"/>
      <c r="B115" s="88"/>
      <c r="C115" s="88"/>
      <c r="D115" s="88"/>
      <c r="E115" s="88"/>
      <c r="F115" s="125"/>
      <c r="G115" s="125"/>
      <c r="H115" s="125"/>
      <c r="I115" s="125"/>
      <c r="J115" s="125"/>
      <c r="K115" s="125"/>
      <c r="L115" s="125"/>
      <c r="M115" s="125"/>
      <c r="N115" s="125"/>
      <c r="O115" s="125"/>
      <c r="P115" s="125"/>
      <c r="Q115" s="125"/>
      <c r="R115" s="125"/>
      <c r="S115" s="125"/>
      <c r="T115" s="125"/>
    </row>
    <row r="116" spans="1:20" x14ac:dyDescent="0.25">
      <c r="A116" s="128"/>
      <c r="B116" s="88"/>
      <c r="C116" s="88"/>
      <c r="D116" s="88"/>
      <c r="E116" s="88"/>
      <c r="F116" s="125"/>
      <c r="G116" s="125"/>
      <c r="H116" s="125"/>
      <c r="I116" s="125"/>
      <c r="J116" s="125"/>
      <c r="K116" s="125"/>
      <c r="L116" s="125"/>
      <c r="M116" s="125"/>
      <c r="N116" s="125"/>
      <c r="O116" s="125"/>
      <c r="P116" s="125"/>
      <c r="Q116" s="125"/>
      <c r="R116" s="125"/>
      <c r="S116" s="125"/>
      <c r="T116" s="125"/>
    </row>
    <row r="117" spans="1:20" s="88" customFormat="1" ht="11.25" x14ac:dyDescent="0.2">
      <c r="A117" s="128"/>
    </row>
    <row r="118" spans="1:20" s="88" customFormat="1" ht="11.25" x14ac:dyDescent="0.2">
      <c r="A118" s="128"/>
    </row>
    <row r="119" spans="1:20" s="88" customFormat="1" ht="11.25" x14ac:dyDescent="0.2">
      <c r="A119" s="128"/>
    </row>
    <row r="120" spans="1:20" s="88" customFormat="1" ht="11.25" x14ac:dyDescent="0.2">
      <c r="A120" s="128"/>
    </row>
    <row r="121" spans="1:20" s="88" customFormat="1" ht="11.25" x14ac:dyDescent="0.2">
      <c r="A121" s="128"/>
    </row>
    <row r="122" spans="1:20" s="88" customFormat="1" ht="11.25" x14ac:dyDescent="0.2">
      <c r="A122" s="128"/>
    </row>
    <row r="123" spans="1:20" s="88" customFormat="1" ht="11.25" x14ac:dyDescent="0.2">
      <c r="A123" s="128"/>
    </row>
    <row r="124" spans="1:20" s="88" customFormat="1" ht="11.25" x14ac:dyDescent="0.2">
      <c r="A124" s="128"/>
    </row>
    <row r="125" spans="1:20" s="88" customFormat="1" ht="11.25" x14ac:dyDescent="0.2">
      <c r="A125" s="128"/>
    </row>
    <row r="126" spans="1:20" s="88" customFormat="1" ht="11.25" x14ac:dyDescent="0.2">
      <c r="A126" s="128"/>
    </row>
    <row r="127" spans="1:20" s="88" customFormat="1" ht="11.25" x14ac:dyDescent="0.2">
      <c r="A127" s="128"/>
    </row>
    <row r="128" spans="1:20" s="88" customFormat="1" x14ac:dyDescent="0.25">
      <c r="A128" s="131"/>
      <c r="B128" s="125"/>
      <c r="C128" s="125"/>
      <c r="D128" s="125"/>
      <c r="E128" s="125"/>
    </row>
    <row r="129" spans="1:5" s="88" customFormat="1" x14ac:dyDescent="0.25">
      <c r="A129" s="131"/>
      <c r="B129" s="125"/>
      <c r="C129" s="125"/>
      <c r="D129" s="125"/>
      <c r="E129" s="125"/>
    </row>
  </sheetData>
  <mergeCells count="7">
    <mergeCell ref="A25:B25"/>
    <mergeCell ref="A43:B43"/>
    <mergeCell ref="A45:E45"/>
    <mergeCell ref="A49:E49"/>
    <mergeCell ref="A2:B2"/>
    <mergeCell ref="A27:E27"/>
    <mergeCell ref="A28:B2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Header>&amp;C&amp;"Times New Roman,Félkövér"&amp;14Martonvásár Város Önkormányzat 2018. évi költségvetésének pénzügyi mérlege&amp;R&amp;"Times New Roman,Félkövér"&amp;12 1. melléklet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6"/>
  <sheetViews>
    <sheetView zoomScale="89" zoomScaleNormal="89" zoomScalePageLayoutView="70" workbookViewId="0">
      <selection activeCell="F76" sqref="F76"/>
    </sheetView>
  </sheetViews>
  <sheetFormatPr defaultColWidth="8.7109375" defaultRowHeight="15" x14ac:dyDescent="0.25"/>
  <cols>
    <col min="1" max="1" width="7.140625" style="193" customWidth="1"/>
    <col min="2" max="2" width="7.140625" style="194" customWidth="1"/>
    <col min="3" max="3" width="25.7109375" style="194" customWidth="1"/>
    <col min="4" max="4" width="7.7109375" style="195" customWidth="1"/>
    <col min="5" max="5" width="7.140625" style="195" customWidth="1"/>
    <col min="6" max="7" width="7.7109375" style="195" customWidth="1"/>
    <col min="8" max="8" width="6.42578125" style="195" customWidth="1"/>
    <col min="9" max="9" width="6" style="195" customWidth="1"/>
    <col min="10" max="10" width="6.85546875" style="195" customWidth="1"/>
    <col min="11" max="11" width="7.7109375" style="195" customWidth="1"/>
    <col min="12" max="12" width="7.28515625" style="195" customWidth="1"/>
    <col min="13" max="13" width="7" style="195" customWidth="1"/>
    <col min="14" max="14" width="6.5703125" style="195" customWidth="1"/>
    <col min="15" max="18" width="7" style="195" customWidth="1"/>
    <col min="19" max="19" width="7.42578125" style="195" customWidth="1"/>
    <col min="20" max="20" width="7.28515625" style="195" customWidth="1"/>
    <col min="21" max="21" width="7" style="195" customWidth="1"/>
    <col min="22" max="16384" width="8.7109375" style="163"/>
  </cols>
  <sheetData>
    <row r="1" spans="1:26" x14ac:dyDescent="0.25">
      <c r="A1" s="164"/>
      <c r="B1" s="165"/>
      <c r="C1" s="165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</row>
    <row r="2" spans="1:26" ht="42" customHeight="1" x14ac:dyDescent="0.25">
      <c r="A2" s="1271" t="s">
        <v>0</v>
      </c>
      <c r="B2" s="1280" t="s">
        <v>182</v>
      </c>
      <c r="C2" s="1281"/>
      <c r="D2" s="1274" t="s">
        <v>180</v>
      </c>
      <c r="E2" s="1275"/>
      <c r="F2" s="1276"/>
      <c r="G2" s="1286" t="s">
        <v>295</v>
      </c>
      <c r="H2" s="1287"/>
      <c r="I2" s="1288"/>
      <c r="J2" s="1286" t="s">
        <v>296</v>
      </c>
      <c r="K2" s="1287"/>
      <c r="L2" s="1288"/>
      <c r="M2" s="1286" t="s">
        <v>297</v>
      </c>
      <c r="N2" s="1287"/>
      <c r="O2" s="1288"/>
      <c r="P2" s="1286" t="s">
        <v>858</v>
      </c>
      <c r="Q2" s="1287"/>
      <c r="R2" s="1288"/>
      <c r="S2" s="1286" t="s">
        <v>298</v>
      </c>
      <c r="T2" s="1287"/>
      <c r="U2" s="1288"/>
    </row>
    <row r="3" spans="1:26" ht="15" customHeight="1" x14ac:dyDescent="0.25">
      <c r="A3" s="1272"/>
      <c r="B3" s="1282"/>
      <c r="C3" s="1283"/>
      <c r="D3" s="1277"/>
      <c r="E3" s="1278"/>
      <c r="F3" s="1279"/>
      <c r="G3" s="1286" t="s">
        <v>189</v>
      </c>
      <c r="H3" s="1287"/>
      <c r="I3" s="1288"/>
      <c r="J3" s="1286" t="s">
        <v>189</v>
      </c>
      <c r="K3" s="1287"/>
      <c r="L3" s="1288"/>
      <c r="M3" s="1286" t="s">
        <v>189</v>
      </c>
      <c r="N3" s="1287"/>
      <c r="O3" s="1288"/>
      <c r="P3" s="1286" t="s">
        <v>189</v>
      </c>
      <c r="Q3" s="1287"/>
      <c r="R3" s="1288"/>
      <c r="S3" s="1286" t="s">
        <v>189</v>
      </c>
      <c r="T3" s="1287"/>
      <c r="U3" s="1288"/>
    </row>
    <row r="4" spans="1:26" s="167" customFormat="1" ht="25.5" customHeight="1" x14ac:dyDescent="0.25">
      <c r="A4" s="1273"/>
      <c r="B4" s="1284"/>
      <c r="C4" s="1285"/>
      <c r="D4" s="975" t="s">
        <v>931</v>
      </c>
      <c r="E4" s="975" t="s">
        <v>786</v>
      </c>
      <c r="F4" s="975" t="s">
        <v>932</v>
      </c>
      <c r="G4" s="975" t="s">
        <v>931</v>
      </c>
      <c r="H4" s="975" t="s">
        <v>786</v>
      </c>
      <c r="I4" s="975" t="s">
        <v>932</v>
      </c>
      <c r="J4" s="975" t="s">
        <v>931</v>
      </c>
      <c r="K4" s="975" t="s">
        <v>786</v>
      </c>
      <c r="L4" s="975" t="s">
        <v>932</v>
      </c>
      <c r="M4" s="975" t="s">
        <v>931</v>
      </c>
      <c r="N4" s="975" t="s">
        <v>786</v>
      </c>
      <c r="O4" s="975" t="s">
        <v>932</v>
      </c>
      <c r="P4" s="975" t="s">
        <v>931</v>
      </c>
      <c r="Q4" s="975" t="s">
        <v>786</v>
      </c>
      <c r="R4" s="975" t="s">
        <v>932</v>
      </c>
      <c r="S4" s="975" t="s">
        <v>931</v>
      </c>
      <c r="T4" s="975" t="s">
        <v>786</v>
      </c>
      <c r="U4" s="975" t="s">
        <v>932</v>
      </c>
    </row>
    <row r="5" spans="1:26" ht="26.25" customHeight="1" x14ac:dyDescent="0.25">
      <c r="A5" s="168" t="s">
        <v>2</v>
      </c>
      <c r="B5" s="1289" t="s">
        <v>1</v>
      </c>
      <c r="C5" s="1290"/>
      <c r="D5" s="746">
        <v>21216</v>
      </c>
      <c r="E5" s="746">
        <f>+H5+K5+N5+T5</f>
        <v>7519</v>
      </c>
      <c r="F5" s="1001">
        <f>+I5+L5+O5+U5</f>
        <v>28735</v>
      </c>
      <c r="G5" s="746">
        <v>11298</v>
      </c>
      <c r="H5" s="746">
        <v>7360</v>
      </c>
      <c r="I5" s="746">
        <f>+H5+G5</f>
        <v>18658</v>
      </c>
      <c r="J5" s="746">
        <v>5280</v>
      </c>
      <c r="K5" s="746">
        <f>43+43</f>
        <v>86</v>
      </c>
      <c r="L5" s="746">
        <f>+K5+J5</f>
        <v>5366</v>
      </c>
      <c r="M5" s="746">
        <v>2214</v>
      </c>
      <c r="N5" s="746">
        <f>22+22</f>
        <v>44</v>
      </c>
      <c r="O5" s="746">
        <f>+N5+M5</f>
        <v>2258</v>
      </c>
      <c r="P5" s="746"/>
      <c r="Q5" s="746"/>
      <c r="R5" s="746"/>
      <c r="S5" s="746">
        <v>2424</v>
      </c>
      <c r="T5" s="746">
        <f>19-9+19</f>
        <v>29</v>
      </c>
      <c r="U5" s="746">
        <f>+T5+S5</f>
        <v>2453</v>
      </c>
      <c r="Z5" s="163" t="s">
        <v>694</v>
      </c>
    </row>
    <row r="6" spans="1:26" ht="15" customHeight="1" x14ac:dyDescent="0.25">
      <c r="A6" s="168" t="s">
        <v>4</v>
      </c>
      <c r="B6" s="1289" t="s">
        <v>3</v>
      </c>
      <c r="C6" s="1290"/>
      <c r="D6" s="746">
        <f t="shared" ref="D6:D18" si="0">+G6+J6+M6+S6</f>
        <v>0</v>
      </c>
      <c r="E6" s="746">
        <f t="shared" ref="E6:F18" si="1">+H6+K6+N6+T6</f>
        <v>0</v>
      </c>
      <c r="F6" s="746">
        <f t="shared" si="1"/>
        <v>0</v>
      </c>
      <c r="G6" s="746">
        <v>0</v>
      </c>
      <c r="H6" s="746"/>
      <c r="I6" s="746">
        <f t="shared" ref="I6:I18" si="2">+H6+G6</f>
        <v>0</v>
      </c>
      <c r="J6" s="746">
        <v>0</v>
      </c>
      <c r="K6" s="746"/>
      <c r="L6" s="746">
        <f t="shared" ref="L6:L18" si="3">+K6+J6</f>
        <v>0</v>
      </c>
      <c r="M6" s="746">
        <v>0</v>
      </c>
      <c r="N6" s="746"/>
      <c r="O6" s="746">
        <f t="shared" ref="O6:O18" si="4">+N6+M6</f>
        <v>0</v>
      </c>
      <c r="P6" s="746"/>
      <c r="Q6" s="746"/>
      <c r="R6" s="746">
        <f t="shared" ref="R6" si="5">+Q6+P6</f>
        <v>0</v>
      </c>
      <c r="S6" s="746">
        <v>0</v>
      </c>
      <c r="T6" s="746"/>
      <c r="U6" s="746">
        <f t="shared" ref="U6:U18" si="6">+T6+S6</f>
        <v>0</v>
      </c>
    </row>
    <row r="7" spans="1:26" ht="15" customHeight="1" x14ac:dyDescent="0.25">
      <c r="A7" s="168" t="s">
        <v>6</v>
      </c>
      <c r="B7" s="1289" t="s">
        <v>5</v>
      </c>
      <c r="C7" s="1290"/>
      <c r="D7" s="746">
        <f t="shared" si="0"/>
        <v>0</v>
      </c>
      <c r="E7" s="746">
        <f t="shared" si="1"/>
        <v>0</v>
      </c>
      <c r="F7" s="746">
        <f t="shared" si="1"/>
        <v>0</v>
      </c>
      <c r="G7" s="746">
        <v>0</v>
      </c>
      <c r="H7" s="746"/>
      <c r="I7" s="746">
        <f t="shared" si="2"/>
        <v>0</v>
      </c>
      <c r="J7" s="746">
        <v>0</v>
      </c>
      <c r="K7" s="746"/>
      <c r="L7" s="746">
        <f t="shared" si="3"/>
        <v>0</v>
      </c>
      <c r="M7" s="746">
        <v>0</v>
      </c>
      <c r="N7" s="746"/>
      <c r="O7" s="746">
        <f t="shared" si="4"/>
        <v>0</v>
      </c>
      <c r="P7" s="746"/>
      <c r="Q7" s="746"/>
      <c r="R7" s="746"/>
      <c r="S7" s="746">
        <v>0</v>
      </c>
      <c r="T7" s="746"/>
      <c r="U7" s="746">
        <f t="shared" si="6"/>
        <v>0</v>
      </c>
    </row>
    <row r="8" spans="1:26" ht="27" customHeight="1" x14ac:dyDescent="0.25">
      <c r="A8" s="168" t="s">
        <v>8</v>
      </c>
      <c r="B8" s="1289" t="s">
        <v>7</v>
      </c>
      <c r="C8" s="1290"/>
      <c r="D8" s="746">
        <f t="shared" si="0"/>
        <v>0</v>
      </c>
      <c r="E8" s="746">
        <f t="shared" si="1"/>
        <v>0</v>
      </c>
      <c r="F8" s="746">
        <f t="shared" si="1"/>
        <v>0</v>
      </c>
      <c r="G8" s="746">
        <v>0</v>
      </c>
      <c r="H8" s="746"/>
      <c r="I8" s="746">
        <f t="shared" si="2"/>
        <v>0</v>
      </c>
      <c r="J8" s="746">
        <v>0</v>
      </c>
      <c r="K8" s="746"/>
      <c r="L8" s="746">
        <f t="shared" si="3"/>
        <v>0</v>
      </c>
      <c r="M8" s="746">
        <v>0</v>
      </c>
      <c r="N8" s="746"/>
      <c r="O8" s="746">
        <f t="shared" si="4"/>
        <v>0</v>
      </c>
      <c r="P8" s="746"/>
      <c r="Q8" s="746"/>
      <c r="R8" s="746"/>
      <c r="S8" s="746">
        <v>0</v>
      </c>
      <c r="T8" s="746"/>
      <c r="U8" s="746">
        <f t="shared" si="6"/>
        <v>0</v>
      </c>
    </row>
    <row r="9" spans="1:26" ht="15" customHeight="1" x14ac:dyDescent="0.25">
      <c r="A9" s="168" t="s">
        <v>10</v>
      </c>
      <c r="B9" s="1289" t="s">
        <v>9</v>
      </c>
      <c r="C9" s="1290"/>
      <c r="D9" s="746">
        <f t="shared" si="0"/>
        <v>0</v>
      </c>
      <c r="E9" s="746">
        <f t="shared" si="1"/>
        <v>0</v>
      </c>
      <c r="F9" s="746">
        <f t="shared" si="1"/>
        <v>0</v>
      </c>
      <c r="G9" s="746">
        <v>0</v>
      </c>
      <c r="H9" s="746"/>
      <c r="I9" s="746">
        <f t="shared" si="2"/>
        <v>0</v>
      </c>
      <c r="J9" s="746">
        <v>0</v>
      </c>
      <c r="K9" s="746"/>
      <c r="L9" s="746">
        <f t="shared" si="3"/>
        <v>0</v>
      </c>
      <c r="M9" s="746">
        <v>0</v>
      </c>
      <c r="N9" s="746"/>
      <c r="O9" s="746">
        <f t="shared" si="4"/>
        <v>0</v>
      </c>
      <c r="P9" s="746"/>
      <c r="Q9" s="746"/>
      <c r="R9" s="746"/>
      <c r="S9" s="746">
        <v>0</v>
      </c>
      <c r="T9" s="746"/>
      <c r="U9" s="746">
        <f t="shared" si="6"/>
        <v>0</v>
      </c>
    </row>
    <row r="10" spans="1:26" ht="15" customHeight="1" x14ac:dyDescent="0.25">
      <c r="A10" s="168" t="s">
        <v>12</v>
      </c>
      <c r="B10" s="1289" t="s">
        <v>11</v>
      </c>
      <c r="C10" s="1290"/>
      <c r="D10" s="746">
        <f t="shared" si="0"/>
        <v>0</v>
      </c>
      <c r="E10" s="746">
        <f t="shared" si="1"/>
        <v>0</v>
      </c>
      <c r="F10" s="746">
        <f t="shared" si="1"/>
        <v>0</v>
      </c>
      <c r="G10" s="746">
        <v>0</v>
      </c>
      <c r="H10" s="746"/>
      <c r="I10" s="746">
        <f t="shared" si="2"/>
        <v>0</v>
      </c>
      <c r="J10" s="746">
        <v>0</v>
      </c>
      <c r="K10" s="746"/>
      <c r="L10" s="746">
        <f t="shared" si="3"/>
        <v>0</v>
      </c>
      <c r="M10" s="746">
        <v>0</v>
      </c>
      <c r="N10" s="746"/>
      <c r="O10" s="746">
        <f t="shared" si="4"/>
        <v>0</v>
      </c>
      <c r="P10" s="746"/>
      <c r="Q10" s="746"/>
      <c r="R10" s="746"/>
      <c r="S10" s="746">
        <v>0</v>
      </c>
      <c r="T10" s="746"/>
      <c r="U10" s="746">
        <f t="shared" si="6"/>
        <v>0</v>
      </c>
    </row>
    <row r="11" spans="1:26" ht="15" customHeight="1" x14ac:dyDescent="0.25">
      <c r="A11" s="168" t="s">
        <v>14</v>
      </c>
      <c r="B11" s="1289" t="s">
        <v>13</v>
      </c>
      <c r="C11" s="1290"/>
      <c r="D11" s="746">
        <f t="shared" si="0"/>
        <v>420</v>
      </c>
      <c r="E11" s="746">
        <f t="shared" si="1"/>
        <v>600</v>
      </c>
      <c r="F11" s="746">
        <f t="shared" si="1"/>
        <v>1020</v>
      </c>
      <c r="G11" s="746">
        <v>240</v>
      </c>
      <c r="H11" s="746">
        <v>600</v>
      </c>
      <c r="I11" s="746">
        <f t="shared" si="2"/>
        <v>840</v>
      </c>
      <c r="J11" s="746">
        <v>120</v>
      </c>
      <c r="K11" s="746"/>
      <c r="L11" s="746">
        <f t="shared" si="3"/>
        <v>120</v>
      </c>
      <c r="M11" s="746">
        <v>0</v>
      </c>
      <c r="N11" s="746"/>
      <c r="O11" s="746">
        <f t="shared" si="4"/>
        <v>0</v>
      </c>
      <c r="P11" s="746"/>
      <c r="Q11" s="746"/>
      <c r="R11" s="746"/>
      <c r="S11" s="746">
        <v>60</v>
      </c>
      <c r="T11" s="746"/>
      <c r="U11" s="746">
        <f t="shared" si="6"/>
        <v>60</v>
      </c>
    </row>
    <row r="12" spans="1:26" ht="15" customHeight="1" x14ac:dyDescent="0.25">
      <c r="A12" s="168" t="s">
        <v>16</v>
      </c>
      <c r="B12" s="1289" t="s">
        <v>15</v>
      </c>
      <c r="C12" s="1290"/>
      <c r="D12" s="746">
        <f t="shared" si="0"/>
        <v>0</v>
      </c>
      <c r="E12" s="746">
        <f t="shared" si="1"/>
        <v>0</v>
      </c>
      <c r="F12" s="746">
        <f t="shared" si="1"/>
        <v>0</v>
      </c>
      <c r="G12" s="746">
        <v>0</v>
      </c>
      <c r="H12" s="746"/>
      <c r="I12" s="746">
        <f t="shared" si="2"/>
        <v>0</v>
      </c>
      <c r="J12" s="746">
        <v>0</v>
      </c>
      <c r="K12" s="746"/>
      <c r="L12" s="746">
        <f t="shared" si="3"/>
        <v>0</v>
      </c>
      <c r="M12" s="746">
        <v>0</v>
      </c>
      <c r="N12" s="746"/>
      <c r="O12" s="746">
        <f t="shared" si="4"/>
        <v>0</v>
      </c>
      <c r="P12" s="746"/>
      <c r="Q12" s="746"/>
      <c r="R12" s="746"/>
      <c r="S12" s="746">
        <v>0</v>
      </c>
      <c r="T12" s="746"/>
      <c r="U12" s="746">
        <f t="shared" si="6"/>
        <v>0</v>
      </c>
    </row>
    <row r="13" spans="1:26" ht="15" customHeight="1" x14ac:dyDescent="0.25">
      <c r="A13" s="168" t="s">
        <v>18</v>
      </c>
      <c r="B13" s="1289" t="s">
        <v>17</v>
      </c>
      <c r="C13" s="1290"/>
      <c r="D13" s="746">
        <f t="shared" si="0"/>
        <v>723</v>
      </c>
      <c r="E13" s="746">
        <f t="shared" si="1"/>
        <v>0</v>
      </c>
      <c r="F13" s="746">
        <f t="shared" si="1"/>
        <v>723</v>
      </c>
      <c r="G13" s="746">
        <v>248</v>
      </c>
      <c r="H13" s="746"/>
      <c r="I13" s="746">
        <f t="shared" si="2"/>
        <v>248</v>
      </c>
      <c r="J13" s="746">
        <v>0</v>
      </c>
      <c r="K13" s="746"/>
      <c r="L13" s="746">
        <f t="shared" si="3"/>
        <v>0</v>
      </c>
      <c r="M13" s="746">
        <v>414</v>
      </c>
      <c r="N13" s="746"/>
      <c r="O13" s="746">
        <f t="shared" si="4"/>
        <v>414</v>
      </c>
      <c r="P13" s="746"/>
      <c r="Q13" s="746"/>
      <c r="R13" s="746"/>
      <c r="S13" s="746">
        <v>61</v>
      </c>
      <c r="T13" s="746"/>
      <c r="U13" s="746">
        <f t="shared" si="6"/>
        <v>61</v>
      </c>
    </row>
    <row r="14" spans="1:26" ht="15" customHeight="1" x14ac:dyDescent="0.25">
      <c r="A14" s="168" t="s">
        <v>20</v>
      </c>
      <c r="B14" s="1289" t="s">
        <v>19</v>
      </c>
      <c r="C14" s="1290"/>
      <c r="D14" s="746">
        <f t="shared" si="0"/>
        <v>0</v>
      </c>
      <c r="E14" s="746">
        <f t="shared" si="1"/>
        <v>0</v>
      </c>
      <c r="F14" s="1001">
        <v>0</v>
      </c>
      <c r="G14" s="746">
        <v>0</v>
      </c>
      <c r="H14" s="746"/>
      <c r="I14" s="746">
        <v>0</v>
      </c>
      <c r="J14" s="746">
        <v>0</v>
      </c>
      <c r="K14" s="746"/>
      <c r="L14" s="746">
        <f t="shared" si="3"/>
        <v>0</v>
      </c>
      <c r="M14" s="746">
        <v>0</v>
      </c>
      <c r="N14" s="746"/>
      <c r="O14" s="746">
        <f t="shared" si="4"/>
        <v>0</v>
      </c>
      <c r="P14" s="746"/>
      <c r="Q14" s="746"/>
      <c r="R14" s="746"/>
      <c r="S14" s="746">
        <v>0</v>
      </c>
      <c r="T14" s="746"/>
      <c r="U14" s="746">
        <f t="shared" si="6"/>
        <v>0</v>
      </c>
    </row>
    <row r="15" spans="1:26" ht="15" customHeight="1" x14ac:dyDescent="0.25">
      <c r="A15" s="168" t="s">
        <v>22</v>
      </c>
      <c r="B15" s="1289" t="s">
        <v>21</v>
      </c>
      <c r="C15" s="1290"/>
      <c r="D15" s="746">
        <v>534</v>
      </c>
      <c r="E15" s="746">
        <f t="shared" si="1"/>
        <v>0</v>
      </c>
      <c r="F15" s="746">
        <f t="shared" si="1"/>
        <v>534</v>
      </c>
      <c r="G15" s="746">
        <v>534</v>
      </c>
      <c r="H15" s="746"/>
      <c r="I15" s="746">
        <f t="shared" si="2"/>
        <v>534</v>
      </c>
      <c r="J15" s="746">
        <v>0</v>
      </c>
      <c r="K15" s="746"/>
      <c r="L15" s="746">
        <f t="shared" si="3"/>
        <v>0</v>
      </c>
      <c r="M15" s="746">
        <v>0</v>
      </c>
      <c r="N15" s="746"/>
      <c r="O15" s="746">
        <f t="shared" si="4"/>
        <v>0</v>
      </c>
      <c r="P15" s="746"/>
      <c r="Q15" s="746"/>
      <c r="R15" s="746"/>
      <c r="S15" s="746">
        <v>0</v>
      </c>
      <c r="T15" s="746"/>
      <c r="U15" s="746">
        <f t="shared" si="6"/>
        <v>0</v>
      </c>
    </row>
    <row r="16" spans="1:26" ht="15" customHeight="1" x14ac:dyDescent="0.25">
      <c r="A16" s="168" t="s">
        <v>24</v>
      </c>
      <c r="B16" s="1289" t="s">
        <v>23</v>
      </c>
      <c r="C16" s="1290"/>
      <c r="D16" s="746">
        <f t="shared" si="0"/>
        <v>0</v>
      </c>
      <c r="E16" s="746">
        <f t="shared" si="1"/>
        <v>0</v>
      </c>
      <c r="F16" s="746">
        <f t="shared" si="1"/>
        <v>0</v>
      </c>
      <c r="G16" s="746">
        <v>0</v>
      </c>
      <c r="H16" s="746"/>
      <c r="I16" s="746">
        <f t="shared" si="2"/>
        <v>0</v>
      </c>
      <c r="J16" s="746">
        <v>0</v>
      </c>
      <c r="K16" s="746"/>
      <c r="L16" s="746">
        <f t="shared" si="3"/>
        <v>0</v>
      </c>
      <c r="M16" s="746">
        <v>0</v>
      </c>
      <c r="N16" s="746"/>
      <c r="O16" s="746">
        <f t="shared" si="4"/>
        <v>0</v>
      </c>
      <c r="P16" s="746"/>
      <c r="Q16" s="746"/>
      <c r="R16" s="746"/>
      <c r="S16" s="746">
        <v>0</v>
      </c>
      <c r="T16" s="746"/>
      <c r="U16" s="746">
        <f t="shared" si="6"/>
        <v>0</v>
      </c>
    </row>
    <row r="17" spans="1:21" ht="23.25" customHeight="1" x14ac:dyDescent="0.25">
      <c r="A17" s="168" t="s">
        <v>25</v>
      </c>
      <c r="B17" s="1289" t="s">
        <v>175</v>
      </c>
      <c r="C17" s="1290"/>
      <c r="D17" s="746">
        <v>188</v>
      </c>
      <c r="E17" s="746">
        <f t="shared" si="1"/>
        <v>9</v>
      </c>
      <c r="F17" s="1001">
        <f t="shared" si="1"/>
        <v>197</v>
      </c>
      <c r="G17" s="746">
        <v>104</v>
      </c>
      <c r="H17" s="746"/>
      <c r="I17" s="746">
        <f t="shared" si="2"/>
        <v>104</v>
      </c>
      <c r="J17" s="746">
        <v>43</v>
      </c>
      <c r="K17" s="746"/>
      <c r="L17" s="746">
        <f t="shared" si="3"/>
        <v>43</v>
      </c>
      <c r="M17" s="746">
        <v>22</v>
      </c>
      <c r="N17" s="746"/>
      <c r="O17" s="746">
        <f t="shared" si="4"/>
        <v>22</v>
      </c>
      <c r="P17" s="746"/>
      <c r="Q17" s="746"/>
      <c r="R17" s="746"/>
      <c r="S17" s="746">
        <v>19</v>
      </c>
      <c r="T17" s="746">
        <v>9</v>
      </c>
      <c r="U17" s="746">
        <f t="shared" si="6"/>
        <v>28</v>
      </c>
    </row>
    <row r="18" spans="1:21" ht="15" customHeight="1" x14ac:dyDescent="0.25">
      <c r="A18" s="168" t="s">
        <v>25</v>
      </c>
      <c r="B18" s="1289" t="s">
        <v>26</v>
      </c>
      <c r="C18" s="1290"/>
      <c r="D18" s="746">
        <f t="shared" si="0"/>
        <v>0</v>
      </c>
      <c r="E18" s="746">
        <f t="shared" si="1"/>
        <v>0</v>
      </c>
      <c r="F18" s="746">
        <f t="shared" si="1"/>
        <v>0</v>
      </c>
      <c r="G18" s="746">
        <v>0</v>
      </c>
      <c r="H18" s="746"/>
      <c r="I18" s="746">
        <f t="shared" si="2"/>
        <v>0</v>
      </c>
      <c r="J18" s="746">
        <v>0</v>
      </c>
      <c r="K18" s="746"/>
      <c r="L18" s="746">
        <f t="shared" si="3"/>
        <v>0</v>
      </c>
      <c r="M18" s="746">
        <v>0</v>
      </c>
      <c r="N18" s="746"/>
      <c r="O18" s="746">
        <f t="shared" si="4"/>
        <v>0</v>
      </c>
      <c r="P18" s="746"/>
      <c r="Q18" s="746"/>
      <c r="R18" s="746"/>
      <c r="S18" s="746">
        <v>0</v>
      </c>
      <c r="T18" s="746"/>
      <c r="U18" s="746">
        <f t="shared" si="6"/>
        <v>0</v>
      </c>
    </row>
    <row r="19" spans="1:21" s="232" customFormat="1" ht="15" customHeight="1" x14ac:dyDescent="0.25">
      <c r="A19" s="230" t="s">
        <v>27</v>
      </c>
      <c r="B19" s="1291" t="s">
        <v>423</v>
      </c>
      <c r="C19" s="1292"/>
      <c r="D19" s="747">
        <f>SUM(D5:D18)</f>
        <v>23081</v>
      </c>
      <c r="E19" s="747">
        <f>SUM(E5:E18)</f>
        <v>8128</v>
      </c>
      <c r="F19" s="747">
        <f>SUM(F5:F18)</f>
        <v>31209</v>
      </c>
      <c r="G19" s="747">
        <f t="shared" ref="G19:U19" si="7">SUM(G5:G18)</f>
        <v>12424</v>
      </c>
      <c r="H19" s="747">
        <f t="shared" si="7"/>
        <v>7960</v>
      </c>
      <c r="I19" s="747">
        <f t="shared" si="7"/>
        <v>20384</v>
      </c>
      <c r="J19" s="747">
        <f t="shared" si="7"/>
        <v>5443</v>
      </c>
      <c r="K19" s="747">
        <f t="shared" si="7"/>
        <v>86</v>
      </c>
      <c r="L19" s="747">
        <f t="shared" si="7"/>
        <v>5529</v>
      </c>
      <c r="M19" s="747">
        <f t="shared" si="7"/>
        <v>2650</v>
      </c>
      <c r="N19" s="747">
        <f t="shared" si="7"/>
        <v>44</v>
      </c>
      <c r="O19" s="747">
        <f t="shared" si="7"/>
        <v>2694</v>
      </c>
      <c r="P19" s="747">
        <f t="shared" si="7"/>
        <v>0</v>
      </c>
      <c r="Q19" s="747">
        <f t="shared" si="7"/>
        <v>0</v>
      </c>
      <c r="R19" s="747">
        <f t="shared" si="7"/>
        <v>0</v>
      </c>
      <c r="S19" s="747">
        <f t="shared" si="7"/>
        <v>2564</v>
      </c>
      <c r="T19" s="747">
        <f t="shared" si="7"/>
        <v>38</v>
      </c>
      <c r="U19" s="747">
        <f t="shared" si="7"/>
        <v>2602</v>
      </c>
    </row>
    <row r="20" spans="1:21" ht="15" customHeight="1" x14ac:dyDescent="0.25">
      <c r="A20" s="168" t="s">
        <v>29</v>
      </c>
      <c r="B20" s="1289" t="s">
        <v>28</v>
      </c>
      <c r="C20" s="1290"/>
      <c r="D20" s="746">
        <f>+G20+J20+M20+S20</f>
        <v>0</v>
      </c>
      <c r="E20" s="746">
        <f>+H20+K20+N20+T20</f>
        <v>0</v>
      </c>
      <c r="F20" s="746">
        <f>+I20+L20+O20+U20</f>
        <v>0</v>
      </c>
      <c r="G20" s="746"/>
      <c r="H20" s="746"/>
      <c r="I20" s="746">
        <f>+H20+G20</f>
        <v>0</v>
      </c>
      <c r="J20" s="746"/>
      <c r="K20" s="746"/>
      <c r="L20" s="746">
        <f>+K20+J20</f>
        <v>0</v>
      </c>
      <c r="M20" s="746"/>
      <c r="N20" s="746"/>
      <c r="O20" s="746">
        <f>+N20+M20</f>
        <v>0</v>
      </c>
      <c r="P20" s="746"/>
      <c r="Q20" s="746"/>
      <c r="R20" s="746"/>
      <c r="S20" s="746"/>
      <c r="T20" s="746"/>
      <c r="U20" s="746">
        <f>+T20+S20</f>
        <v>0</v>
      </c>
    </row>
    <row r="21" spans="1:21" ht="40.5" customHeight="1" x14ac:dyDescent="0.25">
      <c r="A21" s="168" t="s">
        <v>658</v>
      </c>
      <c r="B21" s="1289" t="s">
        <v>30</v>
      </c>
      <c r="C21" s="1290"/>
      <c r="D21" s="746">
        <f t="shared" ref="D21" si="8">+G21+J21+M21+S21</f>
        <v>1500</v>
      </c>
      <c r="E21" s="746">
        <f>+H21+K21+N21+T21</f>
        <v>175</v>
      </c>
      <c r="F21" s="1001">
        <f>+I21+L21+O21+U21</f>
        <v>1675</v>
      </c>
      <c r="G21" s="746">
        <v>1500</v>
      </c>
      <c r="H21" s="746"/>
      <c r="I21" s="746">
        <f>+H21+G21</f>
        <v>1500</v>
      </c>
      <c r="J21" s="746"/>
      <c r="K21" s="746">
        <f>139+36</f>
        <v>175</v>
      </c>
      <c r="L21" s="746">
        <f t="shared" ref="L21:L22" si="9">+K21+J21</f>
        <v>175</v>
      </c>
      <c r="M21" s="746"/>
      <c r="N21" s="746"/>
      <c r="O21" s="746">
        <f t="shared" ref="O21:O22" si="10">+N21+M21</f>
        <v>0</v>
      </c>
      <c r="P21" s="746"/>
      <c r="Q21" s="746"/>
      <c r="R21" s="746"/>
      <c r="S21" s="746"/>
      <c r="T21" s="746"/>
      <c r="U21" s="746">
        <f t="shared" ref="U21:U22" si="11">+T21+S21</f>
        <v>0</v>
      </c>
    </row>
    <row r="22" spans="1:21" ht="15" customHeight="1" x14ac:dyDescent="0.25">
      <c r="A22" s="168" t="s">
        <v>32</v>
      </c>
      <c r="B22" s="1289" t="s">
        <v>31</v>
      </c>
      <c r="C22" s="1290"/>
      <c r="D22" s="746">
        <v>36</v>
      </c>
      <c r="E22" s="746">
        <f>+H22+K22+N22+T22</f>
        <v>132</v>
      </c>
      <c r="F22" s="746">
        <f>+I22+L22+O22+U22</f>
        <v>168</v>
      </c>
      <c r="G22" s="746">
        <v>36</v>
      </c>
      <c r="H22" s="746">
        <v>60</v>
      </c>
      <c r="I22" s="746">
        <f>+H22+G22</f>
        <v>96</v>
      </c>
      <c r="J22" s="746"/>
      <c r="K22" s="746">
        <v>72</v>
      </c>
      <c r="L22" s="746">
        <f t="shared" si="9"/>
        <v>72</v>
      </c>
      <c r="M22" s="746"/>
      <c r="N22" s="746"/>
      <c r="O22" s="746">
        <f t="shared" si="10"/>
        <v>0</v>
      </c>
      <c r="P22" s="746"/>
      <c r="Q22" s="746"/>
      <c r="R22" s="746"/>
      <c r="S22" s="746"/>
      <c r="T22" s="746"/>
      <c r="U22" s="746">
        <f t="shared" si="11"/>
        <v>0</v>
      </c>
    </row>
    <row r="23" spans="1:21" s="232" customFormat="1" ht="15" customHeight="1" x14ac:dyDescent="0.25">
      <c r="A23" s="230" t="s">
        <v>33</v>
      </c>
      <c r="B23" s="1291" t="s">
        <v>424</v>
      </c>
      <c r="C23" s="1292"/>
      <c r="D23" s="747">
        <f>+D22+D21+D20</f>
        <v>1536</v>
      </c>
      <c r="E23" s="747">
        <f t="shared" ref="E23:U23" si="12">SUM(E20:E22)</f>
        <v>307</v>
      </c>
      <c r="F23" s="747">
        <f t="shared" si="12"/>
        <v>1843</v>
      </c>
      <c r="G23" s="747">
        <f t="shared" si="12"/>
        <v>1536</v>
      </c>
      <c r="H23" s="747">
        <f t="shared" si="12"/>
        <v>60</v>
      </c>
      <c r="I23" s="747">
        <f t="shared" si="12"/>
        <v>1596</v>
      </c>
      <c r="J23" s="747">
        <f t="shared" si="12"/>
        <v>0</v>
      </c>
      <c r="K23" s="747">
        <f t="shared" si="12"/>
        <v>247</v>
      </c>
      <c r="L23" s="747">
        <f t="shared" si="12"/>
        <v>247</v>
      </c>
      <c r="M23" s="747">
        <f t="shared" si="12"/>
        <v>0</v>
      </c>
      <c r="N23" s="747">
        <f t="shared" si="12"/>
        <v>0</v>
      </c>
      <c r="O23" s="747">
        <f t="shared" si="12"/>
        <v>0</v>
      </c>
      <c r="P23" s="747">
        <f t="shared" ref="P23:R23" si="13">SUM(P20:P22)</f>
        <v>0</v>
      </c>
      <c r="Q23" s="747">
        <f t="shared" si="13"/>
        <v>0</v>
      </c>
      <c r="R23" s="747">
        <f t="shared" si="13"/>
        <v>0</v>
      </c>
      <c r="S23" s="747">
        <f t="shared" si="12"/>
        <v>0</v>
      </c>
      <c r="T23" s="747">
        <f t="shared" si="12"/>
        <v>0</v>
      </c>
      <c r="U23" s="747">
        <f t="shared" si="12"/>
        <v>0</v>
      </c>
    </row>
    <row r="24" spans="1:21" s="232" customFormat="1" ht="15" customHeight="1" x14ac:dyDescent="0.25">
      <c r="A24" s="230" t="s">
        <v>34</v>
      </c>
      <c r="B24" s="1291" t="s">
        <v>425</v>
      </c>
      <c r="C24" s="1292"/>
      <c r="D24" s="747">
        <f>+D23+D19</f>
        <v>24617</v>
      </c>
      <c r="E24" s="747">
        <f t="shared" ref="E24:U24" si="14">+E23+E19</f>
        <v>8435</v>
      </c>
      <c r="F24" s="747">
        <f t="shared" si="14"/>
        <v>33052</v>
      </c>
      <c r="G24" s="747">
        <f t="shared" si="14"/>
        <v>13960</v>
      </c>
      <c r="H24" s="747">
        <f t="shared" si="14"/>
        <v>8020</v>
      </c>
      <c r="I24" s="747">
        <f t="shared" si="14"/>
        <v>21980</v>
      </c>
      <c r="J24" s="747">
        <f t="shared" si="14"/>
        <v>5443</v>
      </c>
      <c r="K24" s="747">
        <f t="shared" si="14"/>
        <v>333</v>
      </c>
      <c r="L24" s="747">
        <f t="shared" si="14"/>
        <v>5776</v>
      </c>
      <c r="M24" s="747">
        <f t="shared" si="14"/>
        <v>2650</v>
      </c>
      <c r="N24" s="747">
        <f t="shared" si="14"/>
        <v>44</v>
      </c>
      <c r="O24" s="747">
        <f t="shared" si="14"/>
        <v>2694</v>
      </c>
      <c r="P24" s="747">
        <f t="shared" si="14"/>
        <v>0</v>
      </c>
      <c r="Q24" s="747">
        <f t="shared" si="14"/>
        <v>0</v>
      </c>
      <c r="R24" s="747">
        <f t="shared" si="14"/>
        <v>0</v>
      </c>
      <c r="S24" s="747">
        <f t="shared" si="14"/>
        <v>2564</v>
      </c>
      <c r="T24" s="747">
        <f t="shared" si="14"/>
        <v>38</v>
      </c>
      <c r="U24" s="747">
        <f t="shared" si="14"/>
        <v>2602</v>
      </c>
    </row>
    <row r="25" spans="1:21" x14ac:dyDescent="0.25">
      <c r="A25" s="169"/>
      <c r="B25" s="170"/>
      <c r="C25" s="170"/>
      <c r="D25" s="171"/>
      <c r="E25" s="171"/>
      <c r="F25" s="172"/>
      <c r="G25" s="239"/>
      <c r="H25" s="171"/>
      <c r="I25" s="172"/>
      <c r="J25" s="239"/>
      <c r="K25" s="171"/>
      <c r="L25" s="172"/>
      <c r="M25" s="239"/>
      <c r="N25" s="171"/>
      <c r="O25" s="172"/>
      <c r="P25" s="171"/>
      <c r="Q25" s="171"/>
      <c r="R25" s="171"/>
      <c r="S25" s="239"/>
      <c r="T25" s="171"/>
      <c r="U25" s="172"/>
    </row>
    <row r="26" spans="1:21" s="232" customFormat="1" ht="26.25" customHeight="1" x14ac:dyDescent="0.25">
      <c r="A26" s="230" t="s">
        <v>35</v>
      </c>
      <c r="B26" s="1291" t="s">
        <v>426</v>
      </c>
      <c r="C26" s="1292"/>
      <c r="D26" s="231">
        <v>4815</v>
      </c>
      <c r="E26" s="231">
        <f t="shared" ref="E26:F27" si="15">+H26+K26+N26+T26</f>
        <v>1756</v>
      </c>
      <c r="F26" s="231">
        <f t="shared" si="15"/>
        <v>6571</v>
      </c>
      <c r="G26" s="231">
        <f t="shared" ref="G26:U26" si="16">SUM(G27:G31)</f>
        <v>2781</v>
      </c>
      <c r="H26" s="231">
        <f t="shared" si="16"/>
        <v>1723</v>
      </c>
      <c r="I26" s="231">
        <f t="shared" si="16"/>
        <v>4504</v>
      </c>
      <c r="J26" s="231">
        <f t="shared" si="16"/>
        <v>1090</v>
      </c>
      <c r="K26" s="231">
        <f t="shared" si="16"/>
        <v>17</v>
      </c>
      <c r="L26" s="231">
        <f t="shared" si="16"/>
        <v>1107</v>
      </c>
      <c r="M26" s="231">
        <f t="shared" si="16"/>
        <v>441</v>
      </c>
      <c r="N26" s="231">
        <f t="shared" si="16"/>
        <v>9</v>
      </c>
      <c r="O26" s="231">
        <f t="shared" si="16"/>
        <v>450</v>
      </c>
      <c r="P26" s="231">
        <f t="shared" si="16"/>
        <v>0</v>
      </c>
      <c r="Q26" s="231">
        <f t="shared" si="16"/>
        <v>0</v>
      </c>
      <c r="R26" s="231">
        <f t="shared" si="16"/>
        <v>0</v>
      </c>
      <c r="S26" s="231">
        <f t="shared" si="16"/>
        <v>503</v>
      </c>
      <c r="T26" s="231">
        <f t="shared" si="16"/>
        <v>7</v>
      </c>
      <c r="U26" s="231">
        <f t="shared" si="16"/>
        <v>510</v>
      </c>
    </row>
    <row r="27" spans="1:21" ht="25.5" customHeight="1" x14ac:dyDescent="0.25">
      <c r="A27" s="173" t="s">
        <v>35</v>
      </c>
      <c r="B27" s="174"/>
      <c r="C27" s="175" t="s">
        <v>36</v>
      </c>
      <c r="D27" s="229">
        <v>4658</v>
      </c>
      <c r="E27" s="229"/>
      <c r="F27" s="229">
        <f t="shared" si="15"/>
        <v>6414</v>
      </c>
      <c r="G27" s="229">
        <v>2686</v>
      </c>
      <c r="H27" s="229">
        <f>16+14+1693</f>
        <v>1723</v>
      </c>
      <c r="I27" s="229">
        <f>+H27+G27</f>
        <v>4409</v>
      </c>
      <c r="J27" s="229">
        <v>1049</v>
      </c>
      <c r="K27" s="229">
        <v>17</v>
      </c>
      <c r="L27" s="229">
        <f>+K27+J27</f>
        <v>1066</v>
      </c>
      <c r="M27" s="229">
        <v>441</v>
      </c>
      <c r="N27" s="229">
        <v>9</v>
      </c>
      <c r="O27" s="229">
        <f>+N27+M27</f>
        <v>450</v>
      </c>
      <c r="P27" s="229"/>
      <c r="Q27" s="229"/>
      <c r="R27" s="229"/>
      <c r="S27" s="229">
        <v>482</v>
      </c>
      <c r="T27" s="229">
        <v>7</v>
      </c>
      <c r="U27" s="229">
        <f>+T27+S27</f>
        <v>489</v>
      </c>
    </row>
    <row r="28" spans="1:21" ht="25.5" customHeight="1" x14ac:dyDescent="0.25">
      <c r="A28" s="173" t="s">
        <v>35</v>
      </c>
      <c r="B28" s="174"/>
      <c r="C28" s="175" t="s">
        <v>37</v>
      </c>
      <c r="D28" s="229">
        <f t="shared" ref="D28:F31" si="17">+G28+J28+M28+S28</f>
        <v>0</v>
      </c>
      <c r="E28" s="229">
        <f t="shared" si="17"/>
        <v>0</v>
      </c>
      <c r="F28" s="229">
        <f t="shared" si="17"/>
        <v>0</v>
      </c>
      <c r="G28" s="229"/>
      <c r="H28" s="229"/>
      <c r="I28" s="229">
        <f t="shared" ref="I28:I31" si="18">+H28+G28</f>
        <v>0</v>
      </c>
      <c r="J28" s="229"/>
      <c r="K28" s="229"/>
      <c r="L28" s="229">
        <f t="shared" ref="L28:L31" si="19">+K28+J28</f>
        <v>0</v>
      </c>
      <c r="M28" s="229"/>
      <c r="N28" s="229"/>
      <c r="O28" s="229">
        <f t="shared" ref="O28:O31" si="20">+N28+M28</f>
        <v>0</v>
      </c>
      <c r="P28" s="229"/>
      <c r="Q28" s="229"/>
      <c r="R28" s="229"/>
      <c r="S28" s="229"/>
      <c r="T28" s="229"/>
      <c r="U28" s="229">
        <f t="shared" ref="U28:U31" si="21">+T28+S28</f>
        <v>0</v>
      </c>
    </row>
    <row r="29" spans="1:21" ht="25.5" customHeight="1" x14ac:dyDescent="0.25">
      <c r="A29" s="173" t="s">
        <v>35</v>
      </c>
      <c r="B29" s="174"/>
      <c r="C29" s="175" t="s">
        <v>38</v>
      </c>
      <c r="D29" s="229">
        <f t="shared" si="17"/>
        <v>77</v>
      </c>
      <c r="E29" s="229">
        <f t="shared" si="17"/>
        <v>0</v>
      </c>
      <c r="F29" s="229">
        <f t="shared" si="17"/>
        <v>77</v>
      </c>
      <c r="G29" s="229">
        <v>47</v>
      </c>
      <c r="H29" s="229"/>
      <c r="I29" s="229">
        <f t="shared" si="18"/>
        <v>47</v>
      </c>
      <c r="J29" s="229">
        <v>20</v>
      </c>
      <c r="K29" s="229"/>
      <c r="L29" s="229">
        <f t="shared" si="19"/>
        <v>20</v>
      </c>
      <c r="M29" s="229"/>
      <c r="N29" s="229"/>
      <c r="O29" s="229">
        <f t="shared" si="20"/>
        <v>0</v>
      </c>
      <c r="P29" s="229"/>
      <c r="Q29" s="229"/>
      <c r="R29" s="229"/>
      <c r="S29" s="229">
        <v>10</v>
      </c>
      <c r="T29" s="229"/>
      <c r="U29" s="229">
        <f t="shared" si="21"/>
        <v>10</v>
      </c>
    </row>
    <row r="30" spans="1:21" ht="25.5" customHeight="1" x14ac:dyDescent="0.25">
      <c r="A30" s="173" t="s">
        <v>35</v>
      </c>
      <c r="B30" s="174"/>
      <c r="C30" s="175" t="s">
        <v>427</v>
      </c>
      <c r="D30" s="229">
        <f t="shared" si="17"/>
        <v>0</v>
      </c>
      <c r="E30" s="229">
        <f t="shared" si="17"/>
        <v>0</v>
      </c>
      <c r="F30" s="229">
        <f t="shared" si="17"/>
        <v>0</v>
      </c>
      <c r="G30" s="229"/>
      <c r="H30" s="229"/>
      <c r="I30" s="229">
        <f t="shared" si="18"/>
        <v>0</v>
      </c>
      <c r="J30" s="229"/>
      <c r="K30" s="229"/>
      <c r="L30" s="229">
        <f t="shared" si="19"/>
        <v>0</v>
      </c>
      <c r="M30" s="229"/>
      <c r="N30" s="229"/>
      <c r="O30" s="229">
        <f t="shared" si="20"/>
        <v>0</v>
      </c>
      <c r="P30" s="229"/>
      <c r="Q30" s="229"/>
      <c r="R30" s="229"/>
      <c r="S30" s="229"/>
      <c r="T30" s="229"/>
      <c r="U30" s="229">
        <f t="shared" si="21"/>
        <v>0</v>
      </c>
    </row>
    <row r="31" spans="1:21" ht="25.5" x14ac:dyDescent="0.25">
      <c r="A31" s="173" t="s">
        <v>35</v>
      </c>
      <c r="B31" s="174"/>
      <c r="C31" s="175" t="s">
        <v>40</v>
      </c>
      <c r="D31" s="229">
        <f t="shared" si="17"/>
        <v>80</v>
      </c>
      <c r="E31" s="229">
        <f t="shared" si="17"/>
        <v>0</v>
      </c>
      <c r="F31" s="229">
        <f t="shared" si="17"/>
        <v>80</v>
      </c>
      <c r="G31" s="229">
        <v>48</v>
      </c>
      <c r="H31" s="229"/>
      <c r="I31" s="229">
        <f t="shared" si="18"/>
        <v>48</v>
      </c>
      <c r="J31" s="229">
        <v>21</v>
      </c>
      <c r="K31" s="229"/>
      <c r="L31" s="229">
        <f t="shared" si="19"/>
        <v>21</v>
      </c>
      <c r="M31" s="229"/>
      <c r="N31" s="229"/>
      <c r="O31" s="229">
        <f t="shared" si="20"/>
        <v>0</v>
      </c>
      <c r="P31" s="229"/>
      <c r="Q31" s="229"/>
      <c r="R31" s="229"/>
      <c r="S31" s="229">
        <v>11</v>
      </c>
      <c r="T31" s="229"/>
      <c r="U31" s="229">
        <f t="shared" si="21"/>
        <v>11</v>
      </c>
    </row>
    <row r="32" spans="1:21" ht="9.75" customHeight="1" x14ac:dyDescent="0.25">
      <c r="A32" s="176"/>
      <c r="B32" s="177"/>
      <c r="C32" s="178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</row>
    <row r="33" spans="1:21" ht="9" customHeight="1" x14ac:dyDescent="0.25">
      <c r="A33" s="180"/>
      <c r="B33" s="181"/>
      <c r="C33" s="182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</row>
    <row r="34" spans="1:21" ht="15" customHeight="1" x14ac:dyDescent="0.25">
      <c r="A34" s="168" t="s">
        <v>42</v>
      </c>
      <c r="B34" s="1289" t="s">
        <v>41</v>
      </c>
      <c r="C34" s="1290"/>
      <c r="D34" s="649">
        <v>1540</v>
      </c>
      <c r="E34" s="649">
        <f>+H34+K34+N34+T34</f>
        <v>60</v>
      </c>
      <c r="F34" s="1002">
        <f>+I34+R34+L34+O34+U34</f>
        <v>1600</v>
      </c>
      <c r="G34" s="649">
        <v>730</v>
      </c>
      <c r="H34" s="649">
        <f>5+31</f>
        <v>36</v>
      </c>
      <c r="I34" s="229">
        <f>+H34+G34</f>
        <v>766</v>
      </c>
      <c r="J34" s="229">
        <v>280</v>
      </c>
      <c r="K34" s="229"/>
      <c r="L34" s="229">
        <f>+K34+J34</f>
        <v>280</v>
      </c>
      <c r="M34" s="229"/>
      <c r="N34" s="229">
        <v>7</v>
      </c>
      <c r="O34" s="229">
        <f>+N34+M34</f>
        <v>7</v>
      </c>
      <c r="P34" s="229">
        <v>530</v>
      </c>
      <c r="Q34" s="229"/>
      <c r="R34" s="229">
        <f>+Q34+P34</f>
        <v>530</v>
      </c>
      <c r="S34" s="229">
        <v>0</v>
      </c>
      <c r="T34" s="229">
        <v>17</v>
      </c>
      <c r="U34" s="229">
        <f>+T34+S34</f>
        <v>17</v>
      </c>
    </row>
    <row r="35" spans="1:21" ht="15" customHeight="1" x14ac:dyDescent="0.25">
      <c r="A35" s="168" t="s">
        <v>44</v>
      </c>
      <c r="B35" s="1289" t="s">
        <v>43</v>
      </c>
      <c r="C35" s="1290"/>
      <c r="D35" s="649">
        <f t="shared" ref="D35:E57" si="22">+G35+J35+M35+S35</f>
        <v>570</v>
      </c>
      <c r="E35" s="649">
        <f>+H35+K35+N35+T35</f>
        <v>51</v>
      </c>
      <c r="F35" s="1002">
        <f>+I35+L35+O35+U35</f>
        <v>621</v>
      </c>
      <c r="G35" s="649">
        <v>470</v>
      </c>
      <c r="H35" s="649">
        <v>51</v>
      </c>
      <c r="I35" s="229">
        <f t="shared" ref="I35:I36" si="23">+H35+G35</f>
        <v>521</v>
      </c>
      <c r="J35" s="229">
        <v>100</v>
      </c>
      <c r="K35" s="229"/>
      <c r="L35" s="229">
        <f t="shared" ref="L35:L36" si="24">+K35+J35</f>
        <v>100</v>
      </c>
      <c r="M35" s="229"/>
      <c r="N35" s="229"/>
      <c r="O35" s="229">
        <f t="shared" ref="O35:O36" si="25">+N35+M35</f>
        <v>0</v>
      </c>
      <c r="P35" s="229"/>
      <c r="Q35" s="229"/>
      <c r="R35" s="229"/>
      <c r="S35" s="229">
        <v>0</v>
      </c>
      <c r="T35" s="229"/>
      <c r="U35" s="229">
        <f t="shared" ref="U35:U36" si="26">+T35+S35</f>
        <v>0</v>
      </c>
    </row>
    <row r="36" spans="1:21" ht="15" customHeight="1" x14ac:dyDescent="0.25">
      <c r="A36" s="168" t="s">
        <v>46</v>
      </c>
      <c r="B36" s="1289" t="s">
        <v>45</v>
      </c>
      <c r="C36" s="1290"/>
      <c r="D36" s="649">
        <f t="shared" si="22"/>
        <v>0</v>
      </c>
      <c r="E36" s="649">
        <f>+H36+K36+N36+T36</f>
        <v>0</v>
      </c>
      <c r="F36" s="1002">
        <f>+I36+L36+O36+U36</f>
        <v>0</v>
      </c>
      <c r="G36" s="649"/>
      <c r="H36" s="649"/>
      <c r="I36" s="229">
        <f t="shared" si="23"/>
        <v>0</v>
      </c>
      <c r="J36" s="229"/>
      <c r="K36" s="229"/>
      <c r="L36" s="229">
        <f t="shared" si="24"/>
        <v>0</v>
      </c>
      <c r="M36" s="229"/>
      <c r="N36" s="229"/>
      <c r="O36" s="229">
        <f t="shared" si="25"/>
        <v>0</v>
      </c>
      <c r="P36" s="229"/>
      <c r="Q36" s="229"/>
      <c r="R36" s="229"/>
      <c r="S36" s="229"/>
      <c r="T36" s="229"/>
      <c r="U36" s="229">
        <f t="shared" si="26"/>
        <v>0</v>
      </c>
    </row>
    <row r="37" spans="1:21" s="232" customFormat="1" ht="15" customHeight="1" x14ac:dyDescent="0.25">
      <c r="A37" s="230" t="s">
        <v>47</v>
      </c>
      <c r="B37" s="1291" t="s">
        <v>428</v>
      </c>
      <c r="C37" s="1292"/>
      <c r="D37" s="650">
        <v>2110</v>
      </c>
      <c r="E37" s="650">
        <f>SUM(E34:E36)</f>
        <v>111</v>
      </c>
      <c r="F37" s="1003">
        <f t="shared" ref="F37:U37" si="27">SUM(F34:F36)</f>
        <v>2221</v>
      </c>
      <c r="G37" s="650">
        <f t="shared" si="27"/>
        <v>1200</v>
      </c>
      <c r="H37" s="650">
        <f t="shared" si="27"/>
        <v>87</v>
      </c>
      <c r="I37" s="231">
        <f t="shared" si="27"/>
        <v>1287</v>
      </c>
      <c r="J37" s="231">
        <f t="shared" si="27"/>
        <v>380</v>
      </c>
      <c r="K37" s="231">
        <f t="shared" si="27"/>
        <v>0</v>
      </c>
      <c r="L37" s="231">
        <f t="shared" si="27"/>
        <v>380</v>
      </c>
      <c r="M37" s="231">
        <f t="shared" si="27"/>
        <v>0</v>
      </c>
      <c r="N37" s="231">
        <f t="shared" si="27"/>
        <v>7</v>
      </c>
      <c r="O37" s="231">
        <f t="shared" si="27"/>
        <v>7</v>
      </c>
      <c r="P37" s="231">
        <f t="shared" si="27"/>
        <v>530</v>
      </c>
      <c r="Q37" s="231">
        <f t="shared" si="27"/>
        <v>0</v>
      </c>
      <c r="R37" s="231">
        <f t="shared" si="27"/>
        <v>530</v>
      </c>
      <c r="S37" s="231">
        <f t="shared" si="27"/>
        <v>0</v>
      </c>
      <c r="T37" s="231">
        <f t="shared" si="27"/>
        <v>17</v>
      </c>
      <c r="U37" s="231">
        <f t="shared" si="27"/>
        <v>17</v>
      </c>
    </row>
    <row r="38" spans="1:21" ht="15" customHeight="1" x14ac:dyDescent="0.25">
      <c r="A38" s="168" t="s">
        <v>49</v>
      </c>
      <c r="B38" s="1289" t="s">
        <v>48</v>
      </c>
      <c r="C38" s="1290"/>
      <c r="D38" s="649">
        <f t="shared" si="22"/>
        <v>340</v>
      </c>
      <c r="E38" s="649">
        <f>+H38+K38+N38+T38</f>
        <v>35</v>
      </c>
      <c r="F38" s="1002">
        <f t="shared" ref="F38:F39" si="28">+I38+L38+O38+U38</f>
        <v>375</v>
      </c>
      <c r="G38" s="649">
        <v>240</v>
      </c>
      <c r="H38" s="649"/>
      <c r="I38" s="229">
        <f>+H38+G38</f>
        <v>240</v>
      </c>
      <c r="J38" s="229"/>
      <c r="K38" s="229">
        <v>35</v>
      </c>
      <c r="L38" s="229">
        <f>+K38+J38</f>
        <v>35</v>
      </c>
      <c r="M38" s="229"/>
      <c r="N38" s="229"/>
      <c r="O38" s="229">
        <f>+N38+M38</f>
        <v>0</v>
      </c>
      <c r="P38" s="229"/>
      <c r="Q38" s="229"/>
      <c r="R38" s="229"/>
      <c r="S38" s="229">
        <v>100</v>
      </c>
      <c r="T38" s="229"/>
      <c r="U38" s="229">
        <f>+T38+S38</f>
        <v>100</v>
      </c>
    </row>
    <row r="39" spans="1:21" ht="15" customHeight="1" x14ac:dyDescent="0.25">
      <c r="A39" s="168" t="s">
        <v>51</v>
      </c>
      <c r="B39" s="1289" t="s">
        <v>50</v>
      </c>
      <c r="C39" s="1290"/>
      <c r="D39" s="649">
        <f t="shared" si="22"/>
        <v>324</v>
      </c>
      <c r="E39" s="649">
        <f t="shared" si="22"/>
        <v>-35</v>
      </c>
      <c r="F39" s="1002">
        <f t="shared" si="28"/>
        <v>289</v>
      </c>
      <c r="G39" s="649">
        <v>180</v>
      </c>
      <c r="H39" s="649"/>
      <c r="I39" s="229">
        <f>+H39+G39</f>
        <v>180</v>
      </c>
      <c r="J39" s="229">
        <v>62</v>
      </c>
      <c r="K39" s="229">
        <v>-35</v>
      </c>
      <c r="L39" s="229">
        <f>+K39+J39</f>
        <v>27</v>
      </c>
      <c r="M39" s="229"/>
      <c r="N39" s="229"/>
      <c r="O39" s="229">
        <f>+N39+M39</f>
        <v>0</v>
      </c>
      <c r="P39" s="229"/>
      <c r="Q39" s="229"/>
      <c r="R39" s="229"/>
      <c r="S39" s="229">
        <v>82</v>
      </c>
      <c r="T39" s="229"/>
      <c r="U39" s="229">
        <f>+T39+S39</f>
        <v>82</v>
      </c>
    </row>
    <row r="40" spans="1:21" s="232" customFormat="1" ht="15" customHeight="1" x14ac:dyDescent="0.25">
      <c r="A40" s="230" t="s">
        <v>52</v>
      </c>
      <c r="B40" s="1291" t="s">
        <v>429</v>
      </c>
      <c r="C40" s="1292"/>
      <c r="D40" s="650">
        <f t="shared" si="22"/>
        <v>664</v>
      </c>
      <c r="E40" s="650">
        <f t="shared" ref="E40:U40" si="29">SUM(E38:E39)</f>
        <v>0</v>
      </c>
      <c r="F40" s="1003">
        <f t="shared" si="29"/>
        <v>664</v>
      </c>
      <c r="G40" s="650">
        <f t="shared" si="29"/>
        <v>420</v>
      </c>
      <c r="H40" s="650">
        <f t="shared" si="29"/>
        <v>0</v>
      </c>
      <c r="I40" s="231">
        <f t="shared" si="29"/>
        <v>420</v>
      </c>
      <c r="J40" s="231">
        <f t="shared" si="29"/>
        <v>62</v>
      </c>
      <c r="K40" s="231">
        <f t="shared" si="29"/>
        <v>0</v>
      </c>
      <c r="L40" s="231">
        <f t="shared" si="29"/>
        <v>62</v>
      </c>
      <c r="M40" s="231">
        <f t="shared" si="29"/>
        <v>0</v>
      </c>
      <c r="N40" s="231">
        <f t="shared" si="29"/>
        <v>0</v>
      </c>
      <c r="O40" s="231">
        <f t="shared" si="29"/>
        <v>0</v>
      </c>
      <c r="P40" s="231">
        <f t="shared" si="29"/>
        <v>0</v>
      </c>
      <c r="Q40" s="231">
        <f t="shared" si="29"/>
        <v>0</v>
      </c>
      <c r="R40" s="231">
        <f t="shared" si="29"/>
        <v>0</v>
      </c>
      <c r="S40" s="231">
        <f t="shared" si="29"/>
        <v>182</v>
      </c>
      <c r="T40" s="231">
        <f t="shared" si="29"/>
        <v>0</v>
      </c>
      <c r="U40" s="231">
        <f t="shared" si="29"/>
        <v>182</v>
      </c>
    </row>
    <row r="41" spans="1:21" ht="15" customHeight="1" x14ac:dyDescent="0.25">
      <c r="A41" s="168" t="s">
        <v>54</v>
      </c>
      <c r="B41" s="1289" t="s">
        <v>53</v>
      </c>
      <c r="C41" s="1290"/>
      <c r="D41" s="649">
        <f t="shared" si="22"/>
        <v>0</v>
      </c>
      <c r="E41" s="649">
        <f>+H41+K41+N41+T41</f>
        <v>0</v>
      </c>
      <c r="F41" s="1002">
        <f t="shared" ref="F41:F49" si="30">+I41+L41+O41+U41</f>
        <v>0</v>
      </c>
      <c r="G41" s="649"/>
      <c r="H41" s="649"/>
      <c r="I41" s="229">
        <f>+H41+G41</f>
        <v>0</v>
      </c>
      <c r="J41" s="229"/>
      <c r="K41" s="229"/>
      <c r="L41" s="229">
        <f>+K41+J41</f>
        <v>0</v>
      </c>
      <c r="M41" s="229"/>
      <c r="N41" s="229"/>
      <c r="O41" s="229">
        <f>+N41+M41</f>
        <v>0</v>
      </c>
      <c r="P41" s="229"/>
      <c r="Q41" s="229"/>
      <c r="R41" s="229"/>
      <c r="S41" s="229"/>
      <c r="T41" s="229"/>
      <c r="U41" s="229">
        <f>+T41+S41</f>
        <v>0</v>
      </c>
    </row>
    <row r="42" spans="1:21" ht="15" customHeight="1" x14ac:dyDescent="0.25">
      <c r="A42" s="168" t="s">
        <v>56</v>
      </c>
      <c r="B42" s="1289" t="s">
        <v>55</v>
      </c>
      <c r="C42" s="1290"/>
      <c r="D42" s="649">
        <f t="shared" si="22"/>
        <v>0</v>
      </c>
      <c r="E42" s="649">
        <f>+H42+K42+N42+T42</f>
        <v>222</v>
      </c>
      <c r="F42" s="1002">
        <f t="shared" si="30"/>
        <v>222</v>
      </c>
      <c r="G42" s="649"/>
      <c r="H42" s="649">
        <f>84+61</f>
        <v>145</v>
      </c>
      <c r="I42" s="229">
        <f t="shared" ref="I42:I49" si="31">+H42+G42</f>
        <v>145</v>
      </c>
      <c r="J42" s="229"/>
      <c r="K42" s="229">
        <v>77</v>
      </c>
      <c r="L42" s="229">
        <f t="shared" ref="L42:L49" si="32">+K42+J42</f>
        <v>77</v>
      </c>
      <c r="M42" s="229"/>
      <c r="N42" s="229"/>
      <c r="O42" s="229">
        <f t="shared" ref="O42:O49" si="33">+N42+M42</f>
        <v>0</v>
      </c>
      <c r="P42" s="229"/>
      <c r="Q42" s="229"/>
      <c r="R42" s="229"/>
      <c r="S42" s="229"/>
      <c r="T42" s="229"/>
      <c r="U42" s="229">
        <f t="shared" ref="U42:U49" si="34">+T42+S42</f>
        <v>0</v>
      </c>
    </row>
    <row r="43" spans="1:21" ht="15" customHeight="1" x14ac:dyDescent="0.25">
      <c r="A43" s="168" t="s">
        <v>57</v>
      </c>
      <c r="B43" s="1289" t="s">
        <v>430</v>
      </c>
      <c r="C43" s="1290"/>
      <c r="D43" s="649">
        <f t="shared" si="22"/>
        <v>250</v>
      </c>
      <c r="E43" s="746">
        <f>+H43+K43+N43+T43</f>
        <v>623</v>
      </c>
      <c r="F43" s="649">
        <f t="shared" si="30"/>
        <v>873</v>
      </c>
      <c r="G43" s="649">
        <v>250</v>
      </c>
      <c r="H43" s="649">
        <f>267+356</f>
        <v>623</v>
      </c>
      <c r="I43" s="229">
        <f t="shared" si="31"/>
        <v>873</v>
      </c>
      <c r="J43" s="229"/>
      <c r="K43" s="229"/>
      <c r="L43" s="229">
        <f t="shared" si="32"/>
        <v>0</v>
      </c>
      <c r="M43" s="229"/>
      <c r="N43" s="229"/>
      <c r="O43" s="229">
        <f t="shared" si="33"/>
        <v>0</v>
      </c>
      <c r="P43" s="229"/>
      <c r="Q43" s="229"/>
      <c r="R43" s="229"/>
      <c r="S43" s="229"/>
      <c r="T43" s="229"/>
      <c r="U43" s="229">
        <f t="shared" si="34"/>
        <v>0</v>
      </c>
    </row>
    <row r="44" spans="1:21" ht="15" customHeight="1" x14ac:dyDescent="0.25">
      <c r="A44" s="168" t="s">
        <v>59</v>
      </c>
      <c r="B44" s="1289" t="s">
        <v>58</v>
      </c>
      <c r="C44" s="1290"/>
      <c r="D44" s="649">
        <f t="shared" si="22"/>
        <v>50</v>
      </c>
      <c r="E44" s="746">
        <f>+H44+K44+N44+T44</f>
        <v>46</v>
      </c>
      <c r="F44" s="649">
        <f t="shared" si="30"/>
        <v>96</v>
      </c>
      <c r="G44" s="649">
        <v>50</v>
      </c>
      <c r="H44" s="649"/>
      <c r="I44" s="229">
        <f t="shared" si="31"/>
        <v>50</v>
      </c>
      <c r="J44" s="229"/>
      <c r="K44" s="229"/>
      <c r="L44" s="229">
        <f t="shared" si="32"/>
        <v>0</v>
      </c>
      <c r="M44" s="229"/>
      <c r="N44" s="229"/>
      <c r="O44" s="229">
        <f t="shared" si="33"/>
        <v>0</v>
      </c>
      <c r="P44" s="229"/>
      <c r="Q44" s="229">
        <v>46</v>
      </c>
      <c r="R44" s="229"/>
      <c r="S44" s="229"/>
      <c r="T44" s="229">
        <v>46</v>
      </c>
      <c r="U44" s="229">
        <f t="shared" si="34"/>
        <v>46</v>
      </c>
    </row>
    <row r="45" spans="1:21" ht="15" customHeight="1" x14ac:dyDescent="0.25">
      <c r="A45" s="168" t="s">
        <v>60</v>
      </c>
      <c r="B45" s="1289" t="s">
        <v>166</v>
      </c>
      <c r="C45" s="1290"/>
      <c r="D45" s="229">
        <f t="shared" si="22"/>
        <v>0</v>
      </c>
      <c r="E45" s="746">
        <f>+H45+K45+N45+T45</f>
        <v>25</v>
      </c>
      <c r="F45" s="229">
        <f t="shared" si="30"/>
        <v>25</v>
      </c>
      <c r="G45" s="229"/>
      <c r="H45" s="229">
        <f>15+10</f>
        <v>25</v>
      </c>
      <c r="I45" s="229">
        <f t="shared" si="31"/>
        <v>25</v>
      </c>
      <c r="J45" s="229"/>
      <c r="K45" s="229"/>
      <c r="L45" s="229">
        <f t="shared" si="32"/>
        <v>0</v>
      </c>
      <c r="M45" s="229"/>
      <c r="N45" s="229"/>
      <c r="O45" s="229">
        <f t="shared" si="33"/>
        <v>0</v>
      </c>
      <c r="P45" s="229"/>
      <c r="Q45" s="229"/>
      <c r="R45" s="229"/>
      <c r="S45" s="229"/>
      <c r="T45" s="229"/>
      <c r="U45" s="229">
        <f t="shared" si="34"/>
        <v>0</v>
      </c>
    </row>
    <row r="46" spans="1:21" ht="25.5" customHeight="1" x14ac:dyDescent="0.25">
      <c r="A46" s="173" t="s">
        <v>60</v>
      </c>
      <c r="B46" s="174"/>
      <c r="C46" s="175" t="s">
        <v>61</v>
      </c>
      <c r="D46" s="229">
        <v>16</v>
      </c>
      <c r="E46" s="746">
        <f t="shared" ref="E46:E48" si="35">+H46+K46+N46+T46</f>
        <v>0</v>
      </c>
      <c r="F46" s="229">
        <f t="shared" si="30"/>
        <v>16</v>
      </c>
      <c r="G46" s="229">
        <v>16</v>
      </c>
      <c r="H46" s="229"/>
      <c r="I46" s="229">
        <f t="shared" si="31"/>
        <v>16</v>
      </c>
      <c r="J46" s="229"/>
      <c r="K46" s="229"/>
      <c r="L46" s="229">
        <f t="shared" si="32"/>
        <v>0</v>
      </c>
      <c r="M46" s="229"/>
      <c r="N46" s="229"/>
      <c r="O46" s="229">
        <f t="shared" si="33"/>
        <v>0</v>
      </c>
      <c r="P46" s="229"/>
      <c r="Q46" s="229"/>
      <c r="R46" s="229"/>
      <c r="S46" s="229"/>
      <c r="T46" s="229"/>
      <c r="U46" s="229">
        <f t="shared" si="34"/>
        <v>0</v>
      </c>
    </row>
    <row r="47" spans="1:21" ht="25.5" customHeight="1" x14ac:dyDescent="0.25">
      <c r="A47" s="173" t="s">
        <v>60</v>
      </c>
      <c r="B47" s="174"/>
      <c r="C47" s="175" t="s">
        <v>168</v>
      </c>
      <c r="D47" s="229">
        <f t="shared" si="22"/>
        <v>0</v>
      </c>
      <c r="E47" s="746">
        <f t="shared" si="35"/>
        <v>0</v>
      </c>
      <c r="F47" s="229">
        <f t="shared" si="30"/>
        <v>0</v>
      </c>
      <c r="G47" s="229"/>
      <c r="H47" s="229"/>
      <c r="I47" s="229">
        <f t="shared" si="31"/>
        <v>0</v>
      </c>
      <c r="J47" s="229"/>
      <c r="K47" s="229"/>
      <c r="L47" s="229">
        <f t="shared" si="32"/>
        <v>0</v>
      </c>
      <c r="M47" s="229"/>
      <c r="N47" s="229"/>
      <c r="O47" s="229">
        <f t="shared" si="33"/>
        <v>0</v>
      </c>
      <c r="P47" s="229"/>
      <c r="Q47" s="229"/>
      <c r="R47" s="229"/>
      <c r="S47" s="229"/>
      <c r="T47" s="229"/>
      <c r="U47" s="229">
        <f t="shared" si="34"/>
        <v>0</v>
      </c>
    </row>
    <row r="48" spans="1:21" ht="22.5" customHeight="1" x14ac:dyDescent="0.25">
      <c r="A48" s="168" t="s">
        <v>63</v>
      </c>
      <c r="B48" s="1289" t="s">
        <v>431</v>
      </c>
      <c r="C48" s="1290"/>
      <c r="D48" s="229">
        <f t="shared" si="22"/>
        <v>250</v>
      </c>
      <c r="E48" s="746">
        <f t="shared" si="35"/>
        <v>0</v>
      </c>
      <c r="F48" s="229">
        <f t="shared" si="30"/>
        <v>250</v>
      </c>
      <c r="G48" s="229">
        <v>250</v>
      </c>
      <c r="H48" s="229"/>
      <c r="I48" s="229">
        <f t="shared" si="31"/>
        <v>250</v>
      </c>
      <c r="J48" s="229"/>
      <c r="K48" s="229"/>
      <c r="L48" s="229">
        <f t="shared" si="32"/>
        <v>0</v>
      </c>
      <c r="M48" s="229"/>
      <c r="N48" s="229"/>
      <c r="O48" s="229">
        <f t="shared" si="33"/>
        <v>0</v>
      </c>
      <c r="P48" s="229"/>
      <c r="Q48" s="229"/>
      <c r="R48" s="229"/>
      <c r="S48" s="229"/>
      <c r="T48" s="229"/>
      <c r="U48" s="229">
        <f t="shared" si="34"/>
        <v>0</v>
      </c>
    </row>
    <row r="49" spans="1:21" ht="15" customHeight="1" x14ac:dyDescent="0.25">
      <c r="A49" s="168" t="s">
        <v>65</v>
      </c>
      <c r="B49" s="1289" t="s">
        <v>432</v>
      </c>
      <c r="C49" s="1290"/>
      <c r="D49" s="229">
        <v>7823</v>
      </c>
      <c r="E49" s="746">
        <f>+H49+K49+N49+T49</f>
        <v>11266</v>
      </c>
      <c r="F49" s="229">
        <f t="shared" si="30"/>
        <v>19089</v>
      </c>
      <c r="G49" s="229">
        <v>5923</v>
      </c>
      <c r="H49" s="229">
        <f>3048-1+84-49+425-23-356+162-46-60-40+3573-104+5000</f>
        <v>11613</v>
      </c>
      <c r="I49" s="229">
        <f t="shared" si="31"/>
        <v>17536</v>
      </c>
      <c r="J49" s="229">
        <v>500</v>
      </c>
      <c r="K49" s="229">
        <f>-215-36-72</f>
        <v>-323</v>
      </c>
      <c r="L49" s="229">
        <f t="shared" si="32"/>
        <v>177</v>
      </c>
      <c r="M49" s="229">
        <v>1200</v>
      </c>
      <c r="N49" s="229">
        <v>-7</v>
      </c>
      <c r="O49" s="229">
        <f t="shared" si="33"/>
        <v>1193</v>
      </c>
      <c r="P49" s="229"/>
      <c r="Q49" s="229"/>
      <c r="R49" s="229"/>
      <c r="S49" s="229">
        <v>200</v>
      </c>
      <c r="T49" s="229">
        <v>-17</v>
      </c>
      <c r="U49" s="229">
        <f t="shared" si="34"/>
        <v>183</v>
      </c>
    </row>
    <row r="50" spans="1:21" s="232" customFormat="1" ht="15" customHeight="1" x14ac:dyDescent="0.25">
      <c r="A50" s="230" t="s">
        <v>66</v>
      </c>
      <c r="B50" s="1291" t="s">
        <v>433</v>
      </c>
      <c r="C50" s="1292"/>
      <c r="D50" s="231">
        <v>8389</v>
      </c>
      <c r="E50" s="231">
        <f>SUM(E41:E49)</f>
        <v>12182</v>
      </c>
      <c r="F50" s="231">
        <f t="shared" ref="F50:U50" si="36">SUM(F41:F49)</f>
        <v>20571</v>
      </c>
      <c r="G50" s="651">
        <f>SUM(G41:G49)</f>
        <v>6489</v>
      </c>
      <c r="H50" s="651">
        <f t="shared" si="36"/>
        <v>12406</v>
      </c>
      <c r="I50" s="651">
        <f t="shared" si="36"/>
        <v>18895</v>
      </c>
      <c r="J50" s="651">
        <f>SUM(J41:J49)</f>
        <v>500</v>
      </c>
      <c r="K50" s="651">
        <f t="shared" si="36"/>
        <v>-246</v>
      </c>
      <c r="L50" s="651">
        <f t="shared" si="36"/>
        <v>254</v>
      </c>
      <c r="M50" s="651">
        <f t="shared" si="36"/>
        <v>1200</v>
      </c>
      <c r="N50" s="651">
        <f t="shared" si="36"/>
        <v>-7</v>
      </c>
      <c r="O50" s="651">
        <f t="shared" si="36"/>
        <v>1193</v>
      </c>
      <c r="P50" s="651">
        <f t="shared" si="36"/>
        <v>0</v>
      </c>
      <c r="Q50" s="231">
        <f t="shared" si="36"/>
        <v>46</v>
      </c>
      <c r="R50" s="231">
        <f t="shared" si="36"/>
        <v>0</v>
      </c>
      <c r="S50" s="651">
        <f t="shared" si="36"/>
        <v>200</v>
      </c>
      <c r="T50" s="231">
        <f t="shared" si="36"/>
        <v>29</v>
      </c>
      <c r="U50" s="231">
        <f t="shared" si="36"/>
        <v>229</v>
      </c>
    </row>
    <row r="51" spans="1:21" ht="15" customHeight="1" x14ac:dyDescent="0.25">
      <c r="A51" s="168" t="s">
        <v>68</v>
      </c>
      <c r="B51" s="1289" t="s">
        <v>67</v>
      </c>
      <c r="C51" s="1290"/>
      <c r="D51" s="229">
        <f t="shared" si="22"/>
        <v>215</v>
      </c>
      <c r="E51" s="746">
        <f>+H51+K51+N51+T51</f>
        <v>1</v>
      </c>
      <c r="F51" s="229">
        <f t="shared" ref="F51:F52" si="37">+I51+L51+O51+U51</f>
        <v>216</v>
      </c>
      <c r="G51" s="652">
        <v>200</v>
      </c>
      <c r="H51" s="652">
        <v>-77</v>
      </c>
      <c r="I51" s="652">
        <f>+H51+G51</f>
        <v>123</v>
      </c>
      <c r="J51" s="652"/>
      <c r="K51" s="652">
        <v>78</v>
      </c>
      <c r="L51" s="652">
        <f>+K51+J51</f>
        <v>78</v>
      </c>
      <c r="M51" s="652"/>
      <c r="N51" s="652"/>
      <c r="O51" s="652">
        <f>+N51+M51</f>
        <v>0</v>
      </c>
      <c r="P51" s="652"/>
      <c r="Q51" s="652"/>
      <c r="R51" s="652"/>
      <c r="S51" s="652">
        <v>15</v>
      </c>
      <c r="T51" s="229"/>
      <c r="U51" s="229">
        <f>+T51+S51</f>
        <v>15</v>
      </c>
    </row>
    <row r="52" spans="1:21" ht="15" customHeight="1" x14ac:dyDescent="0.25">
      <c r="A52" s="168" t="s">
        <v>70</v>
      </c>
      <c r="B52" s="1289" t="s">
        <v>69</v>
      </c>
      <c r="C52" s="1290"/>
      <c r="D52" s="229">
        <v>2049</v>
      </c>
      <c r="E52" s="746">
        <f>+H52+K52+N52+T52</f>
        <v>2210</v>
      </c>
      <c r="F52" s="229">
        <f t="shared" si="37"/>
        <v>4259</v>
      </c>
      <c r="G52" s="652">
        <v>2049</v>
      </c>
      <c r="H52" s="652">
        <f>1359+851</f>
        <v>2210</v>
      </c>
      <c r="I52" s="652">
        <f>+H52+G52</f>
        <v>4259</v>
      </c>
      <c r="J52" s="652"/>
      <c r="K52" s="652"/>
      <c r="L52" s="652">
        <f>+K52+J52</f>
        <v>0</v>
      </c>
      <c r="M52" s="652"/>
      <c r="N52" s="652"/>
      <c r="O52" s="652">
        <f>+N52+M52</f>
        <v>0</v>
      </c>
      <c r="P52" s="652"/>
      <c r="Q52" s="652"/>
      <c r="R52" s="652"/>
      <c r="S52" s="652"/>
      <c r="T52" s="229"/>
      <c r="U52" s="229">
        <f>+T52+S52</f>
        <v>0</v>
      </c>
    </row>
    <row r="53" spans="1:21" s="232" customFormat="1" ht="30.75" customHeight="1" x14ac:dyDescent="0.25">
      <c r="A53" s="230" t="s">
        <v>71</v>
      </c>
      <c r="B53" s="1291" t="s">
        <v>155</v>
      </c>
      <c r="C53" s="1292"/>
      <c r="D53" s="231">
        <f t="shared" si="22"/>
        <v>2264</v>
      </c>
      <c r="E53" s="231">
        <f t="shared" ref="E53:U53" si="38">SUM(E51:E52)</f>
        <v>2211</v>
      </c>
      <c r="F53" s="231">
        <f t="shared" si="38"/>
        <v>4475</v>
      </c>
      <c r="G53" s="651">
        <f t="shared" si="38"/>
        <v>2249</v>
      </c>
      <c r="H53" s="651">
        <f t="shared" si="38"/>
        <v>2133</v>
      </c>
      <c r="I53" s="651">
        <f t="shared" si="38"/>
        <v>4382</v>
      </c>
      <c r="J53" s="651">
        <f t="shared" si="38"/>
        <v>0</v>
      </c>
      <c r="K53" s="651">
        <f t="shared" si="38"/>
        <v>78</v>
      </c>
      <c r="L53" s="651">
        <f t="shared" si="38"/>
        <v>78</v>
      </c>
      <c r="M53" s="651">
        <f t="shared" si="38"/>
        <v>0</v>
      </c>
      <c r="N53" s="651">
        <f t="shared" si="38"/>
        <v>0</v>
      </c>
      <c r="O53" s="651">
        <f t="shared" si="38"/>
        <v>0</v>
      </c>
      <c r="P53" s="651">
        <f t="shared" si="38"/>
        <v>0</v>
      </c>
      <c r="Q53" s="231">
        <f t="shared" si="38"/>
        <v>0</v>
      </c>
      <c r="R53" s="231">
        <f t="shared" si="38"/>
        <v>0</v>
      </c>
      <c r="S53" s="651">
        <f t="shared" si="38"/>
        <v>15</v>
      </c>
      <c r="T53" s="231">
        <f t="shared" si="38"/>
        <v>0</v>
      </c>
      <c r="U53" s="231">
        <f t="shared" si="38"/>
        <v>15</v>
      </c>
    </row>
    <row r="54" spans="1:21" ht="36.75" customHeight="1" x14ac:dyDescent="0.25">
      <c r="A54" s="168" t="s">
        <v>73</v>
      </c>
      <c r="B54" s="1289" t="s">
        <v>72</v>
      </c>
      <c r="C54" s="1290"/>
      <c r="D54" s="645">
        <f t="shared" si="22"/>
        <v>3045.34</v>
      </c>
      <c r="E54" s="746">
        <f>+H54+K54+N54+T54</f>
        <v>1661</v>
      </c>
      <c r="F54" s="645">
        <f t="shared" ref="F54:F58" si="39">+I54+L54+O54+U54</f>
        <v>4706.34</v>
      </c>
      <c r="G54" s="653">
        <v>2337</v>
      </c>
      <c r="H54" s="652">
        <f>1276+7+17+361</f>
        <v>1661</v>
      </c>
      <c r="I54" s="653">
        <f>+H54+G54</f>
        <v>3998</v>
      </c>
      <c r="J54" s="653">
        <f>(J52+J50+J40+J37)*0.27</f>
        <v>254.34</v>
      </c>
      <c r="K54" s="652"/>
      <c r="L54" s="653">
        <f>+K54+J54</f>
        <v>254.34</v>
      </c>
      <c r="M54" s="653">
        <f>(M52+M50+M40+M37)*0.27</f>
        <v>324</v>
      </c>
      <c r="N54" s="652"/>
      <c r="O54" s="653">
        <f>+N54+M54</f>
        <v>324</v>
      </c>
      <c r="P54" s="653"/>
      <c r="Q54" s="653"/>
      <c r="R54" s="653"/>
      <c r="S54" s="653">
        <v>130</v>
      </c>
      <c r="T54" s="229"/>
      <c r="U54" s="645">
        <f>+T54+S54</f>
        <v>130</v>
      </c>
    </row>
    <row r="55" spans="1:21" ht="15" customHeight="1" x14ac:dyDescent="0.25">
      <c r="A55" s="168" t="s">
        <v>75</v>
      </c>
      <c r="B55" s="1289" t="s">
        <v>434</v>
      </c>
      <c r="C55" s="1290"/>
      <c r="D55" s="645">
        <v>473</v>
      </c>
      <c r="E55" s="746">
        <f t="shared" ref="E55:E58" si="40">+H55+K55+N55+T55</f>
        <v>1400</v>
      </c>
      <c r="F55" s="645">
        <f>+I55+L55+O55+U55+R55</f>
        <v>1873</v>
      </c>
      <c r="G55" s="652">
        <v>176</v>
      </c>
      <c r="H55" s="652">
        <v>1400</v>
      </c>
      <c r="I55" s="653">
        <f t="shared" ref="I55:I58" si="41">+H55+G55</f>
        <v>1576</v>
      </c>
      <c r="J55" s="652">
        <v>270</v>
      </c>
      <c r="K55" s="652"/>
      <c r="L55" s="653">
        <f t="shared" ref="L55:L58" si="42">+K55+J55</f>
        <v>270</v>
      </c>
      <c r="M55" s="652"/>
      <c r="N55" s="652"/>
      <c r="O55" s="653">
        <f t="shared" ref="O55:O58" si="43">+N55+M55</f>
        <v>0</v>
      </c>
      <c r="P55" s="652">
        <v>27</v>
      </c>
      <c r="Q55" s="229"/>
      <c r="R55" s="645">
        <f t="shared" ref="R55" si="44">+Q55+P55</f>
        <v>27</v>
      </c>
      <c r="S55" s="652">
        <v>0</v>
      </c>
      <c r="T55" s="229"/>
      <c r="U55" s="645">
        <f t="shared" ref="U55:U58" si="45">+T55+S55</f>
        <v>0</v>
      </c>
    </row>
    <row r="56" spans="1:21" ht="15" customHeight="1" x14ac:dyDescent="0.25">
      <c r="A56" s="168" t="s">
        <v>76</v>
      </c>
      <c r="B56" s="1289" t="s">
        <v>435</v>
      </c>
      <c r="C56" s="1290"/>
      <c r="D56" s="645">
        <v>2</v>
      </c>
      <c r="E56" s="746">
        <f t="shared" si="40"/>
        <v>0</v>
      </c>
      <c r="F56" s="645">
        <f t="shared" si="39"/>
        <v>2</v>
      </c>
      <c r="G56" s="652">
        <v>2</v>
      </c>
      <c r="H56" s="652"/>
      <c r="I56" s="653">
        <f t="shared" si="41"/>
        <v>2</v>
      </c>
      <c r="J56" s="652"/>
      <c r="K56" s="652"/>
      <c r="L56" s="653">
        <f t="shared" si="42"/>
        <v>0</v>
      </c>
      <c r="M56" s="652"/>
      <c r="N56" s="652"/>
      <c r="O56" s="653">
        <f t="shared" si="43"/>
        <v>0</v>
      </c>
      <c r="P56" s="653"/>
      <c r="Q56" s="653"/>
      <c r="R56" s="653"/>
      <c r="S56" s="652"/>
      <c r="T56" s="229"/>
      <c r="U56" s="645">
        <f t="shared" si="45"/>
        <v>0</v>
      </c>
    </row>
    <row r="57" spans="1:21" ht="15" customHeight="1" x14ac:dyDescent="0.25">
      <c r="A57" s="168" t="s">
        <v>77</v>
      </c>
      <c r="B57" s="1289" t="s">
        <v>436</v>
      </c>
      <c r="C57" s="1290"/>
      <c r="D57" s="645">
        <f t="shared" si="22"/>
        <v>0</v>
      </c>
      <c r="E57" s="746">
        <f t="shared" si="40"/>
        <v>0</v>
      </c>
      <c r="F57" s="645">
        <f t="shared" si="39"/>
        <v>0</v>
      </c>
      <c r="G57" s="652"/>
      <c r="H57" s="652"/>
      <c r="I57" s="653">
        <f t="shared" si="41"/>
        <v>0</v>
      </c>
      <c r="J57" s="652"/>
      <c r="K57" s="652"/>
      <c r="L57" s="653">
        <f t="shared" si="42"/>
        <v>0</v>
      </c>
      <c r="M57" s="652"/>
      <c r="N57" s="652"/>
      <c r="O57" s="653">
        <f t="shared" si="43"/>
        <v>0</v>
      </c>
      <c r="P57" s="653"/>
      <c r="Q57" s="653"/>
      <c r="R57" s="653"/>
      <c r="S57" s="652"/>
      <c r="T57" s="229"/>
      <c r="U57" s="645">
        <f t="shared" si="45"/>
        <v>0</v>
      </c>
    </row>
    <row r="58" spans="1:21" ht="15" customHeight="1" x14ac:dyDescent="0.25">
      <c r="A58" s="168" t="s">
        <v>79</v>
      </c>
      <c r="B58" s="1289" t="s">
        <v>78</v>
      </c>
      <c r="C58" s="1290"/>
      <c r="D58" s="645">
        <v>285</v>
      </c>
      <c r="E58" s="746">
        <f t="shared" si="40"/>
        <v>24</v>
      </c>
      <c r="F58" s="645">
        <f t="shared" si="39"/>
        <v>309</v>
      </c>
      <c r="G58" s="652">
        <v>260</v>
      </c>
      <c r="H58" s="652">
        <f>1+23</f>
        <v>24</v>
      </c>
      <c r="I58" s="653">
        <f t="shared" si="41"/>
        <v>284</v>
      </c>
      <c r="J58" s="652"/>
      <c r="K58" s="652"/>
      <c r="L58" s="653">
        <f t="shared" si="42"/>
        <v>0</v>
      </c>
      <c r="M58" s="652"/>
      <c r="N58" s="652"/>
      <c r="O58" s="653">
        <f t="shared" si="43"/>
        <v>0</v>
      </c>
      <c r="P58" s="653"/>
      <c r="Q58" s="653"/>
      <c r="R58" s="653"/>
      <c r="S58" s="652">
        <v>25</v>
      </c>
      <c r="T58" s="229"/>
      <c r="U58" s="645">
        <f t="shared" si="45"/>
        <v>25</v>
      </c>
    </row>
    <row r="59" spans="1:21" ht="28.5" customHeight="1" x14ac:dyDescent="0.25">
      <c r="A59" s="230" t="s">
        <v>80</v>
      </c>
      <c r="B59" s="1291" t="s">
        <v>152</v>
      </c>
      <c r="C59" s="1292"/>
      <c r="D59" s="646">
        <v>3805</v>
      </c>
      <c r="E59" s="231">
        <f t="shared" ref="E59:U59" si="46">SUM(E54:E58)</f>
        <v>3085</v>
      </c>
      <c r="F59" s="646">
        <f t="shared" si="46"/>
        <v>6890.34</v>
      </c>
      <c r="G59" s="654">
        <f t="shared" si="46"/>
        <v>2775</v>
      </c>
      <c r="H59" s="651">
        <f t="shared" si="46"/>
        <v>3085</v>
      </c>
      <c r="I59" s="651">
        <f t="shared" si="46"/>
        <v>5860</v>
      </c>
      <c r="J59" s="654">
        <f t="shared" si="46"/>
        <v>524.34</v>
      </c>
      <c r="K59" s="651">
        <f t="shared" si="46"/>
        <v>0</v>
      </c>
      <c r="L59" s="654">
        <f t="shared" si="46"/>
        <v>524.34</v>
      </c>
      <c r="M59" s="651">
        <f t="shared" si="46"/>
        <v>324</v>
      </c>
      <c r="N59" s="651">
        <f t="shared" si="46"/>
        <v>0</v>
      </c>
      <c r="O59" s="651">
        <f t="shared" si="46"/>
        <v>324</v>
      </c>
      <c r="P59" s="654">
        <f t="shared" ref="P59:R59" si="47">SUM(P54:P58)</f>
        <v>27</v>
      </c>
      <c r="Q59" s="231">
        <f t="shared" si="47"/>
        <v>0</v>
      </c>
      <c r="R59" s="646">
        <f t="shared" si="47"/>
        <v>27</v>
      </c>
      <c r="S59" s="654">
        <f t="shared" si="46"/>
        <v>155</v>
      </c>
      <c r="T59" s="231">
        <f t="shared" si="46"/>
        <v>0</v>
      </c>
      <c r="U59" s="646">
        <f t="shared" si="46"/>
        <v>155</v>
      </c>
    </row>
    <row r="60" spans="1:21" ht="15" customHeight="1" x14ac:dyDescent="0.25">
      <c r="A60" s="230" t="s">
        <v>81</v>
      </c>
      <c r="B60" s="1291" t="s">
        <v>342</v>
      </c>
      <c r="C60" s="1292"/>
      <c r="D60" s="646">
        <v>17232</v>
      </c>
      <c r="E60" s="231">
        <f>+E59+E53+E50+E40+E37</f>
        <v>17589</v>
      </c>
      <c r="F60" s="646">
        <f>+F59+F53+F50+F40+F37</f>
        <v>34821.339999999997</v>
      </c>
      <c r="G60" s="654">
        <f>+G59+G53+G50+G40+G37</f>
        <v>13133</v>
      </c>
      <c r="H60" s="651">
        <f t="shared" ref="H60:U60" si="48">+H59+H53+H50+H40+H37</f>
        <v>17711</v>
      </c>
      <c r="I60" s="651">
        <f t="shared" si="48"/>
        <v>30844</v>
      </c>
      <c r="J60" s="654">
        <f t="shared" si="48"/>
        <v>1466.3400000000001</v>
      </c>
      <c r="K60" s="651">
        <f t="shared" si="48"/>
        <v>-168</v>
      </c>
      <c r="L60" s="654">
        <f t="shared" si="48"/>
        <v>1298.3400000000001</v>
      </c>
      <c r="M60" s="651">
        <f t="shared" si="48"/>
        <v>1524</v>
      </c>
      <c r="N60" s="651">
        <f t="shared" si="48"/>
        <v>0</v>
      </c>
      <c r="O60" s="651">
        <f t="shared" si="48"/>
        <v>1524</v>
      </c>
      <c r="P60" s="654">
        <f t="shared" si="48"/>
        <v>557</v>
      </c>
      <c r="Q60" s="231">
        <f t="shared" si="48"/>
        <v>46</v>
      </c>
      <c r="R60" s="646">
        <f t="shared" si="48"/>
        <v>557</v>
      </c>
      <c r="S60" s="654">
        <f t="shared" si="48"/>
        <v>552</v>
      </c>
      <c r="T60" s="231">
        <f t="shared" si="48"/>
        <v>46</v>
      </c>
      <c r="U60" s="646">
        <f t="shared" si="48"/>
        <v>598</v>
      </c>
    </row>
    <row r="61" spans="1:21" ht="15" customHeight="1" x14ac:dyDescent="0.25">
      <c r="A61" s="169"/>
      <c r="B61" s="836"/>
      <c r="C61" s="836"/>
      <c r="D61" s="925"/>
      <c r="E61" s="231"/>
      <c r="F61" s="646"/>
      <c r="G61" s="926"/>
      <c r="H61" s="927"/>
      <c r="I61" s="651"/>
      <c r="J61" s="926"/>
      <c r="K61" s="927"/>
      <c r="L61" s="928"/>
      <c r="M61" s="929"/>
      <c r="N61" s="927"/>
      <c r="O61" s="930"/>
      <c r="P61" s="931"/>
      <c r="Q61" s="932"/>
      <c r="R61" s="925"/>
      <c r="S61" s="926"/>
      <c r="T61" s="932"/>
      <c r="U61" s="933"/>
    </row>
    <row r="62" spans="1:21" ht="27.75" customHeight="1" x14ac:dyDescent="0.25">
      <c r="A62" s="168" t="s">
        <v>101</v>
      </c>
      <c r="B62" s="1289" t="s">
        <v>857</v>
      </c>
      <c r="C62" s="1290"/>
      <c r="D62" s="229">
        <v>82</v>
      </c>
      <c r="E62" s="645"/>
      <c r="F62" s="645">
        <f t="shared" ref="F62" si="49">+I62+L62+O62+U62</f>
        <v>82</v>
      </c>
      <c r="G62" s="652">
        <v>82</v>
      </c>
      <c r="H62" s="652"/>
      <c r="I62" s="705">
        <f>+H62+G62</f>
        <v>82</v>
      </c>
      <c r="J62" s="652"/>
      <c r="K62" s="652"/>
      <c r="L62" s="652"/>
      <c r="M62" s="652"/>
      <c r="N62" s="652"/>
      <c r="O62" s="652"/>
      <c r="P62" s="652"/>
      <c r="Q62" s="652"/>
      <c r="R62" s="652"/>
      <c r="S62" s="652"/>
      <c r="T62" s="229"/>
      <c r="U62" s="229"/>
    </row>
    <row r="63" spans="1:21" ht="31.5" customHeight="1" x14ac:dyDescent="0.25">
      <c r="A63" s="168" t="s">
        <v>107</v>
      </c>
      <c r="B63" s="1289" t="s">
        <v>164</v>
      </c>
      <c r="C63" s="1290"/>
      <c r="D63" s="704">
        <f>+J63+M63+S63+G63</f>
        <v>14353</v>
      </c>
      <c r="E63" s="704">
        <f>+K63+N63+T63+H63</f>
        <v>0</v>
      </c>
      <c r="F63" s="704">
        <f>+L63+O63+U63+I63</f>
        <v>14353</v>
      </c>
      <c r="G63" s="705">
        <v>10978</v>
      </c>
      <c r="H63" s="705"/>
      <c r="I63" s="705">
        <f>+H63+G63</f>
        <v>10978</v>
      </c>
      <c r="J63" s="705"/>
      <c r="K63" s="705"/>
      <c r="L63" s="705">
        <f>+K63+J63</f>
        <v>0</v>
      </c>
      <c r="M63" s="705"/>
      <c r="N63" s="705"/>
      <c r="O63" s="705"/>
      <c r="P63" s="705"/>
      <c r="Q63" s="705"/>
      <c r="R63" s="705"/>
      <c r="S63" s="705">
        <v>3375</v>
      </c>
      <c r="T63" s="746"/>
      <c r="U63" s="746">
        <f>+T63+S63</f>
        <v>3375</v>
      </c>
    </row>
    <row r="64" spans="1:21" s="1007" customFormat="1" ht="24" customHeight="1" x14ac:dyDescent="0.25">
      <c r="A64" s="184" t="s">
        <v>107</v>
      </c>
      <c r="B64" s="174"/>
      <c r="C64" s="185" t="s">
        <v>104</v>
      </c>
      <c r="D64" s="1004">
        <f>(((+G64+J64)+M64)+S64)</f>
        <v>14353</v>
      </c>
      <c r="E64" s="1004">
        <f>(((+H64+K64)+N64)+T64)</f>
        <v>0</v>
      </c>
      <c r="F64" s="1004">
        <f>(((+I64+L64)+O64)+U64)</f>
        <v>14353</v>
      </c>
      <c r="G64" s="1005">
        <v>10978</v>
      </c>
      <c r="H64" s="1005"/>
      <c r="I64" s="1005">
        <f>+H64+G64</f>
        <v>10978</v>
      </c>
      <c r="J64" s="1005"/>
      <c r="K64" s="1005"/>
      <c r="L64" s="1005">
        <f>+K64+J64</f>
        <v>0</v>
      </c>
      <c r="M64" s="1005"/>
      <c r="N64" s="1005"/>
      <c r="O64" s="1005"/>
      <c r="P64" s="1005"/>
      <c r="Q64" s="1005"/>
      <c r="R64" s="1005"/>
      <c r="S64" s="1005">
        <v>3375</v>
      </c>
      <c r="T64" s="1006"/>
      <c r="U64" s="1006">
        <f>+T64+S64</f>
        <v>3375</v>
      </c>
    </row>
    <row r="65" spans="1:21" ht="38.25" customHeight="1" x14ac:dyDescent="0.25">
      <c r="A65" s="230" t="s">
        <v>108</v>
      </c>
      <c r="B65" s="1291" t="s">
        <v>163</v>
      </c>
      <c r="C65" s="1292"/>
      <c r="D65" s="231">
        <f>+G65+S65</f>
        <v>14435</v>
      </c>
      <c r="E65" s="646">
        <f>+E62</f>
        <v>0</v>
      </c>
      <c r="F65" s="646">
        <f>+F63+F62</f>
        <v>14435</v>
      </c>
      <c r="G65" s="651">
        <f>+G63+G62</f>
        <v>11060</v>
      </c>
      <c r="H65" s="651">
        <f t="shared" ref="H65:U65" si="50">+H63</f>
        <v>0</v>
      </c>
      <c r="I65" s="651">
        <f>+I63+I62</f>
        <v>11060</v>
      </c>
      <c r="J65" s="651">
        <f t="shared" si="50"/>
        <v>0</v>
      </c>
      <c r="K65" s="651">
        <f t="shared" si="50"/>
        <v>0</v>
      </c>
      <c r="L65" s="651">
        <f t="shared" si="50"/>
        <v>0</v>
      </c>
      <c r="M65" s="651">
        <f t="shared" si="50"/>
        <v>0</v>
      </c>
      <c r="N65" s="651">
        <f t="shared" si="50"/>
        <v>0</v>
      </c>
      <c r="O65" s="651">
        <f t="shared" si="50"/>
        <v>0</v>
      </c>
      <c r="P65" s="651">
        <f>+P63</f>
        <v>0</v>
      </c>
      <c r="Q65" s="231">
        <f t="shared" si="50"/>
        <v>0</v>
      </c>
      <c r="R65" s="231">
        <f t="shared" si="50"/>
        <v>0</v>
      </c>
      <c r="S65" s="651">
        <f>+S63</f>
        <v>3375</v>
      </c>
      <c r="T65" s="231">
        <f t="shared" si="50"/>
        <v>0</v>
      </c>
      <c r="U65" s="231">
        <f t="shared" si="50"/>
        <v>3375</v>
      </c>
    </row>
    <row r="66" spans="1:21" ht="15" customHeight="1" x14ac:dyDescent="0.25">
      <c r="A66" s="186"/>
      <c r="B66" s="187"/>
      <c r="C66" s="187"/>
      <c r="D66" s="188"/>
      <c r="E66" s="188"/>
      <c r="F66" s="188"/>
      <c r="G66" s="647"/>
      <c r="H66" s="188"/>
      <c r="I66" s="188"/>
      <c r="J66" s="188"/>
      <c r="K66" s="188"/>
      <c r="L66" s="188"/>
      <c r="M66" s="188"/>
      <c r="N66" s="188"/>
      <c r="O66" s="188"/>
      <c r="P66" s="188"/>
      <c r="Q66" s="188"/>
      <c r="R66" s="188"/>
      <c r="S66" s="647"/>
      <c r="T66" s="188"/>
      <c r="U66" s="188"/>
    </row>
    <row r="67" spans="1:21" ht="27.75" customHeight="1" x14ac:dyDescent="0.25">
      <c r="A67" s="189"/>
      <c r="B67" s="190"/>
      <c r="C67" s="190"/>
      <c r="D67" s="183"/>
      <c r="E67" s="183"/>
      <c r="F67" s="183"/>
      <c r="G67" s="183"/>
      <c r="H67" s="183"/>
      <c r="I67" s="183"/>
      <c r="J67" s="183"/>
      <c r="K67" s="183"/>
      <c r="L67" s="183"/>
      <c r="M67" s="183"/>
      <c r="N67" s="183"/>
      <c r="O67" s="183"/>
      <c r="P67" s="183"/>
      <c r="Q67" s="183"/>
      <c r="R67" s="183"/>
      <c r="S67" s="183"/>
      <c r="T67" s="183"/>
      <c r="U67" s="183"/>
    </row>
    <row r="68" spans="1:21" ht="21.75" customHeight="1" x14ac:dyDescent="0.25">
      <c r="A68" s="168" t="s">
        <v>110</v>
      </c>
      <c r="B68" s="1289" t="s">
        <v>109</v>
      </c>
      <c r="C68" s="1290"/>
      <c r="D68" s="229">
        <f>+G68+J68+M68+S68</f>
        <v>0</v>
      </c>
      <c r="E68" s="229">
        <f>+H68+K68+N68+T68</f>
        <v>0</v>
      </c>
      <c r="F68" s="229">
        <f>+I68+L68+O68+U68</f>
        <v>0</v>
      </c>
      <c r="G68" s="229"/>
      <c r="H68" s="229"/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</row>
    <row r="69" spans="1:21" ht="27.75" customHeight="1" x14ac:dyDescent="0.25">
      <c r="A69" s="168" t="s">
        <v>111</v>
      </c>
      <c r="B69" s="1289" t="s">
        <v>437</v>
      </c>
      <c r="C69" s="1290"/>
      <c r="D69" s="229">
        <f t="shared" ref="D69:F75" si="51">+G69+J69+M69+S69</f>
        <v>0</v>
      </c>
      <c r="E69" s="229">
        <f t="shared" si="51"/>
        <v>0</v>
      </c>
      <c r="F69" s="229">
        <f t="shared" si="51"/>
        <v>0</v>
      </c>
      <c r="G69" s="229"/>
      <c r="H69" s="229"/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</row>
    <row r="70" spans="1:21" ht="15" customHeight="1" x14ac:dyDescent="0.25">
      <c r="A70" s="173" t="s">
        <v>111</v>
      </c>
      <c r="B70" s="174"/>
      <c r="C70" s="185" t="s">
        <v>112</v>
      </c>
      <c r="D70" s="229">
        <f t="shared" si="51"/>
        <v>0</v>
      </c>
      <c r="E70" s="229">
        <f t="shared" si="51"/>
        <v>0</v>
      </c>
      <c r="F70" s="229">
        <f t="shared" si="51"/>
        <v>0</v>
      </c>
      <c r="G70" s="229"/>
      <c r="H70" s="229"/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</row>
    <row r="71" spans="1:21" ht="25.5" customHeight="1" x14ac:dyDescent="0.25">
      <c r="A71" s="168" t="s">
        <v>114</v>
      </c>
      <c r="B71" s="1289" t="s">
        <v>113</v>
      </c>
      <c r="C71" s="1290"/>
      <c r="D71" s="229">
        <f t="shared" si="51"/>
        <v>0</v>
      </c>
      <c r="E71" s="229">
        <f t="shared" si="51"/>
        <v>0</v>
      </c>
      <c r="F71" s="229">
        <f t="shared" si="51"/>
        <v>0</v>
      </c>
      <c r="G71" s="229"/>
      <c r="H71" s="229"/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</row>
    <row r="72" spans="1:21" ht="30.75" customHeight="1" x14ac:dyDescent="0.25">
      <c r="A72" s="168" t="s">
        <v>116</v>
      </c>
      <c r="B72" s="1289" t="s">
        <v>115</v>
      </c>
      <c r="C72" s="1290"/>
      <c r="D72" s="229">
        <v>57</v>
      </c>
      <c r="E72" s="229">
        <f t="shared" si="51"/>
        <v>22</v>
      </c>
      <c r="F72" s="645">
        <f>+I72</f>
        <v>79</v>
      </c>
      <c r="G72" s="229">
        <v>57</v>
      </c>
      <c r="H72" s="229">
        <v>22</v>
      </c>
      <c r="I72" s="229">
        <f>+G72+H72</f>
        <v>79</v>
      </c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</row>
    <row r="73" spans="1:21" ht="28.5" customHeight="1" x14ac:dyDescent="0.25">
      <c r="A73" s="168" t="s">
        <v>118</v>
      </c>
      <c r="B73" s="1289" t="s">
        <v>117</v>
      </c>
      <c r="C73" s="1290"/>
      <c r="D73" s="229">
        <f t="shared" si="51"/>
        <v>0</v>
      </c>
      <c r="E73" s="229">
        <f t="shared" si="51"/>
        <v>0</v>
      </c>
      <c r="F73" s="229">
        <f t="shared" si="51"/>
        <v>0</v>
      </c>
      <c r="G73" s="229"/>
      <c r="H73" s="229"/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</row>
    <row r="74" spans="1:21" ht="15" customHeight="1" x14ac:dyDescent="0.25">
      <c r="A74" s="168" t="s">
        <v>120</v>
      </c>
      <c r="B74" s="1289" t="s">
        <v>119</v>
      </c>
      <c r="C74" s="1290"/>
      <c r="D74" s="229">
        <f t="shared" si="51"/>
        <v>0</v>
      </c>
      <c r="E74" s="229">
        <f t="shared" si="51"/>
        <v>0</v>
      </c>
      <c r="F74" s="229">
        <f t="shared" si="51"/>
        <v>0</v>
      </c>
      <c r="G74" s="229"/>
      <c r="H74" s="229"/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</row>
    <row r="75" spans="1:21" ht="27.75" customHeight="1" x14ac:dyDescent="0.25">
      <c r="A75" s="168" t="s">
        <v>122</v>
      </c>
      <c r="B75" s="1289" t="s">
        <v>121</v>
      </c>
      <c r="C75" s="1290"/>
      <c r="D75" s="229">
        <v>15</v>
      </c>
      <c r="E75" s="229">
        <f t="shared" si="51"/>
        <v>6</v>
      </c>
      <c r="F75" s="229">
        <f>+I75</f>
        <v>21</v>
      </c>
      <c r="G75" s="229">
        <v>15</v>
      </c>
      <c r="H75" s="229">
        <v>6</v>
      </c>
      <c r="I75" s="229">
        <v>21</v>
      </c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</row>
    <row r="76" spans="1:21" ht="36.75" customHeight="1" x14ac:dyDescent="0.25">
      <c r="A76" s="230" t="s">
        <v>123</v>
      </c>
      <c r="B76" s="1291" t="s">
        <v>161</v>
      </c>
      <c r="C76" s="1292"/>
      <c r="D76" s="231">
        <f>SUM(D68:D75)</f>
        <v>72</v>
      </c>
      <c r="E76" s="231">
        <f t="shared" ref="E76:U76" si="52">SUM(E68:E75)</f>
        <v>28</v>
      </c>
      <c r="F76" s="231">
        <f t="shared" si="52"/>
        <v>100</v>
      </c>
      <c r="G76" s="231">
        <f>SUM(G68:G75)</f>
        <v>72</v>
      </c>
      <c r="H76" s="231">
        <f>SUM(H68:H75)</f>
        <v>28</v>
      </c>
      <c r="I76" s="231">
        <f t="shared" si="52"/>
        <v>100</v>
      </c>
      <c r="J76" s="231">
        <f t="shared" si="52"/>
        <v>0</v>
      </c>
      <c r="K76" s="231">
        <f t="shared" si="52"/>
        <v>0</v>
      </c>
      <c r="L76" s="231">
        <f t="shared" si="52"/>
        <v>0</v>
      </c>
      <c r="M76" s="231">
        <f t="shared" si="52"/>
        <v>0</v>
      </c>
      <c r="N76" s="231">
        <f t="shared" si="52"/>
        <v>0</v>
      </c>
      <c r="O76" s="231">
        <f t="shared" si="52"/>
        <v>0</v>
      </c>
      <c r="P76" s="231">
        <f t="shared" si="52"/>
        <v>0</v>
      </c>
      <c r="Q76" s="231">
        <f t="shared" si="52"/>
        <v>0</v>
      </c>
      <c r="R76" s="231">
        <f t="shared" si="52"/>
        <v>0</v>
      </c>
      <c r="S76" s="231">
        <f t="shared" si="52"/>
        <v>0</v>
      </c>
      <c r="T76" s="231">
        <f t="shared" si="52"/>
        <v>0</v>
      </c>
      <c r="U76" s="231">
        <f t="shared" si="52"/>
        <v>0</v>
      </c>
    </row>
    <row r="77" spans="1:21" s="578" customFormat="1" ht="15" customHeight="1" x14ac:dyDescent="0.25">
      <c r="A77" s="169"/>
      <c r="B77" s="170"/>
      <c r="C77" s="170"/>
      <c r="D77" s="171"/>
      <c r="E77" s="171"/>
      <c r="F77" s="171"/>
      <c r="G77" s="171"/>
      <c r="H77" s="171"/>
      <c r="I77" s="171"/>
      <c r="J77" s="171"/>
      <c r="K77" s="171"/>
      <c r="L77" s="171"/>
      <c r="M77" s="171"/>
      <c r="N77" s="171"/>
      <c r="O77" s="171"/>
      <c r="P77" s="171"/>
      <c r="Q77" s="171"/>
      <c r="R77" s="171"/>
      <c r="S77" s="171"/>
      <c r="T77" s="171"/>
      <c r="U77" s="171"/>
    </row>
    <row r="78" spans="1:21" x14ac:dyDescent="0.25">
      <c r="A78" s="168" t="s">
        <v>125</v>
      </c>
      <c r="B78" s="1289" t="s">
        <v>124</v>
      </c>
      <c r="C78" s="1290"/>
      <c r="D78" s="229">
        <f>(((+G78+J78)+M78)+S78)</f>
        <v>0</v>
      </c>
      <c r="E78" s="229"/>
      <c r="F78" s="229"/>
      <c r="G78" s="229"/>
      <c r="H78" s="229"/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</row>
    <row r="79" spans="1:21" ht="15" hidden="1" customHeight="1" x14ac:dyDescent="0.25">
      <c r="A79" s="168" t="s">
        <v>127</v>
      </c>
      <c r="B79" s="1289" t="s">
        <v>126</v>
      </c>
      <c r="C79" s="1290"/>
      <c r="D79" s="229">
        <f t="shared" ref="D79:D81" si="53">(((+G79+J79)+M79)+S79)</f>
        <v>0</v>
      </c>
      <c r="E79" s="229"/>
      <c r="F79" s="229"/>
      <c r="G79" s="229"/>
      <c r="H79" s="229"/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</row>
    <row r="80" spans="1:21" ht="15" hidden="1" customHeight="1" x14ac:dyDescent="0.25">
      <c r="A80" s="168" t="s">
        <v>129</v>
      </c>
      <c r="B80" s="1289" t="s">
        <v>438</v>
      </c>
      <c r="C80" s="1290"/>
      <c r="D80" s="229">
        <f t="shared" si="53"/>
        <v>0</v>
      </c>
      <c r="E80" s="229"/>
      <c r="F80" s="229"/>
      <c r="G80" s="229"/>
      <c r="H80" s="229"/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</row>
    <row r="81" spans="1:21" ht="15" hidden="1" customHeight="1" x14ac:dyDescent="0.25">
      <c r="A81" s="168" t="s">
        <v>131</v>
      </c>
      <c r="B81" s="1289" t="s">
        <v>130</v>
      </c>
      <c r="C81" s="1290"/>
      <c r="D81" s="229">
        <f t="shared" si="53"/>
        <v>0</v>
      </c>
      <c r="E81" s="229"/>
      <c r="F81" s="229"/>
      <c r="G81" s="229"/>
      <c r="H81" s="229"/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</row>
    <row r="82" spans="1:21" ht="23.25" hidden="1" customHeight="1" x14ac:dyDescent="0.25">
      <c r="A82" s="230" t="s">
        <v>132</v>
      </c>
      <c r="B82" s="1291" t="s">
        <v>313</v>
      </c>
      <c r="C82" s="1292"/>
      <c r="D82" s="231">
        <f t="shared" ref="D82:U82" si="54">SUM(D78:D81)</f>
        <v>0</v>
      </c>
      <c r="E82" s="231">
        <f t="shared" si="54"/>
        <v>0</v>
      </c>
      <c r="F82" s="231">
        <f t="shared" si="54"/>
        <v>0</v>
      </c>
      <c r="G82" s="231">
        <f t="shared" si="54"/>
        <v>0</v>
      </c>
      <c r="H82" s="231">
        <f t="shared" si="54"/>
        <v>0</v>
      </c>
      <c r="I82" s="231">
        <f t="shared" si="54"/>
        <v>0</v>
      </c>
      <c r="J82" s="231">
        <f t="shared" si="54"/>
        <v>0</v>
      </c>
      <c r="K82" s="231">
        <f t="shared" si="54"/>
        <v>0</v>
      </c>
      <c r="L82" s="231">
        <f t="shared" si="54"/>
        <v>0</v>
      </c>
      <c r="M82" s="231">
        <f t="shared" si="54"/>
        <v>0</v>
      </c>
      <c r="N82" s="231">
        <f t="shared" si="54"/>
        <v>0</v>
      </c>
      <c r="O82" s="231">
        <f t="shared" si="54"/>
        <v>0</v>
      </c>
      <c r="P82" s="231">
        <f t="shared" ref="P82:R82" si="55">SUM(P78:P81)</f>
        <v>0</v>
      </c>
      <c r="Q82" s="231">
        <f t="shared" si="55"/>
        <v>0</v>
      </c>
      <c r="R82" s="231">
        <f t="shared" si="55"/>
        <v>0</v>
      </c>
      <c r="S82" s="231">
        <f t="shared" si="54"/>
        <v>0</v>
      </c>
      <c r="T82" s="231">
        <f t="shared" si="54"/>
        <v>0</v>
      </c>
      <c r="U82" s="231">
        <f t="shared" si="54"/>
        <v>0</v>
      </c>
    </row>
    <row r="83" spans="1:21" s="578" customFormat="1" ht="15" customHeight="1" x14ac:dyDescent="0.25">
      <c r="A83" s="169"/>
      <c r="B83" s="170"/>
      <c r="C83" s="170"/>
      <c r="D83" s="171"/>
      <c r="E83" s="171"/>
      <c r="F83" s="171"/>
      <c r="G83" s="171"/>
      <c r="H83" s="171"/>
      <c r="I83" s="171"/>
      <c r="J83" s="171"/>
      <c r="K83" s="171"/>
      <c r="L83" s="171"/>
      <c r="M83" s="171"/>
      <c r="N83" s="171"/>
      <c r="O83" s="171"/>
      <c r="P83" s="171"/>
      <c r="Q83" s="171"/>
      <c r="R83" s="171"/>
      <c r="S83" s="171"/>
      <c r="T83" s="171"/>
      <c r="U83" s="171"/>
    </row>
    <row r="84" spans="1:21" x14ac:dyDescent="0.25">
      <c r="A84" s="230" t="s">
        <v>134</v>
      </c>
      <c r="B84" s="1291" t="s">
        <v>158</v>
      </c>
      <c r="C84" s="1292"/>
      <c r="D84" s="229"/>
      <c r="E84" s="229"/>
      <c r="F84" s="229"/>
      <c r="G84" s="229"/>
      <c r="H84" s="229"/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</row>
    <row r="85" spans="1:21" s="578" customFormat="1" ht="15" customHeight="1" thickBot="1" x14ac:dyDescent="0.3">
      <c r="A85" s="169"/>
      <c r="B85" s="170"/>
      <c r="C85" s="170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1"/>
      <c r="Q85" s="171"/>
      <c r="R85" s="171"/>
      <c r="S85" s="171"/>
      <c r="T85" s="171"/>
      <c r="U85" s="171"/>
    </row>
    <row r="86" spans="1:21" ht="15.75" thickBot="1" x14ac:dyDescent="0.3">
      <c r="A86" s="191" t="s">
        <v>135</v>
      </c>
      <c r="B86" s="1293" t="s">
        <v>439</v>
      </c>
      <c r="C86" s="1294"/>
      <c r="D86" s="648">
        <f>+D84+D82+D76+D65+D60+D26+D24</f>
        <v>61171</v>
      </c>
      <c r="E86" s="648">
        <f>+E84+E82+E76+E65+E60+E26+E24</f>
        <v>27808</v>
      </c>
      <c r="F86" s="648">
        <f t="shared" ref="F86:U86" si="56">+F84+F82+F76+F65+F60+F26+F24</f>
        <v>88979.34</v>
      </c>
      <c r="G86" s="648">
        <f t="shared" si="56"/>
        <v>41006</v>
      </c>
      <c r="H86" s="192">
        <f t="shared" si="56"/>
        <v>27482</v>
      </c>
      <c r="I86" s="192">
        <f t="shared" si="56"/>
        <v>68488</v>
      </c>
      <c r="J86" s="648">
        <f t="shared" si="56"/>
        <v>7999.34</v>
      </c>
      <c r="K86" s="192">
        <f t="shared" si="56"/>
        <v>182</v>
      </c>
      <c r="L86" s="648">
        <f t="shared" si="56"/>
        <v>8181.34</v>
      </c>
      <c r="M86" s="648">
        <f t="shared" si="56"/>
        <v>4615</v>
      </c>
      <c r="N86" s="192">
        <f t="shared" si="56"/>
        <v>53</v>
      </c>
      <c r="O86" s="192">
        <f t="shared" si="56"/>
        <v>4668</v>
      </c>
      <c r="P86" s="648">
        <f t="shared" si="56"/>
        <v>557</v>
      </c>
      <c r="Q86" s="192">
        <f t="shared" si="56"/>
        <v>46</v>
      </c>
      <c r="R86" s="648">
        <f t="shared" si="56"/>
        <v>557</v>
      </c>
      <c r="S86" s="648">
        <f t="shared" si="56"/>
        <v>6994</v>
      </c>
      <c r="T86" s="192">
        <f t="shared" si="56"/>
        <v>91</v>
      </c>
      <c r="U86" s="648">
        <f t="shared" si="56"/>
        <v>7085</v>
      </c>
    </row>
  </sheetData>
  <mergeCells count="77">
    <mergeCell ref="B84:C84"/>
    <mergeCell ref="B86:C86"/>
    <mergeCell ref="S2:U2"/>
    <mergeCell ref="S3:U3"/>
    <mergeCell ref="B41:C41"/>
    <mergeCell ref="B42:C42"/>
    <mergeCell ref="B43:C43"/>
    <mergeCell ref="B5:C5"/>
    <mergeCell ref="B17:C17"/>
    <mergeCell ref="B18:C18"/>
    <mergeCell ref="B19:C19"/>
    <mergeCell ref="B12:C12"/>
    <mergeCell ref="B13:C13"/>
    <mergeCell ref="B10:C10"/>
    <mergeCell ref="B11:C11"/>
    <mergeCell ref="B9:C9"/>
    <mergeCell ref="M2:O2"/>
    <mergeCell ref="P2:R2"/>
    <mergeCell ref="B44:C44"/>
    <mergeCell ref="B48:C48"/>
    <mergeCell ref="B49:C49"/>
    <mergeCell ref="J3:L3"/>
    <mergeCell ref="M3:O3"/>
    <mergeCell ref="P3:R3"/>
    <mergeCell ref="B40:C40"/>
    <mergeCell ref="B20:C20"/>
    <mergeCell ref="B16:C16"/>
    <mergeCell ref="B14:C14"/>
    <mergeCell ref="B15:C15"/>
    <mergeCell ref="B24:C24"/>
    <mergeCell ref="B45:C45"/>
    <mergeCell ref="B6:C6"/>
    <mergeCell ref="B59:C59"/>
    <mergeCell ref="B60:C60"/>
    <mergeCell ref="B63:C63"/>
    <mergeCell ref="B80:C80"/>
    <mergeCell ref="B50:C50"/>
    <mergeCell ref="B53:C53"/>
    <mergeCell ref="B54:C54"/>
    <mergeCell ref="B52:C52"/>
    <mergeCell ref="B51:C51"/>
    <mergeCell ref="B55:C55"/>
    <mergeCell ref="B56:C56"/>
    <mergeCell ref="B82:C82"/>
    <mergeCell ref="B57:C57"/>
    <mergeCell ref="B69:C69"/>
    <mergeCell ref="B79:C79"/>
    <mergeCell ref="B72:C72"/>
    <mergeCell ref="B62:C62"/>
    <mergeCell ref="B65:C65"/>
    <mergeCell ref="B68:C68"/>
    <mergeCell ref="B71:C71"/>
    <mergeCell ref="B78:C78"/>
    <mergeCell ref="B81:C81"/>
    <mergeCell ref="B74:C74"/>
    <mergeCell ref="B76:C76"/>
    <mergeCell ref="B75:C75"/>
    <mergeCell ref="B73:C73"/>
    <mergeCell ref="B58:C58"/>
    <mergeCell ref="B7:C7"/>
    <mergeCell ref="B8:C8"/>
    <mergeCell ref="B34:C34"/>
    <mergeCell ref="B39:C39"/>
    <mergeCell ref="B35:C35"/>
    <mergeCell ref="B36:C36"/>
    <mergeCell ref="B37:C37"/>
    <mergeCell ref="B38:C38"/>
    <mergeCell ref="B22:C22"/>
    <mergeCell ref="B26:C26"/>
    <mergeCell ref="B21:C21"/>
    <mergeCell ref="B23:C23"/>
    <mergeCell ref="A2:A4"/>
    <mergeCell ref="D2:F3"/>
    <mergeCell ref="B2:C4"/>
    <mergeCell ref="G2:I2"/>
    <mergeCell ref="J2:L2"/>
    <mergeCell ref="G3:I3"/>
  </mergeCells>
  <printOptions horizontalCentered="1"/>
  <pageMargins left="0.31496062992125984" right="0.11811023622047245" top="0.74803149606299213" bottom="0.74803149606299213" header="0.31496062992125984" footer="0.31496062992125984"/>
  <pageSetup paperSize="9" scale="70" orientation="landscape" cellComments="asDisplayed" r:id="rId1"/>
  <headerFooter>
    <oddHeader>&amp;C&amp;"Times New Roman,Félkövér"&amp;12Martonvásár Város Önkormányzatának kiadásai 2018.
Brunszvik-Beehtoven Kulturális Központ&amp;R&amp;"Times New Roman,Félkövér"&amp;12 6.c melléklet</oddHeader>
  </headerFooter>
  <rowBreaks count="2" manualBreakCount="2">
    <brk id="31" max="16383" man="1"/>
    <brk id="6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zoomScaleNormal="100" workbookViewId="0">
      <selection activeCell="H13" sqref="H13"/>
    </sheetView>
  </sheetViews>
  <sheetFormatPr defaultColWidth="9.140625" defaultRowHeight="12.75" x14ac:dyDescent="0.25"/>
  <cols>
    <col min="1" max="1" width="6.85546875" style="154" customWidth="1"/>
    <col min="2" max="2" width="50.140625" style="154" customWidth="1"/>
    <col min="3" max="3" width="10.42578125" style="154" customWidth="1"/>
    <col min="4" max="5" width="9.5703125" style="156" bestFit="1" customWidth="1"/>
    <col min="6" max="16384" width="9.140625" style="154"/>
  </cols>
  <sheetData>
    <row r="1" spans="1:6" ht="14.25" customHeight="1" thickBot="1" x14ac:dyDescent="0.25">
      <c r="B1" s="155"/>
      <c r="D1" s="1295" t="s">
        <v>390</v>
      </c>
      <c r="E1" s="1295"/>
      <c r="F1" s="65"/>
    </row>
    <row r="2" spans="1:6" s="155" customFormat="1" ht="39" thickBot="1" x14ac:dyDescent="0.3">
      <c r="A2" s="584" t="s">
        <v>347</v>
      </c>
      <c r="B2" s="585" t="s">
        <v>348</v>
      </c>
      <c r="C2" s="585" t="s">
        <v>948</v>
      </c>
      <c r="D2" s="585" t="s">
        <v>786</v>
      </c>
      <c r="E2" s="585" t="s">
        <v>949</v>
      </c>
    </row>
    <row r="3" spans="1:6" ht="12.75" customHeight="1" x14ac:dyDescent="0.25">
      <c r="A3" s="569">
        <v>1</v>
      </c>
      <c r="B3" s="582"/>
      <c r="C3" s="583"/>
      <c r="D3" s="583"/>
      <c r="E3" s="583"/>
    </row>
    <row r="4" spans="1:6" s="157" customFormat="1" ht="12.75" customHeight="1" x14ac:dyDescent="0.25">
      <c r="A4" s="557">
        <v>2</v>
      </c>
      <c r="B4" s="152" t="s">
        <v>422</v>
      </c>
      <c r="C4" s="153"/>
      <c r="D4" s="153"/>
      <c r="E4" s="153"/>
    </row>
    <row r="5" spans="1:6" s="157" customFormat="1" ht="12.75" customHeight="1" x14ac:dyDescent="0.25">
      <c r="A5" s="557">
        <v>3</v>
      </c>
      <c r="B5" s="152"/>
      <c r="C5" s="153"/>
      <c r="D5" s="153"/>
      <c r="E5" s="153"/>
    </row>
    <row r="6" spans="1:6" s="157" customFormat="1" ht="12.75" customHeight="1" x14ac:dyDescent="0.25">
      <c r="A6" s="557">
        <v>4</v>
      </c>
      <c r="B6" s="110" t="s">
        <v>776</v>
      </c>
      <c r="C6" s="109">
        <v>180902</v>
      </c>
      <c r="D6" s="153"/>
      <c r="E6" s="109">
        <f>+D6+C6</f>
        <v>180902</v>
      </c>
    </row>
    <row r="7" spans="1:6" s="157" customFormat="1" ht="12.75" customHeight="1" x14ac:dyDescent="0.25">
      <c r="A7" s="557">
        <v>5</v>
      </c>
      <c r="B7" s="110" t="s">
        <v>777</v>
      </c>
      <c r="C7" s="109">
        <v>105636</v>
      </c>
      <c r="D7" s="153"/>
      <c r="E7" s="109">
        <f t="shared" ref="E7:E12" si="0">+D7+C7</f>
        <v>105636</v>
      </c>
    </row>
    <row r="8" spans="1:6" s="157" customFormat="1" ht="12.75" customHeight="1" x14ac:dyDescent="0.25">
      <c r="A8" s="557">
        <v>6</v>
      </c>
      <c r="B8" s="110" t="s">
        <v>778</v>
      </c>
      <c r="C8" s="109">
        <v>74631</v>
      </c>
      <c r="D8" s="153"/>
      <c r="E8" s="109">
        <f t="shared" si="0"/>
        <v>74631</v>
      </c>
    </row>
    <row r="9" spans="1:6" s="157" customFormat="1" ht="12.75" customHeight="1" x14ac:dyDescent="0.25">
      <c r="A9" s="557">
        <v>7</v>
      </c>
      <c r="B9" s="110" t="s">
        <v>779</v>
      </c>
      <c r="C9" s="109">
        <v>451823</v>
      </c>
      <c r="D9" s="153"/>
      <c r="E9" s="109">
        <f t="shared" si="0"/>
        <v>451823</v>
      </c>
    </row>
    <row r="10" spans="1:6" ht="12.75" customHeight="1" x14ac:dyDescent="0.25">
      <c r="A10" s="557">
        <v>8</v>
      </c>
      <c r="B10" s="108" t="s">
        <v>780</v>
      </c>
      <c r="C10" s="109">
        <v>122820</v>
      </c>
      <c r="D10" s="113"/>
      <c r="E10" s="109">
        <f t="shared" si="0"/>
        <v>122820</v>
      </c>
    </row>
    <row r="11" spans="1:6" ht="12.75" customHeight="1" x14ac:dyDescent="0.25">
      <c r="A11" s="557"/>
      <c r="B11" s="108" t="s">
        <v>938</v>
      </c>
      <c r="C11" s="109"/>
      <c r="D11" s="113">
        <v>2362</v>
      </c>
      <c r="E11" s="109">
        <f t="shared" si="0"/>
        <v>2362</v>
      </c>
    </row>
    <row r="12" spans="1:6" ht="12.75" customHeight="1" x14ac:dyDescent="0.25">
      <c r="A12" s="557"/>
      <c r="B12" s="108" t="s">
        <v>939</v>
      </c>
      <c r="C12" s="109"/>
      <c r="D12" s="113">
        <v>8858</v>
      </c>
      <c r="E12" s="109">
        <f t="shared" si="0"/>
        <v>8858</v>
      </c>
    </row>
    <row r="13" spans="1:6" s="157" customFormat="1" ht="12.75" customHeight="1" x14ac:dyDescent="0.25">
      <c r="A13" s="557">
        <v>9</v>
      </c>
      <c r="B13" s="158" t="s">
        <v>349</v>
      </c>
      <c r="C13" s="726">
        <f>SUM(C6:C12)</f>
        <v>935812</v>
      </c>
      <c r="D13" s="726">
        <f t="shared" ref="D13:E13" si="1">SUM(D6:D12)</f>
        <v>11220</v>
      </c>
      <c r="E13" s="726">
        <f t="shared" si="1"/>
        <v>947032</v>
      </c>
    </row>
    <row r="14" spans="1:6" s="157" customFormat="1" ht="12.75" customHeight="1" x14ac:dyDescent="0.25">
      <c r="A14" s="557">
        <v>10</v>
      </c>
      <c r="B14" s="574"/>
      <c r="C14" s="153"/>
      <c r="D14" s="153"/>
      <c r="E14" s="153"/>
    </row>
    <row r="15" spans="1:6" ht="12.75" customHeight="1" x14ac:dyDescent="0.25">
      <c r="A15" s="557">
        <v>11</v>
      </c>
      <c r="B15" s="115" t="s">
        <v>421</v>
      </c>
      <c r="C15" s="153">
        <f>+C13+C4</f>
        <v>935812</v>
      </c>
      <c r="D15" s="153">
        <f t="shared" ref="D15:E15" si="2">+D13+D4</f>
        <v>11220</v>
      </c>
      <c r="E15" s="153">
        <f t="shared" si="2"/>
        <v>947032</v>
      </c>
    </row>
    <row r="16" spans="1:6" ht="12.75" customHeight="1" x14ac:dyDescent="0.25">
      <c r="A16" s="557">
        <v>12</v>
      </c>
      <c r="B16" s="115"/>
      <c r="C16" s="109"/>
      <c r="D16" s="114"/>
      <c r="E16" s="114"/>
    </row>
    <row r="17" spans="1:5" ht="12.75" customHeight="1" x14ac:dyDescent="0.25">
      <c r="A17" s="557">
        <v>13</v>
      </c>
      <c r="B17" s="152" t="s">
        <v>353</v>
      </c>
      <c r="C17" s="109"/>
      <c r="D17" s="114"/>
      <c r="E17" s="114"/>
    </row>
    <row r="18" spans="1:5" ht="12.75" customHeight="1" x14ac:dyDescent="0.25">
      <c r="A18" s="557">
        <v>14</v>
      </c>
      <c r="B18" s="159"/>
      <c r="C18" s="112"/>
      <c r="D18" s="113"/>
      <c r="E18" s="113"/>
    </row>
    <row r="19" spans="1:5" ht="12.75" customHeight="1" x14ac:dyDescent="0.25">
      <c r="A19" s="557">
        <v>15</v>
      </c>
      <c r="B19" s="115" t="s">
        <v>354</v>
      </c>
      <c r="C19" s="109"/>
      <c r="D19" s="153"/>
      <c r="E19" s="153"/>
    </row>
    <row r="20" spans="1:5" ht="12.75" customHeight="1" thickBot="1" x14ac:dyDescent="0.3">
      <c r="A20" s="568">
        <v>16</v>
      </c>
      <c r="B20" s="579"/>
      <c r="C20" s="586"/>
      <c r="D20" s="587"/>
      <c r="E20" s="587"/>
    </row>
    <row r="21" spans="1:5" ht="25.5" customHeight="1" x14ac:dyDescent="0.25">
      <c r="A21" s="588">
        <v>17</v>
      </c>
      <c r="B21" s="589" t="s">
        <v>675</v>
      </c>
      <c r="C21" s="590"/>
      <c r="D21" s="591"/>
      <c r="E21" s="591"/>
    </row>
    <row r="22" spans="1:5" ht="12" customHeight="1" x14ac:dyDescent="0.25">
      <c r="A22" s="557">
        <v>18</v>
      </c>
      <c r="B22" s="152"/>
      <c r="C22" s="109"/>
      <c r="D22" s="114"/>
      <c r="E22" s="114"/>
    </row>
    <row r="23" spans="1:5" ht="12" customHeight="1" x14ac:dyDescent="0.25">
      <c r="A23" s="557">
        <v>19</v>
      </c>
      <c r="B23" s="152" t="s">
        <v>676</v>
      </c>
      <c r="C23" s="726">
        <f>SUM(C24:C26)</f>
        <v>181983</v>
      </c>
      <c r="D23" s="726">
        <f t="shared" ref="D23:E23" si="3">SUM(D24:D26)</f>
        <v>9444</v>
      </c>
      <c r="E23" s="726">
        <f t="shared" si="3"/>
        <v>191427</v>
      </c>
    </row>
    <row r="24" spans="1:5" ht="12" customHeight="1" x14ac:dyDescent="0.25">
      <c r="A24" s="557">
        <v>20</v>
      </c>
      <c r="B24" s="111" t="s">
        <v>677</v>
      </c>
      <c r="C24" s="109">
        <v>178623</v>
      </c>
      <c r="D24" s="966">
        <v>9444</v>
      </c>
      <c r="E24" s="966">
        <f>+D24+C24</f>
        <v>188067</v>
      </c>
    </row>
    <row r="25" spans="1:5" ht="12" customHeight="1" x14ac:dyDescent="0.25">
      <c r="A25" s="557">
        <v>21</v>
      </c>
      <c r="B25" s="111" t="s">
        <v>678</v>
      </c>
      <c r="C25" s="109">
        <v>2362</v>
      </c>
      <c r="D25" s="114"/>
      <c r="E25" s="966">
        <f t="shared" ref="E25:E43" si="4">+D25+C25</f>
        <v>2362</v>
      </c>
    </row>
    <row r="26" spans="1:5" ht="12" customHeight="1" x14ac:dyDescent="0.25">
      <c r="A26" s="557">
        <v>22</v>
      </c>
      <c r="B26" s="111" t="s">
        <v>679</v>
      </c>
      <c r="C26" s="109">
        <v>998</v>
      </c>
      <c r="D26" s="114"/>
      <c r="E26" s="966">
        <f t="shared" si="4"/>
        <v>998</v>
      </c>
    </row>
    <row r="27" spans="1:5" ht="12" customHeight="1" x14ac:dyDescent="0.25">
      <c r="A27" s="557">
        <v>23</v>
      </c>
      <c r="B27" s="115"/>
      <c r="C27" s="109"/>
      <c r="D27" s="114"/>
      <c r="E27" s="966">
        <f t="shared" si="4"/>
        <v>0</v>
      </c>
    </row>
    <row r="28" spans="1:5" ht="12" customHeight="1" x14ac:dyDescent="0.25">
      <c r="A28" s="557">
        <v>24</v>
      </c>
      <c r="B28" s="152" t="s">
        <v>680</v>
      </c>
      <c r="C28" s="726">
        <f>SUM(C29:C31)</f>
        <v>138706</v>
      </c>
      <c r="D28" s="726">
        <f t="shared" ref="D28:E28" si="5">SUM(D29:D31)</f>
        <v>0</v>
      </c>
      <c r="E28" s="726">
        <f t="shared" si="5"/>
        <v>138706</v>
      </c>
    </row>
    <row r="29" spans="1:5" ht="12.75" customHeight="1" x14ac:dyDescent="0.25">
      <c r="A29" s="557">
        <v>25</v>
      </c>
      <c r="B29" s="111" t="s">
        <v>677</v>
      </c>
      <c r="C29" s="109">
        <v>136437</v>
      </c>
      <c r="D29" s="114"/>
      <c r="E29" s="966">
        <f t="shared" si="4"/>
        <v>136437</v>
      </c>
    </row>
    <row r="30" spans="1:5" ht="12.75" customHeight="1" x14ac:dyDescent="0.25">
      <c r="A30" s="557">
        <v>26</v>
      </c>
      <c r="B30" s="111" t="s">
        <v>678</v>
      </c>
      <c r="C30" s="109"/>
      <c r="D30" s="114"/>
      <c r="E30" s="966">
        <f t="shared" si="4"/>
        <v>0</v>
      </c>
    </row>
    <row r="31" spans="1:5" ht="12.75" customHeight="1" x14ac:dyDescent="0.25">
      <c r="A31" s="557">
        <v>27</v>
      </c>
      <c r="B31" s="111" t="s">
        <v>679</v>
      </c>
      <c r="C31" s="112">
        <v>2269</v>
      </c>
      <c r="D31" s="113"/>
      <c r="E31" s="113">
        <f t="shared" si="4"/>
        <v>2269</v>
      </c>
    </row>
    <row r="32" spans="1:5" ht="12.75" customHeight="1" x14ac:dyDescent="0.25">
      <c r="A32" s="557">
        <v>28</v>
      </c>
      <c r="B32" s="110"/>
      <c r="C32" s="112"/>
      <c r="D32" s="113"/>
      <c r="E32" s="113">
        <f t="shared" si="4"/>
        <v>0</v>
      </c>
    </row>
    <row r="33" spans="1:5" ht="12.75" customHeight="1" x14ac:dyDescent="0.25">
      <c r="A33" s="557">
        <v>29</v>
      </c>
      <c r="B33" s="152" t="s">
        <v>690</v>
      </c>
      <c r="C33" s="728">
        <f>SUM(C34:C37)</f>
        <v>113202</v>
      </c>
      <c r="D33" s="728">
        <f t="shared" ref="D33:E33" si="6">SUM(D34:D37)</f>
        <v>0</v>
      </c>
      <c r="E33" s="728">
        <f t="shared" si="6"/>
        <v>113202</v>
      </c>
    </row>
    <row r="34" spans="1:5" ht="12.75" customHeight="1" x14ac:dyDescent="0.25">
      <c r="A34" s="557">
        <v>30</v>
      </c>
      <c r="B34" s="111" t="s">
        <v>681</v>
      </c>
      <c r="C34" s="112"/>
      <c r="D34" s="113"/>
      <c r="E34" s="113">
        <f t="shared" si="4"/>
        <v>0</v>
      </c>
    </row>
    <row r="35" spans="1:5" ht="12.75" customHeight="1" x14ac:dyDescent="0.25">
      <c r="A35" s="557">
        <v>31</v>
      </c>
      <c r="B35" s="111" t="s">
        <v>677</v>
      </c>
      <c r="C35" s="112">
        <v>86208</v>
      </c>
      <c r="D35" s="113"/>
      <c r="E35" s="113">
        <f t="shared" si="4"/>
        <v>86208</v>
      </c>
    </row>
    <row r="36" spans="1:5" ht="12.75" customHeight="1" x14ac:dyDescent="0.25">
      <c r="A36" s="557">
        <v>32</v>
      </c>
      <c r="B36" s="111" t="s">
        <v>678</v>
      </c>
      <c r="C36" s="112">
        <v>19799</v>
      </c>
      <c r="D36" s="113"/>
      <c r="E36" s="113">
        <f t="shared" si="4"/>
        <v>19799</v>
      </c>
    </row>
    <row r="37" spans="1:5" ht="12.75" customHeight="1" x14ac:dyDescent="0.25">
      <c r="A37" s="557">
        <v>33</v>
      </c>
      <c r="B37" s="111" t="s">
        <v>679</v>
      </c>
      <c r="C37" s="112">
        <v>7195</v>
      </c>
      <c r="D37" s="113"/>
      <c r="E37" s="113">
        <f t="shared" si="4"/>
        <v>7195</v>
      </c>
    </row>
    <row r="38" spans="1:5" ht="12.75" customHeight="1" x14ac:dyDescent="0.25">
      <c r="A38" s="557">
        <v>34</v>
      </c>
      <c r="B38" s="115"/>
      <c r="C38" s="112"/>
      <c r="D38" s="113"/>
      <c r="E38" s="113">
        <f t="shared" si="4"/>
        <v>0</v>
      </c>
    </row>
    <row r="39" spans="1:5" ht="12.75" customHeight="1" x14ac:dyDescent="0.25">
      <c r="A39" s="557">
        <v>35</v>
      </c>
      <c r="B39" s="152" t="s">
        <v>691</v>
      </c>
      <c r="C39" s="728">
        <f>SUM(C40:C42)</f>
        <v>14500</v>
      </c>
      <c r="D39" s="728">
        <f t="shared" ref="D39:E39" si="7">SUM(D40:D42)</f>
        <v>-2300</v>
      </c>
      <c r="E39" s="728">
        <f t="shared" si="7"/>
        <v>12200</v>
      </c>
    </row>
    <row r="40" spans="1:5" ht="12.75" customHeight="1" x14ac:dyDescent="0.25">
      <c r="A40" s="557">
        <v>36</v>
      </c>
      <c r="B40" s="111" t="s">
        <v>677</v>
      </c>
      <c r="C40" s="112">
        <v>11417</v>
      </c>
      <c r="D40" s="113">
        <v>-2300</v>
      </c>
      <c r="E40" s="113">
        <f t="shared" si="4"/>
        <v>9117</v>
      </c>
    </row>
    <row r="41" spans="1:5" ht="12.75" customHeight="1" x14ac:dyDescent="0.25">
      <c r="A41" s="557">
        <v>37</v>
      </c>
      <c r="B41" s="111" t="s">
        <v>678</v>
      </c>
      <c r="C41" s="112"/>
      <c r="D41" s="113"/>
      <c r="E41" s="113">
        <f t="shared" si="4"/>
        <v>0</v>
      </c>
    </row>
    <row r="42" spans="1:5" ht="12.75" customHeight="1" x14ac:dyDescent="0.25">
      <c r="A42" s="557">
        <v>38</v>
      </c>
      <c r="B42" s="111" t="s">
        <v>679</v>
      </c>
      <c r="C42" s="112">
        <v>3083</v>
      </c>
      <c r="D42" s="113"/>
      <c r="E42" s="113">
        <f t="shared" si="4"/>
        <v>3083</v>
      </c>
    </row>
    <row r="43" spans="1:5" ht="12.75" customHeight="1" x14ac:dyDescent="0.25">
      <c r="A43" s="557">
        <v>39</v>
      </c>
      <c r="B43" s="571"/>
      <c r="C43" s="112"/>
      <c r="D43" s="113"/>
      <c r="E43" s="113">
        <f t="shared" si="4"/>
        <v>0</v>
      </c>
    </row>
    <row r="44" spans="1:5" ht="25.5" customHeight="1" thickBot="1" x14ac:dyDescent="0.3">
      <c r="A44" s="592">
        <v>40</v>
      </c>
      <c r="B44" s="593" t="s">
        <v>686</v>
      </c>
      <c r="C44" s="594">
        <f>+C39+C33+C28+C23</f>
        <v>448391</v>
      </c>
      <c r="D44" s="594">
        <f t="shared" ref="D44:E44" si="8">+D39+D33+D28+D23</f>
        <v>7144</v>
      </c>
      <c r="E44" s="594">
        <f t="shared" si="8"/>
        <v>455535</v>
      </c>
    </row>
    <row r="45" spans="1:5" ht="12.75" customHeight="1" thickBot="1" x14ac:dyDescent="0.3">
      <c r="A45" s="596">
        <v>41</v>
      </c>
      <c r="B45" s="597"/>
      <c r="C45" s="598"/>
      <c r="D45" s="599"/>
      <c r="E45" s="599"/>
    </row>
    <row r="46" spans="1:5" ht="12.75" customHeight="1" x14ac:dyDescent="0.25">
      <c r="A46" s="588">
        <v>42</v>
      </c>
      <c r="B46" s="600" t="s">
        <v>350</v>
      </c>
      <c r="C46" s="727">
        <f>SUM(C47:C50)</f>
        <v>71899</v>
      </c>
      <c r="D46" s="727">
        <f t="shared" ref="D46:E46" si="9">SUM(D47:D50)</f>
        <v>26</v>
      </c>
      <c r="E46" s="727">
        <f t="shared" si="9"/>
        <v>71925</v>
      </c>
    </row>
    <row r="47" spans="1:5" ht="12.75" customHeight="1" x14ac:dyDescent="0.25">
      <c r="A47" s="557">
        <v>43</v>
      </c>
      <c r="B47" s="111" t="s">
        <v>879</v>
      </c>
      <c r="C47" s="112">
        <v>51538</v>
      </c>
      <c r="D47" s="112">
        <f>-25-203+254</f>
        <v>26</v>
      </c>
      <c r="E47" s="112">
        <f>+D47+C47</f>
        <v>51564</v>
      </c>
    </row>
    <row r="48" spans="1:5" ht="12.75" customHeight="1" x14ac:dyDescent="0.25">
      <c r="A48" s="557">
        <v>44</v>
      </c>
      <c r="B48" s="111" t="s">
        <v>880</v>
      </c>
      <c r="C48" s="112">
        <v>6596</v>
      </c>
      <c r="D48" s="112"/>
      <c r="E48" s="112">
        <f t="shared" ref="E48:E50" si="10">+D48+C48</f>
        <v>6596</v>
      </c>
    </row>
    <row r="49" spans="1:5" ht="12.75" customHeight="1" x14ac:dyDescent="0.25">
      <c r="A49" s="557">
        <v>45</v>
      </c>
      <c r="B49" s="111" t="s">
        <v>881</v>
      </c>
      <c r="C49" s="154">
        <v>13605</v>
      </c>
      <c r="D49" s="112"/>
      <c r="E49" s="112">
        <f t="shared" si="10"/>
        <v>13605</v>
      </c>
    </row>
    <row r="50" spans="1:5" ht="12.75" customHeight="1" x14ac:dyDescent="0.25">
      <c r="A50" s="557">
        <v>46</v>
      </c>
      <c r="B50" s="111" t="s">
        <v>693</v>
      </c>
      <c r="C50" s="112">
        <v>160</v>
      </c>
      <c r="D50" s="112"/>
      <c r="E50" s="112">
        <f t="shared" si="10"/>
        <v>160</v>
      </c>
    </row>
    <row r="51" spans="1:5" ht="12.75" customHeight="1" x14ac:dyDescent="0.25">
      <c r="A51" s="557">
        <v>47</v>
      </c>
      <c r="B51" s="158" t="s">
        <v>351</v>
      </c>
      <c r="C51" s="109"/>
      <c r="D51" s="114"/>
      <c r="E51" s="114"/>
    </row>
    <row r="52" spans="1:5" ht="12.75" customHeight="1" x14ac:dyDescent="0.25">
      <c r="A52" s="557">
        <v>48</v>
      </c>
      <c r="B52" s="111"/>
      <c r="C52" s="112"/>
      <c r="D52" s="113"/>
      <c r="E52" s="113"/>
    </row>
    <row r="53" spans="1:5" s="157" customFormat="1" ht="12.75" customHeight="1" thickBot="1" x14ac:dyDescent="0.3">
      <c r="A53" s="592">
        <v>49</v>
      </c>
      <c r="B53" s="593" t="s">
        <v>352</v>
      </c>
      <c r="C53" s="594">
        <f>+C51+C46</f>
        <v>71899</v>
      </c>
      <c r="D53" s="594">
        <f>+D51+D46</f>
        <v>26</v>
      </c>
      <c r="E53" s="594">
        <f>+E51+E46</f>
        <v>71925</v>
      </c>
    </row>
    <row r="54" spans="1:5" s="157" customFormat="1" ht="12.75" customHeight="1" thickBot="1" x14ac:dyDescent="0.3">
      <c r="A54" s="596">
        <v>50</v>
      </c>
      <c r="B54" s="572"/>
      <c r="C54" s="573"/>
      <c r="D54" s="573"/>
      <c r="E54" s="573"/>
    </row>
    <row r="55" spans="1:5" ht="12.75" customHeight="1" x14ac:dyDescent="0.25">
      <c r="A55" s="588">
        <v>51</v>
      </c>
      <c r="B55" s="602" t="s">
        <v>574</v>
      </c>
      <c r="C55" s="590"/>
      <c r="D55" s="591"/>
      <c r="E55" s="967"/>
    </row>
    <row r="56" spans="1:5" ht="12.75" customHeight="1" x14ac:dyDescent="0.25">
      <c r="A56" s="557">
        <v>52</v>
      </c>
      <c r="B56" s="733" t="s">
        <v>763</v>
      </c>
      <c r="C56" s="728">
        <v>42</v>
      </c>
      <c r="D56" s="728">
        <f>+D57</f>
        <v>0</v>
      </c>
      <c r="E56" s="968">
        <f>+D56+C56</f>
        <v>42</v>
      </c>
    </row>
    <row r="57" spans="1:5" ht="12.75" customHeight="1" x14ac:dyDescent="0.25">
      <c r="A57" s="557">
        <v>53</v>
      </c>
      <c r="B57" s="111" t="s">
        <v>874</v>
      </c>
      <c r="C57" s="112">
        <v>42</v>
      </c>
      <c r="D57" s="113"/>
      <c r="E57" s="972">
        <f t="shared" ref="E57:E72" si="11">+D57+C57</f>
        <v>42</v>
      </c>
    </row>
    <row r="58" spans="1:5" ht="12.75" customHeight="1" x14ac:dyDescent="0.25">
      <c r="A58" s="557">
        <v>54</v>
      </c>
      <c r="B58" s="733" t="s">
        <v>764</v>
      </c>
      <c r="C58" s="728">
        <v>72</v>
      </c>
      <c r="D58" s="728">
        <f>+D59+D60</f>
        <v>28</v>
      </c>
      <c r="E58" s="968">
        <f t="shared" si="11"/>
        <v>100</v>
      </c>
    </row>
    <row r="59" spans="1:5" ht="12.75" customHeight="1" x14ac:dyDescent="0.25">
      <c r="A59" s="557">
        <v>55</v>
      </c>
      <c r="B59" s="111" t="s">
        <v>875</v>
      </c>
      <c r="C59" s="112">
        <v>72</v>
      </c>
      <c r="D59" s="113"/>
      <c r="E59" s="972">
        <f t="shared" si="11"/>
        <v>72</v>
      </c>
    </row>
    <row r="60" spans="1:5" ht="12.75" customHeight="1" x14ac:dyDescent="0.25">
      <c r="A60" s="557">
        <v>56</v>
      </c>
      <c r="B60" s="111" t="s">
        <v>940</v>
      </c>
      <c r="C60" s="112"/>
      <c r="D60" s="113">
        <v>28</v>
      </c>
      <c r="E60" s="972">
        <f>+D60+C60</f>
        <v>28</v>
      </c>
    </row>
    <row r="61" spans="1:5" ht="12.75" customHeight="1" x14ac:dyDescent="0.25">
      <c r="A61" s="557">
        <v>57</v>
      </c>
      <c r="B61" s="733" t="s">
        <v>785</v>
      </c>
      <c r="C61" s="728">
        <v>6100</v>
      </c>
      <c r="D61" s="728">
        <f>SUM(D62:D72)</f>
        <v>0</v>
      </c>
      <c r="E61" s="968">
        <f t="shared" si="11"/>
        <v>6100</v>
      </c>
    </row>
    <row r="62" spans="1:5" ht="12.75" customHeight="1" x14ac:dyDescent="0.25">
      <c r="A62" s="557">
        <v>58</v>
      </c>
      <c r="B62" s="734" t="s">
        <v>765</v>
      </c>
      <c r="C62" s="112">
        <v>100</v>
      </c>
      <c r="D62" s="113"/>
      <c r="E62" s="972">
        <f t="shared" si="11"/>
        <v>100</v>
      </c>
    </row>
    <row r="63" spans="1:5" ht="12.75" customHeight="1" x14ac:dyDescent="0.25">
      <c r="A63" s="557">
        <v>59</v>
      </c>
      <c r="B63" s="734" t="s">
        <v>766</v>
      </c>
      <c r="C63" s="112">
        <v>300</v>
      </c>
      <c r="D63" s="113"/>
      <c r="E63" s="972">
        <f t="shared" si="11"/>
        <v>300</v>
      </c>
    </row>
    <row r="64" spans="1:5" ht="12.75" customHeight="1" x14ac:dyDescent="0.25">
      <c r="A64" s="557">
        <v>60</v>
      </c>
      <c r="B64" s="734" t="s">
        <v>767</v>
      </c>
      <c r="C64" s="112">
        <v>1600</v>
      </c>
      <c r="D64" s="113"/>
      <c r="E64" s="972">
        <f t="shared" si="11"/>
        <v>1600</v>
      </c>
    </row>
    <row r="65" spans="1:5" ht="12.75" customHeight="1" x14ac:dyDescent="0.25">
      <c r="A65" s="557">
        <v>61</v>
      </c>
      <c r="B65" s="734" t="s">
        <v>768</v>
      </c>
      <c r="C65" s="112">
        <v>150</v>
      </c>
      <c r="D65" s="113"/>
      <c r="E65" s="972">
        <f t="shared" si="11"/>
        <v>150</v>
      </c>
    </row>
    <row r="66" spans="1:5" ht="12.75" customHeight="1" x14ac:dyDescent="0.25">
      <c r="A66" s="557">
        <v>62</v>
      </c>
      <c r="B66" s="734" t="s">
        <v>770</v>
      </c>
      <c r="C66" s="112">
        <v>400</v>
      </c>
      <c r="D66" s="113"/>
      <c r="E66" s="972">
        <f t="shared" si="11"/>
        <v>400</v>
      </c>
    </row>
    <row r="67" spans="1:5" ht="12.75" customHeight="1" x14ac:dyDescent="0.25">
      <c r="A67" s="557">
        <v>63</v>
      </c>
      <c r="B67" s="734" t="s">
        <v>769</v>
      </c>
      <c r="C67" s="112">
        <v>500</v>
      </c>
      <c r="D67" s="113"/>
      <c r="E67" s="972">
        <f t="shared" si="11"/>
        <v>500</v>
      </c>
    </row>
    <row r="68" spans="1:5" ht="12.75" customHeight="1" x14ac:dyDescent="0.25">
      <c r="A68" s="557">
        <v>64</v>
      </c>
      <c r="B68" s="734" t="s">
        <v>771</v>
      </c>
      <c r="C68" s="112">
        <v>150</v>
      </c>
      <c r="D68" s="113"/>
      <c r="E68" s="972">
        <f t="shared" si="11"/>
        <v>150</v>
      </c>
    </row>
    <row r="69" spans="1:5" ht="12.75" customHeight="1" x14ac:dyDescent="0.25">
      <c r="A69" s="557">
        <v>65</v>
      </c>
      <c r="B69" s="734" t="s">
        <v>772</v>
      </c>
      <c r="C69" s="112">
        <v>1500</v>
      </c>
      <c r="D69" s="113"/>
      <c r="E69" s="972">
        <f t="shared" si="11"/>
        <v>1500</v>
      </c>
    </row>
    <row r="70" spans="1:5" ht="12.75" customHeight="1" x14ac:dyDescent="0.25">
      <c r="A70" s="557">
        <v>66</v>
      </c>
      <c r="B70" s="734" t="s">
        <v>773</v>
      </c>
      <c r="C70" s="112">
        <v>250</v>
      </c>
      <c r="D70" s="113"/>
      <c r="E70" s="972">
        <f t="shared" si="11"/>
        <v>250</v>
      </c>
    </row>
    <row r="71" spans="1:5" ht="12.75" customHeight="1" x14ac:dyDescent="0.25">
      <c r="A71" s="557">
        <v>67</v>
      </c>
      <c r="B71" s="734" t="s">
        <v>774</v>
      </c>
      <c r="C71" s="112">
        <v>800</v>
      </c>
      <c r="D71" s="113"/>
      <c r="E71" s="972">
        <f t="shared" si="11"/>
        <v>800</v>
      </c>
    </row>
    <row r="72" spans="1:5" ht="12.75" customHeight="1" x14ac:dyDescent="0.25">
      <c r="A72" s="557">
        <v>68</v>
      </c>
      <c r="B72" s="734" t="s">
        <v>775</v>
      </c>
      <c r="C72" s="112">
        <v>350</v>
      </c>
      <c r="D72" s="113"/>
      <c r="E72" s="972">
        <f t="shared" si="11"/>
        <v>350</v>
      </c>
    </row>
    <row r="73" spans="1:5" s="157" customFormat="1" ht="12.75" customHeight="1" thickBot="1" x14ac:dyDescent="0.3">
      <c r="A73" s="568">
        <v>69</v>
      </c>
      <c r="B73" s="579" t="s">
        <v>355</v>
      </c>
      <c r="C73" s="969">
        <v>6214</v>
      </c>
      <c r="D73" s="969">
        <f>+D61+D58+D56</f>
        <v>28</v>
      </c>
      <c r="E73" s="970">
        <f>+E61+E58+E56</f>
        <v>6242</v>
      </c>
    </row>
    <row r="74" spans="1:5" s="157" customFormat="1" ht="13.5" customHeight="1" thickBot="1" x14ac:dyDescent="0.3">
      <c r="A74" s="570">
        <v>70</v>
      </c>
      <c r="B74" s="580" t="s">
        <v>356</v>
      </c>
      <c r="C74" s="581">
        <f>+C73+C53+C44+C15</f>
        <v>1462316</v>
      </c>
      <c r="D74" s="581">
        <f t="shared" ref="D74:E74" si="12">+D73+D53+D44+D15</f>
        <v>18418</v>
      </c>
      <c r="E74" s="971">
        <f t="shared" si="12"/>
        <v>1480734</v>
      </c>
    </row>
    <row r="75" spans="1:5" ht="13.5" customHeight="1" x14ac:dyDescent="0.25">
      <c r="B75" s="116"/>
      <c r="C75" s="160"/>
      <c r="D75" s="161"/>
      <c r="E75" s="161"/>
    </row>
  </sheetData>
  <mergeCells count="1">
    <mergeCell ref="D1:E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&amp;C&amp;"Times New Roman,Félkövér"&amp;12Martonvásár Város Önkormányzat beruházási (felhalmozási) célú 
kiadásai előirányzata feladatonként    &amp;R&amp;"Times New Roman,Félkövér"&amp;10 7. melléklet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zoomScaleNormal="100" workbookViewId="0">
      <selection activeCell="E3" sqref="E3"/>
    </sheetView>
  </sheetViews>
  <sheetFormatPr defaultColWidth="53.140625" defaultRowHeight="15" x14ac:dyDescent="0.25"/>
  <cols>
    <col min="1" max="1" width="5.5703125" style="97" customWidth="1"/>
    <col min="2" max="2" width="53.140625" style="98" customWidth="1"/>
    <col min="3" max="3" width="13.7109375" style="97" customWidth="1"/>
    <col min="4" max="4" width="13.42578125" style="97" customWidth="1"/>
    <col min="5" max="5" width="13.28515625" style="97" customWidth="1"/>
    <col min="6" max="16384" width="53.140625" style="97"/>
  </cols>
  <sheetData>
    <row r="1" spans="1:5" ht="12.75" customHeight="1" x14ac:dyDescent="0.25"/>
    <row r="2" spans="1:5" ht="12.75" customHeight="1" thickBot="1" x14ac:dyDescent="0.25">
      <c r="D2" s="1296" t="s">
        <v>390</v>
      </c>
      <c r="E2" s="1296"/>
    </row>
    <row r="3" spans="1:5" s="99" customFormat="1" ht="39.75" customHeight="1" thickBot="1" x14ac:dyDescent="0.3">
      <c r="A3" s="605" t="s">
        <v>696</v>
      </c>
      <c r="B3" s="606" t="s">
        <v>682</v>
      </c>
      <c r="C3" s="585" t="s">
        <v>960</v>
      </c>
      <c r="D3" s="585" t="s">
        <v>786</v>
      </c>
      <c r="E3" s="585" t="s">
        <v>949</v>
      </c>
    </row>
    <row r="4" spans="1:5" s="100" customFormat="1" ht="12.75" customHeight="1" x14ac:dyDescent="0.25">
      <c r="A4" s="588">
        <v>1</v>
      </c>
      <c r="B4" s="607"/>
      <c r="C4" s="601"/>
      <c r="D4" s="601"/>
      <c r="E4" s="601"/>
    </row>
    <row r="5" spans="1:5" s="100" customFormat="1" ht="12.75" customHeight="1" x14ac:dyDescent="0.25">
      <c r="A5" s="557">
        <v>2</v>
      </c>
      <c r="B5" s="108" t="s">
        <v>938</v>
      </c>
      <c r="C5" s="109"/>
      <c r="D5" s="109">
        <v>17869</v>
      </c>
      <c r="E5" s="109">
        <f>+D5+C5</f>
        <v>17869</v>
      </c>
    </row>
    <row r="6" spans="1:5" ht="13.5" customHeight="1" x14ac:dyDescent="0.25">
      <c r="A6" s="557">
        <v>3</v>
      </c>
      <c r="B6" s="604"/>
      <c r="C6" s="109"/>
      <c r="D6" s="113"/>
      <c r="E6" s="113"/>
    </row>
    <row r="7" spans="1:5" ht="12.75" customHeight="1" x14ac:dyDescent="0.25">
      <c r="A7" s="557">
        <v>4</v>
      </c>
      <c r="B7" s="604" t="s">
        <v>349</v>
      </c>
      <c r="C7" s="726">
        <f>+C5</f>
        <v>0</v>
      </c>
      <c r="D7" s="726">
        <f t="shared" ref="D7:E7" si="0">+D5</f>
        <v>17869</v>
      </c>
      <c r="E7" s="726">
        <f t="shared" si="0"/>
        <v>17869</v>
      </c>
    </row>
    <row r="8" spans="1:5" ht="12.75" customHeight="1" x14ac:dyDescent="0.25">
      <c r="A8" s="557">
        <v>5</v>
      </c>
      <c r="B8" s="574"/>
      <c r="C8" s="153"/>
      <c r="D8" s="153"/>
      <c r="E8" s="153"/>
    </row>
    <row r="9" spans="1:5" ht="12.75" customHeight="1" thickBot="1" x14ac:dyDescent="0.3">
      <c r="A9" s="592">
        <v>6</v>
      </c>
      <c r="B9" s="593" t="s">
        <v>357</v>
      </c>
      <c r="C9" s="608">
        <f>+C7</f>
        <v>0</v>
      </c>
      <c r="D9" s="595">
        <f t="shared" ref="D9:E9" si="1">+D7</f>
        <v>17869</v>
      </c>
      <c r="E9" s="595">
        <f t="shared" si="1"/>
        <v>17869</v>
      </c>
    </row>
    <row r="10" spans="1:5" ht="12.75" customHeight="1" x14ac:dyDescent="0.25">
      <c r="A10" s="588">
        <v>7</v>
      </c>
      <c r="B10" s="611" t="s">
        <v>876</v>
      </c>
      <c r="C10" s="590">
        <v>24745</v>
      </c>
      <c r="D10" s="973"/>
      <c r="E10" s="973">
        <f>+D10+C10</f>
        <v>24745</v>
      </c>
    </row>
    <row r="11" spans="1:5" ht="12.75" customHeight="1" x14ac:dyDescent="0.25">
      <c r="A11" s="557">
        <v>8</v>
      </c>
      <c r="B11" s="603" t="s">
        <v>353</v>
      </c>
      <c r="C11" s="153">
        <f>SUM(C10)</f>
        <v>24745</v>
      </c>
      <c r="D11" s="114">
        <f>+D10</f>
        <v>0</v>
      </c>
      <c r="E11" s="114">
        <f>+E10</f>
        <v>24745</v>
      </c>
    </row>
    <row r="12" spans="1:5" ht="12.75" customHeight="1" x14ac:dyDescent="0.25">
      <c r="A12" s="557">
        <v>9</v>
      </c>
      <c r="B12" s="159"/>
      <c r="C12" s="112"/>
      <c r="D12" s="113"/>
      <c r="E12" s="113"/>
    </row>
    <row r="13" spans="1:5" ht="12.75" customHeight="1" thickBot="1" x14ac:dyDescent="0.3">
      <c r="A13" s="592">
        <v>10</v>
      </c>
      <c r="B13" s="593" t="s">
        <v>354</v>
      </c>
      <c r="C13" s="594">
        <f>+C11</f>
        <v>24745</v>
      </c>
      <c r="D13" s="594">
        <f>+D11</f>
        <v>0</v>
      </c>
      <c r="E13" s="594">
        <f>+E11</f>
        <v>24745</v>
      </c>
    </row>
    <row r="14" spans="1:5" ht="12.75" customHeight="1" thickBot="1" x14ac:dyDescent="0.3">
      <c r="A14" s="596">
        <v>11</v>
      </c>
      <c r="B14" s="572"/>
      <c r="C14" s="567"/>
      <c r="D14" s="573"/>
      <c r="E14" s="573"/>
    </row>
    <row r="15" spans="1:5" s="154" customFormat="1" ht="25.5" customHeight="1" x14ac:dyDescent="0.25">
      <c r="A15" s="588">
        <v>12</v>
      </c>
      <c r="B15" s="602" t="s">
        <v>685</v>
      </c>
      <c r="C15" s="590"/>
      <c r="D15" s="591"/>
      <c r="E15" s="591"/>
    </row>
    <row r="16" spans="1:5" ht="12.75" customHeight="1" x14ac:dyDescent="0.25">
      <c r="A16" s="557">
        <v>13</v>
      </c>
      <c r="B16" s="115"/>
      <c r="C16" s="109"/>
      <c r="D16" s="114"/>
      <c r="E16" s="114"/>
    </row>
    <row r="17" spans="1:5" ht="12.75" customHeight="1" x14ac:dyDescent="0.25">
      <c r="A17" s="557">
        <v>14</v>
      </c>
      <c r="B17" s="115" t="s">
        <v>680</v>
      </c>
      <c r="C17" s="109"/>
      <c r="D17" s="114"/>
      <c r="E17" s="114"/>
    </row>
    <row r="18" spans="1:5" ht="12.75" customHeight="1" x14ac:dyDescent="0.25">
      <c r="A18" s="557">
        <v>15</v>
      </c>
      <c r="B18" s="110" t="s">
        <v>683</v>
      </c>
      <c r="C18" s="109">
        <v>19877</v>
      </c>
      <c r="D18" s="114"/>
      <c r="E18" s="966">
        <f>+D18+C18</f>
        <v>19877</v>
      </c>
    </row>
    <row r="19" spans="1:5" ht="12.75" customHeight="1" x14ac:dyDescent="0.25">
      <c r="A19" s="557">
        <v>16</v>
      </c>
      <c r="B19" s="110" t="s">
        <v>692</v>
      </c>
      <c r="C19" s="109">
        <v>4835</v>
      </c>
      <c r="D19" s="114"/>
      <c r="E19" s="966">
        <f t="shared" ref="E19:E31" si="2">+D19+C19</f>
        <v>4835</v>
      </c>
    </row>
    <row r="20" spans="1:5" s="154" customFormat="1" ht="25.5" customHeight="1" thickBot="1" x14ac:dyDescent="0.3">
      <c r="A20" s="592">
        <v>17</v>
      </c>
      <c r="B20" s="593" t="s">
        <v>689</v>
      </c>
      <c r="C20" s="594">
        <f>SUM(C18:C19)</f>
        <v>24712</v>
      </c>
      <c r="D20" s="595"/>
      <c r="E20" s="595">
        <f t="shared" si="2"/>
        <v>24712</v>
      </c>
    </row>
    <row r="21" spans="1:5" s="101" customFormat="1" ht="12.75" customHeight="1" x14ac:dyDescent="0.25">
      <c r="A21" s="588">
        <v>18</v>
      </c>
      <c r="B21" s="611"/>
      <c r="C21" s="601"/>
      <c r="D21" s="612"/>
      <c r="E21" s="612">
        <f t="shared" si="2"/>
        <v>0</v>
      </c>
    </row>
    <row r="22" spans="1:5" s="101" customFormat="1" ht="12.75" customHeight="1" x14ac:dyDescent="0.25">
      <c r="A22" s="569">
        <v>19</v>
      </c>
      <c r="B22" s="729" t="s">
        <v>781</v>
      </c>
      <c r="C22" s="583">
        <v>59870</v>
      </c>
      <c r="D22" s="730"/>
      <c r="E22" s="730">
        <f t="shared" si="2"/>
        <v>59870</v>
      </c>
    </row>
    <row r="23" spans="1:5" s="101" customFormat="1" ht="12.75" customHeight="1" x14ac:dyDescent="0.25">
      <c r="A23" s="557">
        <v>20</v>
      </c>
      <c r="B23" s="158" t="s">
        <v>358</v>
      </c>
      <c r="C23" s="728">
        <f>SUM(C22)</f>
        <v>59870</v>
      </c>
      <c r="D23" s="112"/>
      <c r="E23" s="112">
        <f t="shared" si="2"/>
        <v>59870</v>
      </c>
    </row>
    <row r="24" spans="1:5" x14ac:dyDescent="0.25">
      <c r="A24" s="557">
        <v>21</v>
      </c>
      <c r="B24" s="111"/>
      <c r="C24" s="112"/>
      <c r="D24" s="113"/>
      <c r="E24" s="113">
        <f t="shared" si="2"/>
        <v>0</v>
      </c>
    </row>
    <row r="25" spans="1:5" x14ac:dyDescent="0.25">
      <c r="A25" s="557">
        <v>22</v>
      </c>
      <c r="B25" s="604" t="s">
        <v>684</v>
      </c>
      <c r="C25" s="109"/>
      <c r="D25" s="114"/>
      <c r="E25" s="114">
        <f t="shared" si="2"/>
        <v>0</v>
      </c>
    </row>
    <row r="26" spans="1:5" x14ac:dyDescent="0.25">
      <c r="A26" s="557">
        <v>23</v>
      </c>
      <c r="B26" s="111"/>
      <c r="C26" s="112"/>
      <c r="D26" s="113"/>
      <c r="E26" s="113">
        <f t="shared" si="2"/>
        <v>0</v>
      </c>
    </row>
    <row r="27" spans="1:5" ht="12.75" customHeight="1" thickBot="1" x14ac:dyDescent="0.3">
      <c r="A27" s="592">
        <v>24</v>
      </c>
      <c r="B27" s="593" t="s">
        <v>359</v>
      </c>
      <c r="C27" s="594">
        <f>+C23+C25</f>
        <v>59870</v>
      </c>
      <c r="D27" s="594"/>
      <c r="E27" s="594">
        <f t="shared" si="2"/>
        <v>59870</v>
      </c>
    </row>
    <row r="28" spans="1:5" x14ac:dyDescent="0.25">
      <c r="A28" s="569">
        <v>25</v>
      </c>
      <c r="B28" s="609"/>
      <c r="C28" s="609"/>
      <c r="D28" s="610"/>
      <c r="E28" s="610">
        <f t="shared" si="2"/>
        <v>0</v>
      </c>
    </row>
    <row r="29" spans="1:5" x14ac:dyDescent="0.25">
      <c r="A29" s="557">
        <v>26</v>
      </c>
      <c r="B29" s="115" t="s">
        <v>687</v>
      </c>
      <c r="C29" s="109"/>
      <c r="D29" s="114"/>
      <c r="E29" s="114">
        <f t="shared" si="2"/>
        <v>0</v>
      </c>
    </row>
    <row r="30" spans="1:5" x14ac:dyDescent="0.25">
      <c r="A30" s="557">
        <v>27</v>
      </c>
      <c r="B30" s="111"/>
      <c r="C30" s="112"/>
      <c r="D30" s="113"/>
      <c r="E30" s="113">
        <f t="shared" si="2"/>
        <v>0</v>
      </c>
    </row>
    <row r="31" spans="1:5" x14ac:dyDescent="0.25">
      <c r="A31" s="557">
        <v>28</v>
      </c>
      <c r="B31" s="115" t="s">
        <v>360</v>
      </c>
      <c r="C31" s="153">
        <f t="shared" ref="C31" si="3">SUM(C30:C30)</f>
        <v>0</v>
      </c>
      <c r="D31" s="153"/>
      <c r="E31" s="153">
        <f t="shared" si="2"/>
        <v>0</v>
      </c>
    </row>
    <row r="32" spans="1:5" ht="15.75" thickBot="1" x14ac:dyDescent="0.3">
      <c r="A32" s="592">
        <v>29</v>
      </c>
      <c r="B32" s="412" t="s">
        <v>688</v>
      </c>
      <c r="C32" s="413">
        <f>+C20+C27+C13+C9</f>
        <v>109327</v>
      </c>
      <c r="D32" s="413">
        <f t="shared" ref="D32:E32" si="4">+D20+D27+D13+D9</f>
        <v>17869</v>
      </c>
      <c r="E32" s="413">
        <f t="shared" si="4"/>
        <v>127196</v>
      </c>
    </row>
  </sheetData>
  <mergeCells count="1">
    <mergeCell ref="D2:E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&amp;C&amp;"Times New Roman,Félkövér"&amp;12Martonvásár Város Önkormányzat felújítási (felhalmozási) célú 
kiadásai előirányzata feladatonként      &amp;R&amp;"Times New Roman,Félkövér"&amp;10 8. melléklet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view="pageLayout" workbookViewId="0">
      <selection activeCell="E2" sqref="E2:E5"/>
    </sheetView>
  </sheetViews>
  <sheetFormatPr defaultColWidth="9.140625" defaultRowHeight="15" x14ac:dyDescent="0.25"/>
  <cols>
    <col min="1" max="1" width="7.85546875" style="717" bestFit="1" customWidth="1"/>
    <col min="2" max="2" width="29.5703125" style="717" customWidth="1"/>
    <col min="3" max="3" width="13" style="717" customWidth="1"/>
    <col min="4" max="4" width="13.5703125" style="717" customWidth="1"/>
    <col min="5" max="5" width="13.7109375" style="717" customWidth="1"/>
    <col min="6" max="16384" width="9.140625" style="717"/>
  </cols>
  <sheetData>
    <row r="1" spans="1:5" ht="15.75" thickBot="1" x14ac:dyDescent="0.3"/>
    <row r="2" spans="1:5" ht="15" customHeight="1" x14ac:dyDescent="0.25">
      <c r="A2" s="1297" t="s">
        <v>361</v>
      </c>
      <c r="B2" s="1299" t="s">
        <v>282</v>
      </c>
      <c r="C2" s="1301" t="s">
        <v>700</v>
      </c>
      <c r="D2" s="1303" t="s">
        <v>788</v>
      </c>
      <c r="E2" s="1303" t="s">
        <v>789</v>
      </c>
    </row>
    <row r="3" spans="1:5" x14ac:dyDescent="0.25">
      <c r="A3" s="1298"/>
      <c r="B3" s="1300"/>
      <c r="C3" s="1302"/>
      <c r="D3" s="1304"/>
      <c r="E3" s="1304"/>
    </row>
    <row r="4" spans="1:5" x14ac:dyDescent="0.25">
      <c r="A4" s="1298"/>
      <c r="B4" s="1300"/>
      <c r="C4" s="1302"/>
      <c r="D4" s="1304"/>
      <c r="E4" s="1304"/>
    </row>
    <row r="5" spans="1:5" x14ac:dyDescent="0.25">
      <c r="A5" s="1298"/>
      <c r="B5" s="1300"/>
      <c r="C5" s="1302"/>
      <c r="D5" s="1304"/>
      <c r="E5" s="1304"/>
    </row>
    <row r="6" spans="1:5" x14ac:dyDescent="0.25">
      <c r="A6" s="718" t="s">
        <v>303</v>
      </c>
      <c r="B6" s="719" t="s">
        <v>310</v>
      </c>
      <c r="C6" s="735" t="s">
        <v>304</v>
      </c>
      <c r="D6" s="740" t="s">
        <v>305</v>
      </c>
      <c r="E6" s="740" t="s">
        <v>306</v>
      </c>
    </row>
    <row r="7" spans="1:5" x14ac:dyDescent="0.25">
      <c r="A7" s="720">
        <v>1</v>
      </c>
      <c r="B7" s="123" t="s">
        <v>264</v>
      </c>
      <c r="C7" s="736">
        <v>1</v>
      </c>
      <c r="D7" s="741">
        <v>1</v>
      </c>
      <c r="E7" s="741">
        <v>1</v>
      </c>
    </row>
    <row r="8" spans="1:5" x14ac:dyDescent="0.25">
      <c r="A8" s="720">
        <v>2</v>
      </c>
      <c r="B8" s="123" t="s">
        <v>362</v>
      </c>
      <c r="C8" s="736"/>
      <c r="D8" s="741"/>
      <c r="E8" s="741"/>
    </row>
    <row r="9" spans="1:5" x14ac:dyDescent="0.25">
      <c r="A9" s="720">
        <v>3</v>
      </c>
      <c r="B9" s="721" t="s">
        <v>291</v>
      </c>
      <c r="C9" s="737">
        <v>35</v>
      </c>
      <c r="D9" s="742">
        <v>35</v>
      </c>
      <c r="E9" s="742">
        <v>35</v>
      </c>
    </row>
    <row r="10" spans="1:5" x14ac:dyDescent="0.25">
      <c r="A10" s="720">
        <v>4</v>
      </c>
      <c r="B10" s="721" t="s">
        <v>363</v>
      </c>
      <c r="C10" s="737">
        <v>8</v>
      </c>
      <c r="D10" s="742">
        <v>8</v>
      </c>
      <c r="E10" s="742">
        <v>8</v>
      </c>
    </row>
    <row r="11" spans="1:5" x14ac:dyDescent="0.25">
      <c r="A11" s="720">
        <v>5</v>
      </c>
      <c r="B11" s="123" t="s">
        <v>364</v>
      </c>
      <c r="C11" s="738">
        <f t="shared" ref="C11:E11" si="0">SUM(C9:C10)</f>
        <v>43</v>
      </c>
      <c r="D11" s="743">
        <f t="shared" ref="D11" si="1">SUM(D9:D10)</f>
        <v>43</v>
      </c>
      <c r="E11" s="743">
        <f t="shared" si="0"/>
        <v>43</v>
      </c>
    </row>
    <row r="12" spans="1:5" x14ac:dyDescent="0.25">
      <c r="A12" s="720">
        <v>6</v>
      </c>
      <c r="B12" s="123" t="s">
        <v>386</v>
      </c>
      <c r="C12" s="725" t="s">
        <v>657</v>
      </c>
      <c r="D12" s="744" t="s">
        <v>657</v>
      </c>
      <c r="E12" s="744" t="s">
        <v>657</v>
      </c>
    </row>
    <row r="13" spans="1:5" x14ac:dyDescent="0.25">
      <c r="A13" s="720"/>
      <c r="B13" s="123" t="s">
        <v>607</v>
      </c>
      <c r="C13" s="736"/>
      <c r="D13" s="741"/>
      <c r="E13" s="741"/>
    </row>
    <row r="14" spans="1:5" x14ac:dyDescent="0.25">
      <c r="A14" s="720">
        <v>7</v>
      </c>
      <c r="B14" s="123" t="s">
        <v>365</v>
      </c>
      <c r="C14" s="736">
        <v>3</v>
      </c>
      <c r="D14" s="741">
        <v>3</v>
      </c>
      <c r="E14" s="741">
        <v>3</v>
      </c>
    </row>
    <row r="15" spans="1:5" x14ac:dyDescent="0.25">
      <c r="A15" s="720">
        <v>8</v>
      </c>
      <c r="B15" s="123" t="s">
        <v>366</v>
      </c>
      <c r="C15" s="736">
        <v>1</v>
      </c>
      <c r="D15" s="741">
        <v>1</v>
      </c>
      <c r="E15" s="741">
        <v>1</v>
      </c>
    </row>
    <row r="16" spans="1:5" ht="15.75" thickBot="1" x14ac:dyDescent="0.3">
      <c r="A16" s="722">
        <v>9</v>
      </c>
      <c r="B16" s="723" t="s">
        <v>367</v>
      </c>
      <c r="C16" s="739">
        <f>SUM(C11:C15)+C7</f>
        <v>48</v>
      </c>
      <c r="D16" s="745">
        <f>SUM(D11:D15)+D7</f>
        <v>48</v>
      </c>
      <c r="E16" s="745">
        <f>SUM(E11:E15)+E7</f>
        <v>48</v>
      </c>
    </row>
  </sheetData>
  <mergeCells count="5">
    <mergeCell ref="A2:A5"/>
    <mergeCell ref="B2:B5"/>
    <mergeCell ref="C2:C5"/>
    <mergeCell ref="D2:D5"/>
    <mergeCell ref="E2:E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&amp;C&amp;"Times New Roman,Félkövér"&amp;12Martonvásár Város Önkormányzata és Intézményei
  2018. évi létszámkerete     &amp;R&amp;"Times New Roman,Félkövér"&amp;10 9. melléklet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view="pageLayout" workbookViewId="0">
      <selection activeCell="E23" sqref="E23"/>
    </sheetView>
  </sheetViews>
  <sheetFormatPr defaultColWidth="9.140625" defaultRowHeight="15" x14ac:dyDescent="0.25"/>
  <cols>
    <col min="1" max="1" width="5.85546875" style="248" customWidth="1"/>
    <col min="2" max="2" width="42.5703125" style="249" customWidth="1"/>
    <col min="3" max="8" width="11" style="249" customWidth="1"/>
    <col min="9" max="9" width="12.140625" style="249" customWidth="1"/>
    <col min="10" max="10" width="13.28515625" style="249" customWidth="1"/>
    <col min="11" max="16384" width="9.140625" style="249"/>
  </cols>
  <sheetData>
    <row r="1" spans="1:11" s="284" customFormat="1" ht="26.25" customHeight="1" thickBot="1" x14ac:dyDescent="0.3">
      <c r="A1" s="248"/>
      <c r="B1" s="249"/>
      <c r="C1" s="249"/>
      <c r="D1" s="249"/>
      <c r="E1" s="249"/>
      <c r="F1" s="249"/>
      <c r="G1" s="249"/>
      <c r="H1" s="249"/>
      <c r="I1" s="249"/>
      <c r="J1" s="283" t="s">
        <v>455</v>
      </c>
    </row>
    <row r="2" spans="1:11" s="285" customFormat="1" ht="32.25" customHeight="1" thickBot="1" x14ac:dyDescent="0.3">
      <c r="A2" s="1312" t="s">
        <v>470</v>
      </c>
      <c r="B2" s="1314" t="s">
        <v>471</v>
      </c>
      <c r="C2" s="1312" t="s">
        <v>472</v>
      </c>
      <c r="D2" s="1312" t="s">
        <v>473</v>
      </c>
      <c r="E2" s="1305" t="s">
        <v>474</v>
      </c>
      <c r="F2" s="1306"/>
      <c r="G2" s="1306"/>
      <c r="H2" s="1306"/>
      <c r="I2" s="1307"/>
      <c r="J2" s="1308" t="s">
        <v>180</v>
      </c>
    </row>
    <row r="3" spans="1:11" s="289" customFormat="1" ht="37.5" customHeight="1" thickBot="1" x14ac:dyDescent="0.3">
      <c r="A3" s="1313"/>
      <c r="B3" s="1315"/>
      <c r="C3" s="1309"/>
      <c r="D3" s="1313"/>
      <c r="E3" s="286" t="s">
        <v>475</v>
      </c>
      <c r="F3" s="287" t="s">
        <v>476</v>
      </c>
      <c r="G3" s="287" t="s">
        <v>477</v>
      </c>
      <c r="H3" s="287" t="s">
        <v>478</v>
      </c>
      <c r="I3" s="288" t="s">
        <v>577</v>
      </c>
      <c r="J3" s="1309"/>
    </row>
    <row r="4" spans="1:11" ht="20.100000000000001" customHeight="1" x14ac:dyDescent="0.25">
      <c r="A4" s="290">
        <v>1</v>
      </c>
      <c r="B4" s="291">
        <v>2</v>
      </c>
      <c r="C4" s="290">
        <v>3</v>
      </c>
      <c r="D4" s="290">
        <v>4</v>
      </c>
      <c r="E4" s="292">
        <v>5</v>
      </c>
      <c r="F4" s="293">
        <v>6</v>
      </c>
      <c r="G4" s="293">
        <v>7</v>
      </c>
      <c r="H4" s="293">
        <v>8</v>
      </c>
      <c r="I4" s="294">
        <v>9</v>
      </c>
      <c r="J4" s="290" t="s">
        <v>479</v>
      </c>
    </row>
    <row r="5" spans="1:11" s="303" customFormat="1" ht="20.100000000000001" customHeight="1" x14ac:dyDescent="0.25">
      <c r="A5" s="295" t="s">
        <v>307</v>
      </c>
      <c r="B5" s="296" t="s">
        <v>480</v>
      </c>
      <c r="C5" s="297"/>
      <c r="D5" s="298"/>
      <c r="E5" s="299">
        <f>SUM(E6:E6)</f>
        <v>0</v>
      </c>
      <c r="F5" s="300"/>
      <c r="G5" s="300"/>
      <c r="H5" s="300"/>
      <c r="I5" s="301"/>
      <c r="J5" s="302"/>
    </row>
    <row r="6" spans="1:11" ht="20.100000000000001" customHeight="1" x14ac:dyDescent="0.25">
      <c r="A6" s="295" t="s">
        <v>400</v>
      </c>
      <c r="B6" s="304"/>
      <c r="C6" s="305"/>
      <c r="D6" s="306"/>
      <c r="E6" s="307"/>
      <c r="F6" s="308"/>
      <c r="G6" s="308"/>
      <c r="H6" s="308"/>
      <c r="I6" s="309"/>
      <c r="J6" s="302"/>
    </row>
    <row r="7" spans="1:11" ht="20.100000000000001" customHeight="1" x14ac:dyDescent="0.25">
      <c r="A7" s="295" t="s">
        <v>456</v>
      </c>
      <c r="B7" s="310"/>
      <c r="C7" s="311"/>
      <c r="D7" s="306"/>
      <c r="E7" s="307"/>
      <c r="F7" s="308"/>
      <c r="G7" s="308"/>
      <c r="H7" s="308"/>
      <c r="I7" s="309"/>
      <c r="J7" s="302"/>
    </row>
    <row r="8" spans="1:11" ht="20.100000000000001" customHeight="1" x14ac:dyDescent="0.25">
      <c r="A8" s="295" t="s">
        <v>457</v>
      </c>
      <c r="B8" s="310"/>
      <c r="C8" s="311"/>
      <c r="D8" s="306"/>
      <c r="E8" s="307"/>
      <c r="F8" s="308"/>
      <c r="G8" s="308"/>
      <c r="H8" s="308"/>
      <c r="I8" s="309"/>
      <c r="J8" s="302"/>
    </row>
    <row r="9" spans="1:11" s="303" customFormat="1" ht="20.100000000000001" customHeight="1" x14ac:dyDescent="0.25">
      <c r="A9" s="295" t="s">
        <v>458</v>
      </c>
      <c r="B9" s="312" t="s">
        <v>481</v>
      </c>
      <c r="C9" s="313"/>
      <c r="D9" s="298">
        <f t="shared" ref="D9:J9" si="0">SUM(D10:D11)</f>
        <v>0</v>
      </c>
      <c r="E9" s="299">
        <f t="shared" si="0"/>
        <v>0</v>
      </c>
      <c r="F9" s="300">
        <f t="shared" si="0"/>
        <v>0</v>
      </c>
      <c r="G9" s="300">
        <f t="shared" si="0"/>
        <v>0</v>
      </c>
      <c r="H9" s="300">
        <f t="shared" si="0"/>
        <v>0</v>
      </c>
      <c r="I9" s="301">
        <f t="shared" si="0"/>
        <v>0</v>
      </c>
      <c r="J9" s="298">
        <f t="shared" si="0"/>
        <v>0</v>
      </c>
    </row>
    <row r="10" spans="1:11" ht="20.100000000000001" customHeight="1" x14ac:dyDescent="0.25">
      <c r="A10" s="295" t="s">
        <v>459</v>
      </c>
      <c r="B10" s="304"/>
      <c r="C10" s="305"/>
      <c r="D10" s="306">
        <v>0</v>
      </c>
      <c r="E10" s="307">
        <v>0</v>
      </c>
      <c r="F10" s="308">
        <v>0</v>
      </c>
      <c r="G10" s="308">
        <v>0</v>
      </c>
      <c r="H10" s="308">
        <v>0</v>
      </c>
      <c r="I10" s="309">
        <v>0</v>
      </c>
      <c r="J10" s="302">
        <f>SUM(D10:I10)</f>
        <v>0</v>
      </c>
    </row>
    <row r="11" spans="1:11" ht="20.100000000000001" customHeight="1" x14ac:dyDescent="0.25">
      <c r="A11" s="295" t="s">
        <v>460</v>
      </c>
      <c r="B11" s="304"/>
      <c r="C11" s="305"/>
      <c r="D11" s="306"/>
      <c r="E11" s="307"/>
      <c r="F11" s="308"/>
      <c r="G11" s="308"/>
      <c r="H11" s="308"/>
      <c r="I11" s="309"/>
      <c r="J11" s="302">
        <f>SUM(D11:I11)</f>
        <v>0</v>
      </c>
      <c r="K11" s="314"/>
    </row>
    <row r="12" spans="1:11" ht="19.5" customHeight="1" x14ac:dyDescent="0.25">
      <c r="A12" s="295" t="s">
        <v>461</v>
      </c>
      <c r="B12" s="304"/>
      <c r="C12" s="305"/>
      <c r="D12" s="306"/>
      <c r="E12" s="307"/>
      <c r="F12" s="308"/>
      <c r="G12" s="308"/>
      <c r="H12" s="308"/>
      <c r="I12" s="309"/>
      <c r="J12" s="302"/>
    </row>
    <row r="13" spans="1:11" ht="20.100000000000001" customHeight="1" x14ac:dyDescent="0.25">
      <c r="A13" s="295" t="s">
        <v>462</v>
      </c>
      <c r="B13" s="315"/>
      <c r="C13" s="316"/>
      <c r="D13" s="317"/>
      <c r="E13" s="318"/>
      <c r="F13" s="319"/>
      <c r="G13" s="319"/>
      <c r="H13" s="319"/>
      <c r="I13" s="320"/>
      <c r="J13" s="302"/>
    </row>
    <row r="14" spans="1:11" s="303" customFormat="1" ht="12.75" x14ac:dyDescent="0.25">
      <c r="A14" s="295" t="s">
        <v>463</v>
      </c>
      <c r="B14" s="321" t="s">
        <v>482</v>
      </c>
      <c r="C14" s="313"/>
      <c r="D14" s="322">
        <f>+D15+D16</f>
        <v>0</v>
      </c>
      <c r="E14" s="322">
        <f t="shared" ref="E14:J14" si="1">+E15+E16</f>
        <v>0</v>
      </c>
      <c r="F14" s="322">
        <f t="shared" si="1"/>
        <v>0</v>
      </c>
      <c r="G14" s="322">
        <f t="shared" si="1"/>
        <v>0</v>
      </c>
      <c r="H14" s="322">
        <f t="shared" si="1"/>
        <v>0</v>
      </c>
      <c r="I14" s="322">
        <f t="shared" si="1"/>
        <v>0</v>
      </c>
      <c r="J14" s="322">
        <f t="shared" si="1"/>
        <v>0</v>
      </c>
    </row>
    <row r="15" spans="1:11" s="327" customFormat="1" x14ac:dyDescent="0.25">
      <c r="A15" s="295"/>
      <c r="B15" s="534"/>
      <c r="C15" s="323"/>
      <c r="D15" s="324"/>
      <c r="E15" s="325"/>
      <c r="F15" s="250"/>
      <c r="G15" s="250"/>
      <c r="H15" s="250"/>
      <c r="I15" s="326"/>
      <c r="J15" s="302"/>
    </row>
    <row r="16" spans="1:11" ht="15.75" thickBot="1" x14ac:dyDescent="0.3">
      <c r="A16" s="328"/>
      <c r="B16" s="534"/>
      <c r="C16" s="323"/>
      <c r="D16" s="329"/>
      <c r="E16" s="330"/>
      <c r="F16" s="331"/>
      <c r="G16" s="331"/>
      <c r="H16" s="331"/>
      <c r="I16" s="332"/>
      <c r="J16" s="302"/>
    </row>
    <row r="17" spans="1:10" s="303" customFormat="1" ht="13.5" thickBot="1" x14ac:dyDescent="0.3">
      <c r="A17" s="1310" t="s">
        <v>483</v>
      </c>
      <c r="B17" s="1311"/>
      <c r="C17" s="333"/>
      <c r="D17" s="334">
        <f>+D14+D9</f>
        <v>0</v>
      </c>
      <c r="E17" s="335">
        <f t="shared" ref="E17:J17" si="2">+E14+E9</f>
        <v>0</v>
      </c>
      <c r="F17" s="336">
        <f t="shared" si="2"/>
        <v>0</v>
      </c>
      <c r="G17" s="336">
        <f t="shared" si="2"/>
        <v>0</v>
      </c>
      <c r="H17" s="336">
        <f t="shared" si="2"/>
        <v>0</v>
      </c>
      <c r="I17" s="337">
        <f t="shared" si="2"/>
        <v>0</v>
      </c>
      <c r="J17" s="334">
        <f t="shared" si="2"/>
        <v>0</v>
      </c>
    </row>
  </sheetData>
  <mergeCells count="7">
    <mergeCell ref="E2:I2"/>
    <mergeCell ref="J2:J3"/>
    <mergeCell ref="A17:B17"/>
    <mergeCell ref="A2:A3"/>
    <mergeCell ref="B2:B3"/>
    <mergeCell ref="C2:C3"/>
    <mergeCell ref="D2:D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headerFooter>
    <oddHeader>&amp;C&amp;"Times New Roman,Félkövér"&amp;12Többéves kihatással járó döntésekből származó kötelezettségek célok szerint, évenkénti bontásban         &amp;R&amp;"Times New Roman,Félkövér"&amp;10 10. melléklet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topLeftCell="A6" zoomScaleNormal="100" workbookViewId="0">
      <selection activeCell="T19" sqref="T19"/>
    </sheetView>
  </sheetViews>
  <sheetFormatPr defaultColWidth="9.140625" defaultRowHeight="12.75" x14ac:dyDescent="0.2"/>
  <cols>
    <col min="1" max="1" width="31.42578125" style="252" customWidth="1"/>
    <col min="2" max="2" width="8.85546875" style="252" bestFit="1" customWidth="1"/>
    <col min="3" max="3" width="9.28515625" style="252" customWidth="1"/>
    <col min="4" max="4" width="8.85546875" style="252" bestFit="1" customWidth="1"/>
    <col min="5" max="5" width="9.85546875" style="252" customWidth="1"/>
    <col min="6" max="6" width="7.5703125" style="252" customWidth="1"/>
    <col min="7" max="7" width="7.42578125" style="252" customWidth="1"/>
    <col min="8" max="8" width="7.5703125" style="252" customWidth="1"/>
    <col min="9" max="9" width="8.5703125" style="252" customWidth="1"/>
    <col min="10" max="10" width="8.140625" style="252" customWidth="1"/>
    <col min="11" max="11" width="10.42578125" style="252" customWidth="1"/>
    <col min="12" max="12" width="8.140625" style="252" customWidth="1"/>
    <col min="13" max="13" width="8.5703125" style="252" customWidth="1"/>
    <col min="14" max="14" width="9.140625" style="252" customWidth="1"/>
    <col min="15" max="15" width="10.85546875" style="251" customWidth="1"/>
    <col min="16" max="16384" width="9.140625" style="252"/>
  </cols>
  <sheetData>
    <row r="1" spans="1:16" ht="13.5" thickBot="1" x14ac:dyDescent="0.25">
      <c r="O1" s="253" t="s">
        <v>465</v>
      </c>
    </row>
    <row r="2" spans="1:16" s="251" customFormat="1" ht="25.5" x14ac:dyDescent="0.2">
      <c r="A2" s="254" t="s">
        <v>282</v>
      </c>
      <c r="B2" s="255" t="s">
        <v>466</v>
      </c>
      <c r="C2" s="254" t="s">
        <v>442</v>
      </c>
      <c r="D2" s="254" t="s">
        <v>443</v>
      </c>
      <c r="E2" s="254" t="s">
        <v>444</v>
      </c>
      <c r="F2" s="254" t="s">
        <v>445</v>
      </c>
      <c r="G2" s="254" t="s">
        <v>446</v>
      </c>
      <c r="H2" s="254" t="s">
        <v>447</v>
      </c>
      <c r="I2" s="254" t="s">
        <v>448</v>
      </c>
      <c r="J2" s="254" t="s">
        <v>467</v>
      </c>
      <c r="K2" s="254" t="s">
        <v>449</v>
      </c>
      <c r="L2" s="254" t="s">
        <v>450</v>
      </c>
      <c r="M2" s="254" t="s">
        <v>451</v>
      </c>
      <c r="N2" s="254" t="s">
        <v>452</v>
      </c>
      <c r="O2" s="256" t="s">
        <v>464</v>
      </c>
    </row>
    <row r="3" spans="1:16" s="257" customFormat="1" x14ac:dyDescent="0.25">
      <c r="A3" s="731" t="s">
        <v>783</v>
      </c>
      <c r="B3" s="731"/>
      <c r="C3" s="731"/>
      <c r="D3" s="731">
        <f t="shared" ref="D3:N3" si="0">+C40</f>
        <v>1589727.8049999999</v>
      </c>
      <c r="E3" s="731">
        <f t="shared" si="0"/>
        <v>1523819.6099999999</v>
      </c>
      <c r="F3" s="731">
        <f t="shared" si="0"/>
        <v>607911.4149999998</v>
      </c>
      <c r="G3" s="731">
        <f t="shared" si="0"/>
        <v>542003.21999999986</v>
      </c>
      <c r="H3" s="731">
        <f t="shared" si="0"/>
        <v>476095.02499999991</v>
      </c>
      <c r="I3" s="731">
        <f t="shared" si="0"/>
        <v>521324.83000000007</v>
      </c>
      <c r="J3" s="731">
        <f t="shared" si="0"/>
        <v>455416.63500000013</v>
      </c>
      <c r="K3" s="731">
        <f t="shared" si="0"/>
        <v>239508.44000000018</v>
      </c>
      <c r="L3" s="731">
        <f t="shared" si="0"/>
        <v>173600.2450000002</v>
      </c>
      <c r="M3" s="731">
        <f t="shared" si="0"/>
        <v>107692.05000000019</v>
      </c>
      <c r="N3" s="731">
        <f t="shared" si="0"/>
        <v>41783.855000000185</v>
      </c>
      <c r="O3" s="259"/>
    </row>
    <row r="4" spans="1:16" s="260" customFormat="1" ht="15" customHeight="1" x14ac:dyDescent="0.25">
      <c r="A4" s="58" t="s">
        <v>330</v>
      </c>
      <c r="B4" s="76">
        <f>+'1.mell. Mérleg'!E5</f>
        <v>465767</v>
      </c>
      <c r="C4" s="258">
        <f>+$B$4/12</f>
        <v>38813.916666666664</v>
      </c>
      <c r="D4" s="258">
        <f t="shared" ref="D4:N4" si="1">+$B$4/12</f>
        <v>38813.916666666664</v>
      </c>
      <c r="E4" s="258">
        <f t="shared" si="1"/>
        <v>38813.916666666664</v>
      </c>
      <c r="F4" s="258">
        <f t="shared" si="1"/>
        <v>38813.916666666664</v>
      </c>
      <c r="G4" s="258">
        <f t="shared" si="1"/>
        <v>38813.916666666664</v>
      </c>
      <c r="H4" s="258">
        <f t="shared" si="1"/>
        <v>38813.916666666664</v>
      </c>
      <c r="I4" s="258">
        <f t="shared" si="1"/>
        <v>38813.916666666664</v>
      </c>
      <c r="J4" s="258">
        <f t="shared" si="1"/>
        <v>38813.916666666664</v>
      </c>
      <c r="K4" s="258">
        <f t="shared" si="1"/>
        <v>38813.916666666664</v>
      </c>
      <c r="L4" s="258">
        <f t="shared" si="1"/>
        <v>38813.916666666664</v>
      </c>
      <c r="M4" s="258">
        <f t="shared" si="1"/>
        <v>38813.916666666664</v>
      </c>
      <c r="N4" s="258">
        <f t="shared" si="1"/>
        <v>38813.916666666664</v>
      </c>
      <c r="O4" s="259">
        <f>SUM(C4:N4)</f>
        <v>465767.00000000006</v>
      </c>
    </row>
    <row r="5" spans="1:16" s="260" customFormat="1" ht="25.5" x14ac:dyDescent="0.25">
      <c r="A5" s="58" t="s">
        <v>205</v>
      </c>
      <c r="B5" s="76">
        <f>+'1.mell. Mérleg'!E6</f>
        <v>32913</v>
      </c>
      <c r="C5" s="258">
        <f>+$B$5/12</f>
        <v>2742.75</v>
      </c>
      <c r="D5" s="258">
        <f t="shared" ref="D5:N5" si="2">+$B$5/12</f>
        <v>2742.75</v>
      </c>
      <c r="E5" s="258">
        <f t="shared" si="2"/>
        <v>2742.75</v>
      </c>
      <c r="F5" s="258">
        <f t="shared" si="2"/>
        <v>2742.75</v>
      </c>
      <c r="G5" s="258">
        <f t="shared" si="2"/>
        <v>2742.75</v>
      </c>
      <c r="H5" s="258">
        <f t="shared" si="2"/>
        <v>2742.75</v>
      </c>
      <c r="I5" s="258">
        <f t="shared" si="2"/>
        <v>2742.75</v>
      </c>
      <c r="J5" s="258">
        <f t="shared" si="2"/>
        <v>2742.75</v>
      </c>
      <c r="K5" s="258">
        <f t="shared" si="2"/>
        <v>2742.75</v>
      </c>
      <c r="L5" s="258">
        <f t="shared" si="2"/>
        <v>2742.75</v>
      </c>
      <c r="M5" s="258">
        <f t="shared" si="2"/>
        <v>2742.75</v>
      </c>
      <c r="N5" s="258">
        <f t="shared" si="2"/>
        <v>2742.75</v>
      </c>
      <c r="O5" s="259">
        <f>SUM(C5:N5)</f>
        <v>32913</v>
      </c>
    </row>
    <row r="6" spans="1:16" s="263" customFormat="1" ht="25.5" x14ac:dyDescent="0.25">
      <c r="A6" s="59" t="s">
        <v>328</v>
      </c>
      <c r="B6" s="80">
        <f>+B4+B5</f>
        <v>498680</v>
      </c>
      <c r="C6" s="261">
        <f>SUM(C4:C5)</f>
        <v>41556.666666666664</v>
      </c>
      <c r="D6" s="261">
        <f t="shared" ref="D6:O6" si="3">SUM(D4:D5)</f>
        <v>41556.666666666664</v>
      </c>
      <c r="E6" s="261">
        <f t="shared" si="3"/>
        <v>41556.666666666664</v>
      </c>
      <c r="F6" s="261">
        <f t="shared" si="3"/>
        <v>41556.666666666664</v>
      </c>
      <c r="G6" s="261">
        <f t="shared" si="3"/>
        <v>41556.666666666664</v>
      </c>
      <c r="H6" s="261">
        <f t="shared" si="3"/>
        <v>41556.666666666664</v>
      </c>
      <c r="I6" s="261">
        <f t="shared" si="3"/>
        <v>41556.666666666664</v>
      </c>
      <c r="J6" s="261">
        <f t="shared" si="3"/>
        <v>41556.666666666664</v>
      </c>
      <c r="K6" s="261">
        <f t="shared" si="3"/>
        <v>41556.666666666664</v>
      </c>
      <c r="L6" s="261">
        <f t="shared" si="3"/>
        <v>41556.666666666664</v>
      </c>
      <c r="M6" s="261">
        <f t="shared" si="3"/>
        <v>41556.666666666664</v>
      </c>
      <c r="N6" s="261">
        <f t="shared" si="3"/>
        <v>41556.666666666664</v>
      </c>
      <c r="O6" s="262">
        <f t="shared" si="3"/>
        <v>498680.00000000006</v>
      </c>
      <c r="P6" s="260"/>
    </row>
    <row r="7" spans="1:16" s="260" customFormat="1" x14ac:dyDescent="0.25">
      <c r="A7" s="58" t="s">
        <v>220</v>
      </c>
      <c r="B7" s="76">
        <f>+'1.mell. Mérleg'!E10</f>
        <v>129000</v>
      </c>
      <c r="C7" s="258">
        <f>+$B$7/12</f>
        <v>10750</v>
      </c>
      <c r="D7" s="258">
        <f t="shared" ref="D7:N7" si="4">+$B$7/12</f>
        <v>10750</v>
      </c>
      <c r="E7" s="258">
        <f t="shared" si="4"/>
        <v>10750</v>
      </c>
      <c r="F7" s="258">
        <f t="shared" si="4"/>
        <v>10750</v>
      </c>
      <c r="G7" s="258">
        <f t="shared" si="4"/>
        <v>10750</v>
      </c>
      <c r="H7" s="258">
        <f t="shared" si="4"/>
        <v>10750</v>
      </c>
      <c r="I7" s="258">
        <f t="shared" si="4"/>
        <v>10750</v>
      </c>
      <c r="J7" s="258">
        <f t="shared" si="4"/>
        <v>10750</v>
      </c>
      <c r="K7" s="258">
        <f t="shared" si="4"/>
        <v>10750</v>
      </c>
      <c r="L7" s="258">
        <f t="shared" si="4"/>
        <v>10750</v>
      </c>
      <c r="M7" s="258">
        <f t="shared" si="4"/>
        <v>10750</v>
      </c>
      <c r="N7" s="258">
        <f t="shared" si="4"/>
        <v>10750</v>
      </c>
      <c r="O7" s="259">
        <f t="shared" ref="O7:O12" si="5">SUM(C7:N7)</f>
        <v>129000</v>
      </c>
    </row>
    <row r="8" spans="1:16" s="260" customFormat="1" x14ac:dyDescent="0.25">
      <c r="A8" s="58" t="s">
        <v>333</v>
      </c>
      <c r="B8" s="76">
        <f>+'1.mell. Mérleg'!E11</f>
        <v>154000</v>
      </c>
      <c r="C8" s="258">
        <f>+$B$8/12</f>
        <v>12833.333333333334</v>
      </c>
      <c r="D8" s="258">
        <f t="shared" ref="D8:N8" si="6">+$B$8/12</f>
        <v>12833.333333333334</v>
      </c>
      <c r="E8" s="258">
        <f t="shared" si="6"/>
        <v>12833.333333333334</v>
      </c>
      <c r="F8" s="258">
        <f t="shared" si="6"/>
        <v>12833.333333333334</v>
      </c>
      <c r="G8" s="258">
        <f t="shared" si="6"/>
        <v>12833.333333333334</v>
      </c>
      <c r="H8" s="258">
        <f t="shared" si="6"/>
        <v>12833.333333333334</v>
      </c>
      <c r="I8" s="258">
        <f t="shared" si="6"/>
        <v>12833.333333333334</v>
      </c>
      <c r="J8" s="258">
        <f t="shared" si="6"/>
        <v>12833.333333333334</v>
      </c>
      <c r="K8" s="258">
        <f t="shared" si="6"/>
        <v>12833.333333333334</v>
      </c>
      <c r="L8" s="258">
        <f t="shared" si="6"/>
        <v>12833.333333333334</v>
      </c>
      <c r="M8" s="258">
        <f t="shared" si="6"/>
        <v>12833.333333333334</v>
      </c>
      <c r="N8" s="258">
        <f t="shared" si="6"/>
        <v>12833.333333333334</v>
      </c>
      <c r="O8" s="259">
        <f t="shared" si="5"/>
        <v>154000</v>
      </c>
    </row>
    <row r="9" spans="1:16" s="260" customFormat="1" x14ac:dyDescent="0.25">
      <c r="A9" s="58" t="s">
        <v>233</v>
      </c>
      <c r="B9" s="76">
        <f>+'1.mell. Mérleg'!E12</f>
        <v>5500</v>
      </c>
      <c r="C9" s="258">
        <f>+$B$9/12</f>
        <v>458.33333333333331</v>
      </c>
      <c r="D9" s="258">
        <f t="shared" ref="D9:N9" si="7">+$B$9/12</f>
        <v>458.33333333333331</v>
      </c>
      <c r="E9" s="258">
        <f t="shared" si="7"/>
        <v>458.33333333333331</v>
      </c>
      <c r="F9" s="258">
        <f t="shared" si="7"/>
        <v>458.33333333333331</v>
      </c>
      <c r="G9" s="258">
        <f t="shared" si="7"/>
        <v>458.33333333333331</v>
      </c>
      <c r="H9" s="258">
        <f t="shared" si="7"/>
        <v>458.33333333333331</v>
      </c>
      <c r="I9" s="258">
        <f t="shared" si="7"/>
        <v>458.33333333333331</v>
      </c>
      <c r="J9" s="258">
        <f t="shared" si="7"/>
        <v>458.33333333333331</v>
      </c>
      <c r="K9" s="258">
        <f t="shared" si="7"/>
        <v>458.33333333333331</v>
      </c>
      <c r="L9" s="258">
        <f t="shared" si="7"/>
        <v>458.33333333333331</v>
      </c>
      <c r="M9" s="258">
        <f t="shared" si="7"/>
        <v>458.33333333333331</v>
      </c>
      <c r="N9" s="258">
        <f t="shared" si="7"/>
        <v>458.33333333333331</v>
      </c>
      <c r="O9" s="259">
        <f t="shared" si="5"/>
        <v>5499.9999999999991</v>
      </c>
    </row>
    <row r="10" spans="1:16" s="263" customFormat="1" x14ac:dyDescent="0.25">
      <c r="A10" s="59" t="s">
        <v>334</v>
      </c>
      <c r="B10" s="80">
        <f>SUM(B7:B9)</f>
        <v>288500</v>
      </c>
      <c r="C10" s="261">
        <f>SUM(C7:C9)</f>
        <v>24041.666666666668</v>
      </c>
      <c r="D10" s="261">
        <f t="shared" ref="D10:O10" si="8">SUM(D7:D9)</f>
        <v>24041.666666666668</v>
      </c>
      <c r="E10" s="261">
        <f t="shared" si="8"/>
        <v>24041.666666666668</v>
      </c>
      <c r="F10" s="261">
        <f t="shared" si="8"/>
        <v>24041.666666666668</v>
      </c>
      <c r="G10" s="261">
        <f t="shared" si="8"/>
        <v>24041.666666666668</v>
      </c>
      <c r="H10" s="261">
        <f t="shared" si="8"/>
        <v>24041.666666666668</v>
      </c>
      <c r="I10" s="261">
        <f t="shared" si="8"/>
        <v>24041.666666666668</v>
      </c>
      <c r="J10" s="261">
        <f t="shared" si="8"/>
        <v>24041.666666666668</v>
      </c>
      <c r="K10" s="261">
        <f t="shared" si="8"/>
        <v>24041.666666666668</v>
      </c>
      <c r="L10" s="261">
        <f t="shared" si="8"/>
        <v>24041.666666666668</v>
      </c>
      <c r="M10" s="261">
        <f t="shared" si="8"/>
        <v>24041.666666666668</v>
      </c>
      <c r="N10" s="261">
        <f t="shared" si="8"/>
        <v>24041.666666666668</v>
      </c>
      <c r="O10" s="262">
        <f t="shared" si="8"/>
        <v>288500</v>
      </c>
      <c r="P10" s="260"/>
    </row>
    <row r="11" spans="1:16" s="260" customFormat="1" x14ac:dyDescent="0.25">
      <c r="A11" s="58" t="s">
        <v>280</v>
      </c>
      <c r="B11" s="76">
        <f>+'1.mell. Mérleg'!E13</f>
        <v>234674</v>
      </c>
      <c r="C11" s="258">
        <f>+$B$11/12</f>
        <v>19556.166666666668</v>
      </c>
      <c r="D11" s="258">
        <f t="shared" ref="D11:N11" si="9">+$B$11/12</f>
        <v>19556.166666666668</v>
      </c>
      <c r="E11" s="258">
        <f t="shared" si="9"/>
        <v>19556.166666666668</v>
      </c>
      <c r="F11" s="258">
        <f t="shared" si="9"/>
        <v>19556.166666666668</v>
      </c>
      <c r="G11" s="258">
        <f t="shared" si="9"/>
        <v>19556.166666666668</v>
      </c>
      <c r="H11" s="258">
        <f t="shared" si="9"/>
        <v>19556.166666666668</v>
      </c>
      <c r="I11" s="258">
        <f t="shared" si="9"/>
        <v>19556.166666666668</v>
      </c>
      <c r="J11" s="258">
        <f t="shared" si="9"/>
        <v>19556.166666666668</v>
      </c>
      <c r="K11" s="258">
        <f t="shared" si="9"/>
        <v>19556.166666666668</v>
      </c>
      <c r="L11" s="258">
        <f t="shared" si="9"/>
        <v>19556.166666666668</v>
      </c>
      <c r="M11" s="258">
        <f t="shared" si="9"/>
        <v>19556.166666666668</v>
      </c>
      <c r="N11" s="258">
        <f t="shared" si="9"/>
        <v>19556.166666666668</v>
      </c>
      <c r="O11" s="259">
        <f t="shared" si="5"/>
        <v>234673.99999999997</v>
      </c>
    </row>
    <row r="12" spans="1:16" s="260" customFormat="1" x14ac:dyDescent="0.25">
      <c r="A12" s="58" t="s">
        <v>278</v>
      </c>
      <c r="B12" s="76">
        <f>+'1.mell. Mérleg'!E14</f>
        <v>1693</v>
      </c>
      <c r="C12" s="258">
        <f>+$B$12/12</f>
        <v>141.08333333333334</v>
      </c>
      <c r="D12" s="258">
        <f t="shared" ref="D12:N12" si="10">+$B$12/12</f>
        <v>141.08333333333334</v>
      </c>
      <c r="E12" s="258">
        <f t="shared" si="10"/>
        <v>141.08333333333334</v>
      </c>
      <c r="F12" s="258">
        <f t="shared" si="10"/>
        <v>141.08333333333334</v>
      </c>
      <c r="G12" s="258">
        <f t="shared" si="10"/>
        <v>141.08333333333334</v>
      </c>
      <c r="H12" s="258">
        <f t="shared" si="10"/>
        <v>141.08333333333334</v>
      </c>
      <c r="I12" s="258">
        <f t="shared" si="10"/>
        <v>141.08333333333334</v>
      </c>
      <c r="J12" s="258">
        <f t="shared" si="10"/>
        <v>141.08333333333334</v>
      </c>
      <c r="K12" s="258">
        <f t="shared" si="10"/>
        <v>141.08333333333334</v>
      </c>
      <c r="L12" s="258">
        <f t="shared" si="10"/>
        <v>141.08333333333334</v>
      </c>
      <c r="M12" s="258">
        <f t="shared" si="10"/>
        <v>141.08333333333334</v>
      </c>
      <c r="N12" s="258">
        <f t="shared" si="10"/>
        <v>141.08333333333334</v>
      </c>
      <c r="O12" s="259">
        <f t="shared" si="5"/>
        <v>1692.9999999999998</v>
      </c>
    </row>
    <row r="13" spans="1:16" s="263" customFormat="1" x14ac:dyDescent="0.25">
      <c r="A13" s="264" t="s">
        <v>398</v>
      </c>
      <c r="B13" s="265">
        <f>+B12+B11+B10+B6</f>
        <v>1023547</v>
      </c>
      <c r="C13" s="265">
        <f t="shared" ref="C13:O13" si="11">+C12+C11+C10+C6</f>
        <v>85295.583333333343</v>
      </c>
      <c r="D13" s="265">
        <f t="shared" si="11"/>
        <v>85295.583333333343</v>
      </c>
      <c r="E13" s="265">
        <f t="shared" si="11"/>
        <v>85295.583333333343</v>
      </c>
      <c r="F13" s="265">
        <f t="shared" si="11"/>
        <v>85295.583333333343</v>
      </c>
      <c r="G13" s="265">
        <f t="shared" si="11"/>
        <v>85295.583333333343</v>
      </c>
      <c r="H13" s="265">
        <f t="shared" si="11"/>
        <v>85295.583333333343</v>
      </c>
      <c r="I13" s="265">
        <f t="shared" si="11"/>
        <v>85295.583333333343</v>
      </c>
      <c r="J13" s="265">
        <f t="shared" si="11"/>
        <v>85295.583333333343</v>
      </c>
      <c r="K13" s="265">
        <f t="shared" si="11"/>
        <v>85295.583333333343</v>
      </c>
      <c r="L13" s="265">
        <f t="shared" si="11"/>
        <v>85295.583333333343</v>
      </c>
      <c r="M13" s="265">
        <f t="shared" si="11"/>
        <v>85295.583333333343</v>
      </c>
      <c r="N13" s="265">
        <f t="shared" si="11"/>
        <v>85295.583333333343</v>
      </c>
      <c r="O13" s="266">
        <f t="shared" si="11"/>
        <v>1023547</v>
      </c>
      <c r="P13" s="260"/>
    </row>
    <row r="14" spans="1:16" s="260" customFormat="1" ht="25.5" x14ac:dyDescent="0.25">
      <c r="A14" s="58" t="s">
        <v>329</v>
      </c>
      <c r="B14" s="76">
        <f>+'1.mell. Mérleg'!E16</f>
        <v>495136</v>
      </c>
      <c r="C14" s="258"/>
      <c r="D14" s="258"/>
      <c r="E14" s="258"/>
      <c r="F14" s="258"/>
      <c r="G14" s="258"/>
      <c r="H14" s="258">
        <v>495136</v>
      </c>
      <c r="I14" s="258"/>
      <c r="J14" s="258"/>
      <c r="K14" s="258"/>
      <c r="L14" s="258"/>
      <c r="M14" s="258"/>
      <c r="N14" s="258"/>
      <c r="O14" s="262">
        <f>SUM(C14:N14)</f>
        <v>495136</v>
      </c>
    </row>
    <row r="15" spans="1:16" s="260" customFormat="1" ht="14.1" customHeight="1" x14ac:dyDescent="0.25">
      <c r="A15" s="58" t="s">
        <v>279</v>
      </c>
      <c r="B15" s="76">
        <v>0</v>
      </c>
      <c r="C15" s="258"/>
      <c r="D15" s="258">
        <v>0</v>
      </c>
      <c r="E15" s="258"/>
      <c r="F15" s="258"/>
      <c r="G15" s="258"/>
      <c r="H15" s="258"/>
      <c r="I15" s="258"/>
      <c r="J15" s="258"/>
      <c r="K15" s="258"/>
      <c r="L15" s="258"/>
      <c r="M15" s="258"/>
      <c r="N15" s="258"/>
      <c r="O15" s="262">
        <f>SUM(C15:N15)</f>
        <v>0</v>
      </c>
    </row>
    <row r="16" spans="1:16" s="260" customFormat="1" ht="14.1" customHeight="1" x14ac:dyDescent="0.25">
      <c r="A16" s="58" t="s">
        <v>283</v>
      </c>
      <c r="B16" s="76">
        <f>+'1.mell. Mérleg'!C18</f>
        <v>0</v>
      </c>
      <c r="C16" s="258"/>
      <c r="D16" s="258"/>
      <c r="E16" s="258"/>
      <c r="F16" s="258"/>
      <c r="G16" s="258"/>
      <c r="H16" s="258"/>
      <c r="I16" s="258"/>
      <c r="J16" s="258"/>
      <c r="K16" s="258"/>
      <c r="L16" s="258"/>
      <c r="M16" s="258"/>
      <c r="N16" s="258"/>
      <c r="O16" s="262">
        <f>SUM(C16:N16)</f>
        <v>0</v>
      </c>
    </row>
    <row r="17" spans="1:16" s="260" customFormat="1" ht="14.1" customHeight="1" x14ac:dyDescent="0.25">
      <c r="A17" s="264" t="s">
        <v>279</v>
      </c>
      <c r="B17" s="265">
        <f>+B16+B15+B14</f>
        <v>495136</v>
      </c>
      <c r="C17" s="265">
        <f t="shared" ref="C17:O17" si="12">+C16+C15+C14</f>
        <v>0</v>
      </c>
      <c r="D17" s="265">
        <f t="shared" si="12"/>
        <v>0</v>
      </c>
      <c r="E17" s="265">
        <f t="shared" si="12"/>
        <v>0</v>
      </c>
      <c r="F17" s="265">
        <f t="shared" si="12"/>
        <v>0</v>
      </c>
      <c r="G17" s="265">
        <f t="shared" si="12"/>
        <v>0</v>
      </c>
      <c r="H17" s="265">
        <f t="shared" si="12"/>
        <v>495136</v>
      </c>
      <c r="I17" s="265">
        <f t="shared" si="12"/>
        <v>0</v>
      </c>
      <c r="J17" s="265">
        <f t="shared" si="12"/>
        <v>0</v>
      </c>
      <c r="K17" s="265">
        <f t="shared" si="12"/>
        <v>0</v>
      </c>
      <c r="L17" s="265">
        <f t="shared" si="12"/>
        <v>0</v>
      </c>
      <c r="M17" s="265">
        <f t="shared" si="12"/>
        <v>0</v>
      </c>
      <c r="N17" s="265">
        <f t="shared" si="12"/>
        <v>0</v>
      </c>
      <c r="O17" s="266">
        <f t="shared" si="12"/>
        <v>495136</v>
      </c>
    </row>
    <row r="18" spans="1:16" s="260" customFormat="1" ht="26.25" customHeight="1" x14ac:dyDescent="0.25">
      <c r="A18" s="58" t="s">
        <v>782</v>
      </c>
      <c r="B18" s="76">
        <f>+'1.mell. Mérleg'!E21</f>
        <v>1230000</v>
      </c>
      <c r="C18" s="258">
        <v>380000</v>
      </c>
      <c r="D18" s="258"/>
      <c r="E18" s="258"/>
      <c r="F18" s="258"/>
      <c r="G18" s="258"/>
      <c r="H18" s="258"/>
      <c r="I18" s="258"/>
      <c r="J18" s="258"/>
      <c r="K18" s="258"/>
      <c r="L18" s="258"/>
      <c r="M18" s="258"/>
      <c r="N18" s="258">
        <v>850000</v>
      </c>
      <c r="O18" s="262">
        <f>SUM(C18:N18)</f>
        <v>1230000</v>
      </c>
    </row>
    <row r="19" spans="1:16" s="260" customFormat="1" ht="14.1" customHeight="1" x14ac:dyDescent="0.25">
      <c r="A19" s="58" t="s">
        <v>382</v>
      </c>
      <c r="B19" s="76">
        <f>+'1.mell. Mérleg'!E23</f>
        <v>790742</v>
      </c>
      <c r="C19" s="258">
        <v>790742</v>
      </c>
      <c r="D19" s="258"/>
      <c r="E19" s="258"/>
      <c r="F19" s="258"/>
      <c r="G19" s="258"/>
      <c r="H19" s="258"/>
      <c r="I19" s="258"/>
      <c r="J19" s="258"/>
      <c r="K19" s="258"/>
      <c r="L19" s="258"/>
      <c r="M19" s="258"/>
      <c r="N19" s="258"/>
      <c r="O19" s="262">
        <f>SUM(C19:N19)</f>
        <v>790742</v>
      </c>
    </row>
    <row r="20" spans="1:16" s="260" customFormat="1" ht="14.1" customHeight="1" x14ac:dyDescent="0.25">
      <c r="A20" s="58" t="s">
        <v>383</v>
      </c>
      <c r="B20" s="76">
        <f>+'1.mell. Mérleg'!E24</f>
        <v>622908</v>
      </c>
      <c r="C20" s="258">
        <v>622908</v>
      </c>
      <c r="D20" s="258"/>
      <c r="E20" s="258"/>
      <c r="F20" s="258"/>
      <c r="G20" s="258"/>
      <c r="H20" s="258"/>
      <c r="I20" s="258"/>
      <c r="J20" s="258"/>
      <c r="K20" s="258"/>
      <c r="L20" s="258"/>
      <c r="M20" s="258"/>
      <c r="N20" s="258"/>
      <c r="O20" s="262">
        <f>SUM(C20:N20)</f>
        <v>622908</v>
      </c>
    </row>
    <row r="21" spans="1:16" s="263" customFormat="1" ht="14.1" customHeight="1" x14ac:dyDescent="0.25">
      <c r="A21" s="59"/>
      <c r="B21" s="80">
        <f>+B20+B19</f>
        <v>1413650</v>
      </c>
      <c r="C21" s="80">
        <f t="shared" ref="C21:O21" si="13">+C20+C19</f>
        <v>1413650</v>
      </c>
      <c r="D21" s="80">
        <f t="shared" si="13"/>
        <v>0</v>
      </c>
      <c r="E21" s="80">
        <f t="shared" si="13"/>
        <v>0</v>
      </c>
      <c r="F21" s="80">
        <f t="shared" si="13"/>
        <v>0</v>
      </c>
      <c r="G21" s="80">
        <f t="shared" si="13"/>
        <v>0</v>
      </c>
      <c r="H21" s="80">
        <f t="shared" si="13"/>
        <v>0</v>
      </c>
      <c r="I21" s="80">
        <f t="shared" si="13"/>
        <v>0</v>
      </c>
      <c r="J21" s="80">
        <f t="shared" si="13"/>
        <v>0</v>
      </c>
      <c r="K21" s="80">
        <f t="shared" si="13"/>
        <v>0</v>
      </c>
      <c r="L21" s="80">
        <f t="shared" si="13"/>
        <v>0</v>
      </c>
      <c r="M21" s="80">
        <f t="shared" si="13"/>
        <v>0</v>
      </c>
      <c r="N21" s="80">
        <f t="shared" si="13"/>
        <v>0</v>
      </c>
      <c r="O21" s="267">
        <f t="shared" si="13"/>
        <v>1413650</v>
      </c>
      <c r="P21" s="260"/>
    </row>
    <row r="22" spans="1:16" s="260" customFormat="1" ht="14.1" customHeight="1" x14ac:dyDescent="0.25">
      <c r="A22" s="268" t="s">
        <v>286</v>
      </c>
      <c r="B22" s="265">
        <f>+B21+B18</f>
        <v>2643650</v>
      </c>
      <c r="C22" s="265">
        <f t="shared" ref="C22:O22" si="14">+C21+C18</f>
        <v>1793650</v>
      </c>
      <c r="D22" s="265">
        <f t="shared" si="14"/>
        <v>0</v>
      </c>
      <c r="E22" s="265">
        <f t="shared" si="14"/>
        <v>0</v>
      </c>
      <c r="F22" s="265">
        <f t="shared" si="14"/>
        <v>0</v>
      </c>
      <c r="G22" s="265">
        <f t="shared" si="14"/>
        <v>0</v>
      </c>
      <c r="H22" s="265">
        <f t="shared" si="14"/>
        <v>0</v>
      </c>
      <c r="I22" s="265">
        <f t="shared" si="14"/>
        <v>0</v>
      </c>
      <c r="J22" s="265">
        <f t="shared" si="14"/>
        <v>0</v>
      </c>
      <c r="K22" s="265">
        <f t="shared" si="14"/>
        <v>0</v>
      </c>
      <c r="L22" s="265">
        <f t="shared" si="14"/>
        <v>0</v>
      </c>
      <c r="M22" s="265">
        <f t="shared" si="14"/>
        <v>0</v>
      </c>
      <c r="N22" s="265">
        <f t="shared" si="14"/>
        <v>850000</v>
      </c>
      <c r="O22" s="265">
        <f t="shared" si="14"/>
        <v>2643650</v>
      </c>
    </row>
    <row r="23" spans="1:16" s="257" customFormat="1" ht="15.95" customHeight="1" thickBot="1" x14ac:dyDescent="0.3">
      <c r="A23" s="269" t="s">
        <v>385</v>
      </c>
      <c r="B23" s="270">
        <f>+B22+B17+B13</f>
        <v>4162333</v>
      </c>
      <c r="C23" s="270">
        <f t="shared" ref="C23:O23" si="15">+C22+C17+C13</f>
        <v>1878945.5833333333</v>
      </c>
      <c r="D23" s="270">
        <f t="shared" si="15"/>
        <v>85295.583333333343</v>
      </c>
      <c r="E23" s="270">
        <f t="shared" si="15"/>
        <v>85295.583333333343</v>
      </c>
      <c r="F23" s="270">
        <f t="shared" si="15"/>
        <v>85295.583333333343</v>
      </c>
      <c r="G23" s="270">
        <f t="shared" si="15"/>
        <v>85295.583333333343</v>
      </c>
      <c r="H23" s="270">
        <f t="shared" si="15"/>
        <v>580431.58333333337</v>
      </c>
      <c r="I23" s="270">
        <f t="shared" si="15"/>
        <v>85295.583333333343</v>
      </c>
      <c r="J23" s="270">
        <f t="shared" si="15"/>
        <v>85295.583333333343</v>
      </c>
      <c r="K23" s="270">
        <f t="shared" si="15"/>
        <v>85295.583333333343</v>
      </c>
      <c r="L23" s="270">
        <f t="shared" si="15"/>
        <v>85295.583333333343</v>
      </c>
      <c r="M23" s="270">
        <f t="shared" si="15"/>
        <v>85295.583333333343</v>
      </c>
      <c r="N23" s="270">
        <f t="shared" si="15"/>
        <v>935295.58333333337</v>
      </c>
      <c r="O23" s="271">
        <f t="shared" si="15"/>
        <v>4162333</v>
      </c>
      <c r="P23" s="260"/>
    </row>
    <row r="24" spans="1:16" s="257" customFormat="1" ht="15" customHeight="1" thickBot="1" x14ac:dyDescent="0.3">
      <c r="A24" s="1316"/>
      <c r="B24" s="1316"/>
      <c r="C24" s="1316"/>
      <c r="D24" s="1316"/>
      <c r="E24" s="1316"/>
      <c r="F24" s="1316"/>
      <c r="G24" s="1316"/>
      <c r="H24" s="1316"/>
      <c r="I24" s="1316"/>
      <c r="J24" s="1316"/>
      <c r="K24" s="1316"/>
      <c r="L24" s="1316"/>
      <c r="M24" s="1316"/>
      <c r="N24" s="1316"/>
      <c r="O24" s="1316"/>
      <c r="P24" s="260"/>
    </row>
    <row r="25" spans="1:16" s="251" customFormat="1" ht="26.1" customHeight="1" x14ac:dyDescent="0.2">
      <c r="A25" s="254" t="s">
        <v>282</v>
      </c>
      <c r="B25" s="255" t="s">
        <v>466</v>
      </c>
      <c r="C25" s="254" t="s">
        <v>442</v>
      </c>
      <c r="D25" s="254" t="s">
        <v>443</v>
      </c>
      <c r="E25" s="254" t="s">
        <v>444</v>
      </c>
      <c r="F25" s="254" t="s">
        <v>445</v>
      </c>
      <c r="G25" s="254" t="s">
        <v>446</v>
      </c>
      <c r="H25" s="254" t="s">
        <v>447</v>
      </c>
      <c r="I25" s="254" t="s">
        <v>448</v>
      </c>
      <c r="J25" s="254" t="s">
        <v>467</v>
      </c>
      <c r="K25" s="254" t="s">
        <v>449</v>
      </c>
      <c r="L25" s="254" t="s">
        <v>450</v>
      </c>
      <c r="M25" s="254" t="s">
        <v>451</v>
      </c>
      <c r="N25" s="254" t="s">
        <v>452</v>
      </c>
      <c r="O25" s="256" t="s">
        <v>464</v>
      </c>
      <c r="P25" s="260"/>
    </row>
    <row r="26" spans="1:16" s="260" customFormat="1" ht="14.1" customHeight="1" x14ac:dyDescent="0.2">
      <c r="A26" s="117" t="s">
        <v>172</v>
      </c>
      <c r="B26" s="137">
        <f>+'1.mell. Mérleg'!E31</f>
        <v>360187</v>
      </c>
      <c r="C26" s="258">
        <f>+$B$26/12</f>
        <v>30015.583333333332</v>
      </c>
      <c r="D26" s="258">
        <f t="shared" ref="D26:N26" si="16">+$B$26/12</f>
        <v>30015.583333333332</v>
      </c>
      <c r="E26" s="258">
        <f t="shared" si="16"/>
        <v>30015.583333333332</v>
      </c>
      <c r="F26" s="258">
        <f t="shared" si="16"/>
        <v>30015.583333333332</v>
      </c>
      <c r="G26" s="258">
        <f t="shared" si="16"/>
        <v>30015.583333333332</v>
      </c>
      <c r="H26" s="258">
        <f t="shared" si="16"/>
        <v>30015.583333333332</v>
      </c>
      <c r="I26" s="258">
        <f t="shared" si="16"/>
        <v>30015.583333333332</v>
      </c>
      <c r="J26" s="258">
        <f t="shared" si="16"/>
        <v>30015.583333333332</v>
      </c>
      <c r="K26" s="258">
        <f t="shared" si="16"/>
        <v>30015.583333333332</v>
      </c>
      <c r="L26" s="258">
        <f t="shared" si="16"/>
        <v>30015.583333333332</v>
      </c>
      <c r="M26" s="258">
        <f t="shared" si="16"/>
        <v>30015.583333333332</v>
      </c>
      <c r="N26" s="258">
        <f t="shared" si="16"/>
        <v>30015.583333333332</v>
      </c>
      <c r="O26" s="259">
        <f t="shared" ref="O26:O31" si="17">SUM(C26:N26)</f>
        <v>360186.99999999994</v>
      </c>
    </row>
    <row r="27" spans="1:16" s="260" customFormat="1" ht="22.5" customHeight="1" x14ac:dyDescent="0.2">
      <c r="A27" s="117" t="s">
        <v>171</v>
      </c>
      <c r="B27" s="137">
        <f>+'1.mell. Mérleg'!E32</f>
        <v>77012</v>
      </c>
      <c r="C27" s="258">
        <f>+$B$27/12</f>
        <v>6417.666666666667</v>
      </c>
      <c r="D27" s="258">
        <f t="shared" ref="D27:N27" si="18">+$B$27/12</f>
        <v>6417.666666666667</v>
      </c>
      <c r="E27" s="258">
        <f t="shared" si="18"/>
        <v>6417.666666666667</v>
      </c>
      <c r="F27" s="258">
        <f t="shared" si="18"/>
        <v>6417.666666666667</v>
      </c>
      <c r="G27" s="258">
        <f t="shared" si="18"/>
        <v>6417.666666666667</v>
      </c>
      <c r="H27" s="258">
        <f t="shared" si="18"/>
        <v>6417.666666666667</v>
      </c>
      <c r="I27" s="258">
        <f t="shared" si="18"/>
        <v>6417.666666666667</v>
      </c>
      <c r="J27" s="258">
        <f t="shared" si="18"/>
        <v>6417.666666666667</v>
      </c>
      <c r="K27" s="258">
        <f t="shared" si="18"/>
        <v>6417.666666666667</v>
      </c>
      <c r="L27" s="258">
        <f t="shared" si="18"/>
        <v>6417.666666666667</v>
      </c>
      <c r="M27" s="258">
        <f t="shared" si="18"/>
        <v>6417.666666666667</v>
      </c>
      <c r="N27" s="258">
        <f t="shared" si="18"/>
        <v>6417.666666666667</v>
      </c>
      <c r="O27" s="259">
        <f t="shared" si="17"/>
        <v>77012</v>
      </c>
    </row>
    <row r="28" spans="1:16" s="260" customFormat="1" ht="14.1" customHeight="1" x14ac:dyDescent="0.2">
      <c r="A28" s="117" t="s">
        <v>151</v>
      </c>
      <c r="B28" s="137">
        <f>+'1.mell. Mérleg'!E33</f>
        <v>608675.34</v>
      </c>
      <c r="C28" s="258">
        <f>+$B$28/12</f>
        <v>50722.945</v>
      </c>
      <c r="D28" s="258">
        <f t="shared" ref="D28:N28" si="19">+$B$28/12</f>
        <v>50722.945</v>
      </c>
      <c r="E28" s="258">
        <f t="shared" si="19"/>
        <v>50722.945</v>
      </c>
      <c r="F28" s="258">
        <f t="shared" si="19"/>
        <v>50722.945</v>
      </c>
      <c r="G28" s="258">
        <f t="shared" si="19"/>
        <v>50722.945</v>
      </c>
      <c r="H28" s="258">
        <f t="shared" si="19"/>
        <v>50722.945</v>
      </c>
      <c r="I28" s="258">
        <f t="shared" si="19"/>
        <v>50722.945</v>
      </c>
      <c r="J28" s="258">
        <f t="shared" si="19"/>
        <v>50722.945</v>
      </c>
      <c r="K28" s="258">
        <f t="shared" si="19"/>
        <v>50722.945</v>
      </c>
      <c r="L28" s="258">
        <f t="shared" si="19"/>
        <v>50722.945</v>
      </c>
      <c r="M28" s="258">
        <f t="shared" si="19"/>
        <v>50722.945</v>
      </c>
      <c r="N28" s="258">
        <f t="shared" si="19"/>
        <v>50722.945</v>
      </c>
      <c r="O28" s="259">
        <f t="shared" si="17"/>
        <v>608675.34</v>
      </c>
    </row>
    <row r="29" spans="1:16" s="260" customFormat="1" ht="14.1" customHeight="1" x14ac:dyDescent="0.2">
      <c r="A29" s="118" t="s">
        <v>150</v>
      </c>
      <c r="B29" s="137">
        <f>+'1.mell. Mérleg'!E34</f>
        <v>23333</v>
      </c>
      <c r="C29" s="258">
        <f>+$B$29/12</f>
        <v>1944.4166666666667</v>
      </c>
      <c r="D29" s="258">
        <f t="shared" ref="D29:N29" si="20">+$B$29/12</f>
        <v>1944.4166666666667</v>
      </c>
      <c r="E29" s="258">
        <f t="shared" si="20"/>
        <v>1944.4166666666667</v>
      </c>
      <c r="F29" s="258">
        <f t="shared" si="20"/>
        <v>1944.4166666666667</v>
      </c>
      <c r="G29" s="258">
        <f t="shared" si="20"/>
        <v>1944.4166666666667</v>
      </c>
      <c r="H29" s="258">
        <f t="shared" si="20"/>
        <v>1944.4166666666667</v>
      </c>
      <c r="I29" s="258">
        <f t="shared" si="20"/>
        <v>1944.4166666666667</v>
      </c>
      <c r="J29" s="258">
        <f t="shared" si="20"/>
        <v>1944.4166666666667</v>
      </c>
      <c r="K29" s="258">
        <f t="shared" si="20"/>
        <v>1944.4166666666667</v>
      </c>
      <c r="L29" s="258">
        <f t="shared" si="20"/>
        <v>1944.4166666666667</v>
      </c>
      <c r="M29" s="258">
        <f t="shared" si="20"/>
        <v>1944.4166666666667</v>
      </c>
      <c r="N29" s="258">
        <f t="shared" si="20"/>
        <v>1944.4166666666667</v>
      </c>
      <c r="O29" s="259">
        <f t="shared" si="17"/>
        <v>23333.000000000004</v>
      </c>
    </row>
    <row r="30" spans="1:16" s="260" customFormat="1" ht="14.1" customHeight="1" x14ac:dyDescent="0.2">
      <c r="A30" s="117" t="s">
        <v>163</v>
      </c>
      <c r="B30" s="137">
        <f>+'1.mell. Mérleg'!E35</f>
        <v>249561</v>
      </c>
      <c r="C30" s="258">
        <f>+$B$30/12</f>
        <v>20796.75</v>
      </c>
      <c r="D30" s="258">
        <f t="shared" ref="D30:N30" si="21">+$B$30/12</f>
        <v>20796.75</v>
      </c>
      <c r="E30" s="258">
        <f t="shared" si="21"/>
        <v>20796.75</v>
      </c>
      <c r="F30" s="258">
        <f t="shared" si="21"/>
        <v>20796.75</v>
      </c>
      <c r="G30" s="258">
        <f t="shared" si="21"/>
        <v>20796.75</v>
      </c>
      <c r="H30" s="258">
        <f t="shared" si="21"/>
        <v>20796.75</v>
      </c>
      <c r="I30" s="258">
        <f t="shared" si="21"/>
        <v>20796.75</v>
      </c>
      <c r="J30" s="258">
        <f t="shared" si="21"/>
        <v>20796.75</v>
      </c>
      <c r="K30" s="258">
        <f t="shared" si="21"/>
        <v>20796.75</v>
      </c>
      <c r="L30" s="258">
        <f t="shared" si="21"/>
        <v>20796.75</v>
      </c>
      <c r="M30" s="258">
        <f t="shared" si="21"/>
        <v>20796.75</v>
      </c>
      <c r="N30" s="258">
        <f t="shared" si="21"/>
        <v>20796.75</v>
      </c>
      <c r="O30" s="259">
        <f t="shared" si="17"/>
        <v>249561</v>
      </c>
    </row>
    <row r="31" spans="1:16" s="260" customFormat="1" ht="14.1" customHeight="1" x14ac:dyDescent="0.2">
      <c r="A31" s="117" t="s">
        <v>420</v>
      </c>
      <c r="B31" s="137">
        <f>+'1.mell. Mérleg'!E36</f>
        <v>368481</v>
      </c>
      <c r="C31" s="258">
        <f>+$B$31/12</f>
        <v>30706.75</v>
      </c>
      <c r="D31" s="258">
        <f t="shared" ref="D31:N31" si="22">+$B$31/12</f>
        <v>30706.75</v>
      </c>
      <c r="E31" s="258">
        <f t="shared" si="22"/>
        <v>30706.75</v>
      </c>
      <c r="F31" s="258">
        <f t="shared" si="22"/>
        <v>30706.75</v>
      </c>
      <c r="G31" s="258">
        <f t="shared" si="22"/>
        <v>30706.75</v>
      </c>
      <c r="H31" s="258">
        <f t="shared" si="22"/>
        <v>30706.75</v>
      </c>
      <c r="I31" s="258">
        <f t="shared" si="22"/>
        <v>30706.75</v>
      </c>
      <c r="J31" s="258">
        <f t="shared" si="22"/>
        <v>30706.75</v>
      </c>
      <c r="K31" s="258">
        <f t="shared" si="22"/>
        <v>30706.75</v>
      </c>
      <c r="L31" s="258">
        <f t="shared" si="22"/>
        <v>30706.75</v>
      </c>
      <c r="M31" s="258">
        <f t="shared" si="22"/>
        <v>30706.75</v>
      </c>
      <c r="N31" s="258">
        <f t="shared" si="22"/>
        <v>30706.75</v>
      </c>
      <c r="O31" s="259">
        <f t="shared" si="17"/>
        <v>368481</v>
      </c>
    </row>
    <row r="32" spans="1:16" s="260" customFormat="1" ht="14.1" customHeight="1" x14ac:dyDescent="0.25">
      <c r="A32" s="264" t="s">
        <v>410</v>
      </c>
      <c r="B32" s="272">
        <f>SUM(B26:B31)</f>
        <v>1687249.3399999999</v>
      </c>
      <c r="C32" s="272">
        <f t="shared" ref="C32:O32" si="23">SUM(C26:C31)</f>
        <v>140604.11166666669</v>
      </c>
      <c r="D32" s="272">
        <f t="shared" si="23"/>
        <v>140604.11166666669</v>
      </c>
      <c r="E32" s="272">
        <f t="shared" si="23"/>
        <v>140604.11166666669</v>
      </c>
      <c r="F32" s="272">
        <f t="shared" si="23"/>
        <v>140604.11166666669</v>
      </c>
      <c r="G32" s="272">
        <f t="shared" si="23"/>
        <v>140604.11166666669</v>
      </c>
      <c r="H32" s="272">
        <f t="shared" si="23"/>
        <v>140604.11166666669</v>
      </c>
      <c r="I32" s="272">
        <f t="shared" si="23"/>
        <v>140604.11166666669</v>
      </c>
      <c r="J32" s="272">
        <f t="shared" si="23"/>
        <v>140604.11166666669</v>
      </c>
      <c r="K32" s="272">
        <f t="shared" si="23"/>
        <v>140604.11166666669</v>
      </c>
      <c r="L32" s="272">
        <f t="shared" si="23"/>
        <v>140604.11166666669</v>
      </c>
      <c r="M32" s="272">
        <f t="shared" si="23"/>
        <v>140604.11166666669</v>
      </c>
      <c r="N32" s="272">
        <f t="shared" si="23"/>
        <v>140604.11166666669</v>
      </c>
      <c r="O32" s="273">
        <f t="shared" si="23"/>
        <v>1687249.3399999999</v>
      </c>
    </row>
    <row r="33" spans="1:16" s="260" customFormat="1" ht="14.1" customHeight="1" x14ac:dyDescent="0.2">
      <c r="A33" s="117" t="s">
        <v>161</v>
      </c>
      <c r="B33" s="137">
        <f>+'1.mell. Mérleg'!E38</f>
        <v>1481734</v>
      </c>
      <c r="C33" s="258">
        <v>121860</v>
      </c>
      <c r="D33" s="258"/>
      <c r="E33" s="258"/>
      <c r="F33" s="258"/>
      <c r="G33" s="258"/>
      <c r="H33" s="258">
        <f>365580+18418</f>
        <v>383998</v>
      </c>
      <c r="I33" s="258"/>
      <c r="J33" s="258">
        <v>150000</v>
      </c>
      <c r="K33" s="258"/>
      <c r="L33" s="258"/>
      <c r="M33" s="258"/>
      <c r="N33" s="258">
        <v>825876</v>
      </c>
      <c r="O33" s="259">
        <f>SUM(C33:N33)</f>
        <v>1481734</v>
      </c>
    </row>
    <row r="34" spans="1:16" s="260" customFormat="1" ht="14.1" customHeight="1" x14ac:dyDescent="0.2">
      <c r="A34" s="117" t="s">
        <v>160</v>
      </c>
      <c r="B34" s="137">
        <f>+'1.mell. Mérleg'!E39</f>
        <v>127196</v>
      </c>
      <c r="C34" s="258">
        <f>+$B$34/12</f>
        <v>10599.666666666666</v>
      </c>
      <c r="D34" s="258">
        <f t="shared" ref="D34:N34" si="24">+$B$34/12</f>
        <v>10599.666666666666</v>
      </c>
      <c r="E34" s="258">
        <f t="shared" si="24"/>
        <v>10599.666666666666</v>
      </c>
      <c r="F34" s="258">
        <f t="shared" si="24"/>
        <v>10599.666666666666</v>
      </c>
      <c r="G34" s="258">
        <f t="shared" si="24"/>
        <v>10599.666666666666</v>
      </c>
      <c r="H34" s="258">
        <f t="shared" si="24"/>
        <v>10599.666666666666</v>
      </c>
      <c r="I34" s="258">
        <f t="shared" si="24"/>
        <v>10599.666666666666</v>
      </c>
      <c r="J34" s="258">
        <f t="shared" si="24"/>
        <v>10599.666666666666</v>
      </c>
      <c r="K34" s="258">
        <f t="shared" si="24"/>
        <v>10599.666666666666</v>
      </c>
      <c r="L34" s="258">
        <f t="shared" si="24"/>
        <v>10599.666666666666</v>
      </c>
      <c r="M34" s="258">
        <f t="shared" si="24"/>
        <v>10599.666666666666</v>
      </c>
      <c r="N34" s="258">
        <f t="shared" si="24"/>
        <v>10599.666666666666</v>
      </c>
      <c r="O34" s="259">
        <f>SUM(C34:N34)</f>
        <v>127196.00000000001</v>
      </c>
    </row>
    <row r="35" spans="1:16" s="260" customFormat="1" ht="14.1" customHeight="1" x14ac:dyDescent="0.2">
      <c r="A35" s="117" t="s">
        <v>158</v>
      </c>
      <c r="B35" s="137">
        <f>+'1.mell. Mérleg'!C40</f>
        <v>0</v>
      </c>
      <c r="C35" s="258"/>
      <c r="D35" s="258"/>
      <c r="E35" s="258"/>
      <c r="F35" s="258"/>
      <c r="G35" s="258"/>
      <c r="H35" s="258"/>
      <c r="I35" s="258"/>
      <c r="J35" s="258"/>
      <c r="K35" s="258"/>
      <c r="L35" s="258"/>
      <c r="M35" s="258"/>
      <c r="N35" s="258"/>
      <c r="O35" s="259">
        <f>SUM(C35:N35)</f>
        <v>0</v>
      </c>
    </row>
    <row r="36" spans="1:16" s="260" customFormat="1" ht="14.1" customHeight="1" x14ac:dyDescent="0.2">
      <c r="A36" s="264" t="s">
        <v>412</v>
      </c>
      <c r="B36" s="274">
        <f>SUM(B33:B35)</f>
        <v>1608930</v>
      </c>
      <c r="C36" s="274">
        <f t="shared" ref="C36:O36" si="25">SUM(C33:C35)</f>
        <v>132459.66666666666</v>
      </c>
      <c r="D36" s="274">
        <f t="shared" si="25"/>
        <v>10599.666666666666</v>
      </c>
      <c r="E36" s="274">
        <f t="shared" si="25"/>
        <v>10599.666666666666</v>
      </c>
      <c r="F36" s="274">
        <f t="shared" si="25"/>
        <v>10599.666666666666</v>
      </c>
      <c r="G36" s="274">
        <f t="shared" si="25"/>
        <v>10599.666666666666</v>
      </c>
      <c r="H36" s="274">
        <f t="shared" si="25"/>
        <v>394597.66666666669</v>
      </c>
      <c r="I36" s="274">
        <f t="shared" si="25"/>
        <v>10599.666666666666</v>
      </c>
      <c r="J36" s="274">
        <f t="shared" si="25"/>
        <v>160599.66666666666</v>
      </c>
      <c r="K36" s="274">
        <f t="shared" si="25"/>
        <v>10599.666666666666</v>
      </c>
      <c r="L36" s="274">
        <f t="shared" si="25"/>
        <v>10599.666666666666</v>
      </c>
      <c r="M36" s="274">
        <f t="shared" si="25"/>
        <v>10599.666666666666</v>
      </c>
      <c r="N36" s="274">
        <f t="shared" si="25"/>
        <v>836475.66666666663</v>
      </c>
      <c r="O36" s="275">
        <f t="shared" si="25"/>
        <v>1608930</v>
      </c>
    </row>
    <row r="37" spans="1:16" s="260" customFormat="1" ht="14.1" customHeight="1" x14ac:dyDescent="0.2">
      <c r="A37" s="276" t="s">
        <v>277</v>
      </c>
      <c r="B37" s="274">
        <f>+'1.mell. Mérleg'!E42</f>
        <v>866154</v>
      </c>
      <c r="C37" s="277">
        <v>16154</v>
      </c>
      <c r="D37" s="277"/>
      <c r="E37" s="277">
        <v>850000</v>
      </c>
      <c r="F37" s="277"/>
      <c r="G37" s="277"/>
      <c r="H37" s="277"/>
      <c r="I37" s="277"/>
      <c r="J37" s="277"/>
      <c r="K37" s="277"/>
      <c r="L37" s="277"/>
      <c r="M37" s="277"/>
      <c r="N37" s="277"/>
      <c r="O37" s="278">
        <f>SUM(C37:N37)</f>
        <v>866154</v>
      </c>
    </row>
    <row r="38" spans="1:16" s="257" customFormat="1" ht="15.95" customHeight="1" thickBot="1" x14ac:dyDescent="0.3">
      <c r="A38" s="270" t="s">
        <v>409</v>
      </c>
      <c r="B38" s="270">
        <f>+B37+B36+B32</f>
        <v>4162333.34</v>
      </c>
      <c r="C38" s="270">
        <f>+C37+C36+C32</f>
        <v>289217.77833333332</v>
      </c>
      <c r="D38" s="270">
        <f t="shared" ref="D38:O38" si="26">+D37+D36+D32</f>
        <v>151203.77833333335</v>
      </c>
      <c r="E38" s="270">
        <f t="shared" si="26"/>
        <v>1001203.7783333333</v>
      </c>
      <c r="F38" s="270">
        <f t="shared" si="26"/>
        <v>151203.77833333335</v>
      </c>
      <c r="G38" s="270">
        <f t="shared" si="26"/>
        <v>151203.77833333335</v>
      </c>
      <c r="H38" s="270">
        <f t="shared" si="26"/>
        <v>535201.77833333332</v>
      </c>
      <c r="I38" s="270">
        <f t="shared" si="26"/>
        <v>151203.77833333335</v>
      </c>
      <c r="J38" s="270">
        <f t="shared" si="26"/>
        <v>301203.77833333332</v>
      </c>
      <c r="K38" s="270">
        <f t="shared" si="26"/>
        <v>151203.77833333335</v>
      </c>
      <c r="L38" s="270">
        <f t="shared" si="26"/>
        <v>151203.77833333335</v>
      </c>
      <c r="M38" s="270">
        <f t="shared" si="26"/>
        <v>151203.77833333335</v>
      </c>
      <c r="N38" s="270">
        <f t="shared" si="26"/>
        <v>977079.77833333332</v>
      </c>
      <c r="O38" s="271">
        <f t="shared" si="26"/>
        <v>4162333.34</v>
      </c>
      <c r="P38" s="260"/>
    </row>
    <row r="39" spans="1:16" s="280" customFormat="1" ht="15.95" customHeight="1" thickBot="1" x14ac:dyDescent="0.3">
      <c r="A39" s="279"/>
      <c r="B39" s="279"/>
      <c r="C39" s="279"/>
      <c r="D39" s="279"/>
      <c r="E39" s="279"/>
      <c r="F39" s="279"/>
      <c r="G39" s="279"/>
      <c r="H39" s="279"/>
      <c r="I39" s="279"/>
      <c r="J39" s="279"/>
      <c r="K39" s="279"/>
      <c r="L39" s="279"/>
      <c r="M39" s="279"/>
      <c r="N39" s="279"/>
      <c r="O39" s="279"/>
      <c r="P39" s="260"/>
    </row>
    <row r="40" spans="1:16" ht="13.5" thickBot="1" x14ac:dyDescent="0.25">
      <c r="A40" s="281" t="s">
        <v>468</v>
      </c>
      <c r="B40" s="282">
        <f>+B23-B38</f>
        <v>-0.33999999985098839</v>
      </c>
      <c r="C40" s="282">
        <f t="shared" ref="C40" si="27">+C23-C38</f>
        <v>1589727.8049999999</v>
      </c>
      <c r="D40" s="282">
        <f>+D3+D23-D38</f>
        <v>1523819.6099999999</v>
      </c>
      <c r="E40" s="282">
        <f t="shared" ref="E40:O40" si="28">+E3+E23-E38</f>
        <v>607911.4149999998</v>
      </c>
      <c r="F40" s="282">
        <f t="shared" si="28"/>
        <v>542003.21999999986</v>
      </c>
      <c r="G40" s="282">
        <f t="shared" si="28"/>
        <v>476095.02499999991</v>
      </c>
      <c r="H40" s="282">
        <f t="shared" si="28"/>
        <v>521324.83000000007</v>
      </c>
      <c r="I40" s="282">
        <f t="shared" si="28"/>
        <v>455416.63500000013</v>
      </c>
      <c r="J40" s="282">
        <f t="shared" si="28"/>
        <v>239508.44000000018</v>
      </c>
      <c r="K40" s="282">
        <f t="shared" si="28"/>
        <v>173600.2450000002</v>
      </c>
      <c r="L40" s="282">
        <f t="shared" si="28"/>
        <v>107692.05000000019</v>
      </c>
      <c r="M40" s="282">
        <f t="shared" si="28"/>
        <v>41783.855000000185</v>
      </c>
      <c r="N40" s="282">
        <f t="shared" si="28"/>
        <v>-0.33999999973457307</v>
      </c>
      <c r="O40" s="282">
        <f t="shared" si="28"/>
        <v>-0.33999999985098839</v>
      </c>
      <c r="P40" s="260"/>
    </row>
    <row r="41" spans="1:16" x14ac:dyDescent="0.2">
      <c r="P41" s="260"/>
    </row>
    <row r="42" spans="1:16" x14ac:dyDescent="0.2">
      <c r="P42" s="260"/>
    </row>
  </sheetData>
  <mergeCells count="1">
    <mergeCell ref="A24:O2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Header>&amp;C&amp;"Times New Roman,Félkövér"&amp;12Előirányzat-felhasználási ütemterv 2018. évre 
&amp;"Times New Roman,Normál"(tervezett adatok alapján)  &amp;"Times New Roman,Félkövér"             &amp;R&amp;"Times New Roman,Félkövér"&amp;10&amp;K000000 11. melléklet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3"/>
  <sheetViews>
    <sheetView zoomScaleNormal="100" zoomScaleSheetLayoutView="90" workbookViewId="0">
      <pane xSplit="3" ySplit="4" topLeftCell="W17" activePane="bottomRight" state="frozen"/>
      <selection pane="topRight" activeCell="D1" sqref="D1"/>
      <selection pane="bottomLeft" activeCell="A5" sqref="A5"/>
      <selection pane="bottomRight" activeCell="AA50" sqref="AA50:AH50"/>
    </sheetView>
  </sheetViews>
  <sheetFormatPr defaultColWidth="9.140625" defaultRowHeight="12.75" x14ac:dyDescent="0.2"/>
  <cols>
    <col min="1" max="1" width="4.42578125" style="774" customWidth="1"/>
    <col min="2" max="2" width="11" style="815" bestFit="1" customWidth="1"/>
    <col min="3" max="3" width="45.5703125" style="774" customWidth="1"/>
    <col min="4" max="4" width="9.28515625" style="774" customWidth="1"/>
    <col min="5" max="5" width="10" style="774" customWidth="1"/>
    <col min="6" max="6" width="10.7109375" style="773" customWidth="1"/>
    <col min="7" max="7" width="7.42578125" style="774" customWidth="1"/>
    <col min="8" max="8" width="9.140625" style="774" customWidth="1"/>
    <col min="9" max="9" width="8.5703125" style="774" customWidth="1"/>
    <col min="10" max="10" width="9.42578125" style="774" customWidth="1"/>
    <col min="11" max="11" width="10" style="798" customWidth="1"/>
    <col min="12" max="12" width="9.140625" style="774" customWidth="1"/>
    <col min="13" max="13" width="7.28515625" style="774" customWidth="1"/>
    <col min="14" max="14" width="10.42578125" style="774" customWidth="1"/>
    <col min="15" max="15" width="7.28515625" style="774" customWidth="1"/>
    <col min="16" max="16" width="9.28515625" style="773" customWidth="1"/>
    <col min="17" max="17" width="8.42578125" style="773" customWidth="1"/>
    <col min="18" max="19" width="9.85546875" style="773" customWidth="1"/>
    <col min="20" max="21" width="9.85546875" style="774" customWidth="1"/>
    <col min="22" max="22" width="8" style="774" customWidth="1"/>
    <col min="23" max="23" width="10.140625" style="774" customWidth="1"/>
    <col min="24" max="24" width="9" style="773" customWidth="1"/>
    <col min="25" max="25" width="7.85546875" style="774" customWidth="1"/>
    <col min="26" max="26" width="10.5703125" style="774" customWidth="1"/>
    <col min="27" max="27" width="8.7109375" style="774" customWidth="1"/>
    <col min="28" max="28" width="9.140625" style="774" customWidth="1"/>
    <col min="29" max="29" width="9.7109375" style="774" customWidth="1"/>
    <col min="30" max="30" width="11.42578125" style="774" customWidth="1"/>
    <col min="31" max="31" width="11.5703125" style="774" customWidth="1"/>
    <col min="32" max="33" width="9.28515625" style="774" customWidth="1"/>
    <col min="34" max="34" width="10.85546875" style="774" customWidth="1"/>
    <col min="35" max="35" width="11.140625" style="774" customWidth="1"/>
    <col min="36" max="40" width="9.140625" style="774" customWidth="1"/>
    <col min="41" max="16384" width="9.140625" style="774"/>
  </cols>
  <sheetData>
    <row r="1" spans="1:40" ht="13.5" thickBot="1" x14ac:dyDescent="0.25">
      <c r="A1" s="1318"/>
      <c r="B1" s="1318"/>
      <c r="C1" s="1318"/>
      <c r="D1" s="1318"/>
      <c r="E1" s="1318"/>
      <c r="F1" s="1318"/>
      <c r="G1" s="1318"/>
      <c r="H1" s="1318"/>
      <c r="I1" s="1318"/>
      <c r="J1" s="1318"/>
      <c r="K1" s="1318"/>
      <c r="L1" s="1318"/>
      <c r="M1" s="1318"/>
      <c r="N1" s="1318"/>
      <c r="O1" s="1318"/>
      <c r="P1" s="1318"/>
      <c r="Q1" s="1318"/>
      <c r="R1" s="1318"/>
      <c r="S1" s="1318"/>
      <c r="T1" s="1318"/>
      <c r="U1" s="1318"/>
      <c r="V1" s="1318"/>
      <c r="W1" s="1318"/>
      <c r="AG1" s="1319" t="s">
        <v>390</v>
      </c>
      <c r="AH1" s="1319"/>
      <c r="AI1" s="1319"/>
    </row>
    <row r="2" spans="1:40" ht="16.5" customHeight="1" x14ac:dyDescent="0.2">
      <c r="A2" s="1320" t="s">
        <v>696</v>
      </c>
      <c r="B2" s="1322"/>
      <c r="C2" s="1325" t="s">
        <v>790</v>
      </c>
      <c r="D2" s="1327" t="s">
        <v>308</v>
      </c>
      <c r="E2" s="1327"/>
      <c r="F2" s="1327"/>
      <c r="G2" s="1327"/>
      <c r="H2" s="1327"/>
      <c r="I2" s="1327"/>
      <c r="J2" s="1327"/>
      <c r="K2" s="1327"/>
      <c r="L2" s="1327"/>
      <c r="M2" s="1327"/>
      <c r="N2" s="1327"/>
      <c r="O2" s="1327"/>
      <c r="P2" s="1327"/>
      <c r="Q2" s="1327"/>
      <c r="R2" s="1327"/>
      <c r="S2" s="1327"/>
      <c r="T2" s="1327"/>
      <c r="U2" s="1328"/>
      <c r="V2" s="978"/>
      <c r="W2" s="1329" t="s">
        <v>287</v>
      </c>
      <c r="X2" s="1331" t="s">
        <v>301</v>
      </c>
      <c r="Y2" s="1327"/>
      <c r="Z2" s="1327"/>
      <c r="AA2" s="1327"/>
      <c r="AB2" s="1327"/>
      <c r="AC2" s="1327"/>
      <c r="AD2" s="1327"/>
      <c r="AE2" s="1327"/>
      <c r="AF2" s="1327"/>
      <c r="AG2" s="1327"/>
      <c r="AH2" s="1327"/>
      <c r="AI2" s="1329" t="s">
        <v>791</v>
      </c>
      <c r="AN2" s="775"/>
    </row>
    <row r="3" spans="1:40" ht="25.5" customHeight="1" x14ac:dyDescent="0.2">
      <c r="A3" s="1321"/>
      <c r="B3" s="1323"/>
      <c r="C3" s="1326"/>
      <c r="D3" s="1326" t="s">
        <v>792</v>
      </c>
      <c r="E3" s="1326" t="s">
        <v>793</v>
      </c>
      <c r="F3" s="1332" t="s">
        <v>151</v>
      </c>
      <c r="G3" s="1326" t="s">
        <v>794</v>
      </c>
      <c r="H3" s="1326" t="s">
        <v>163</v>
      </c>
      <c r="I3" s="1333"/>
      <c r="J3" s="1326" t="s">
        <v>795</v>
      </c>
      <c r="K3" s="1317" t="s">
        <v>796</v>
      </c>
      <c r="L3" s="1326" t="s">
        <v>797</v>
      </c>
      <c r="M3" s="1326" t="s">
        <v>798</v>
      </c>
      <c r="N3" s="1326" t="s">
        <v>799</v>
      </c>
      <c r="O3" s="1326" t="s">
        <v>800</v>
      </c>
      <c r="P3" s="1332" t="s">
        <v>627</v>
      </c>
      <c r="Q3" s="1332" t="s">
        <v>801</v>
      </c>
      <c r="R3" s="1332" t="s">
        <v>878</v>
      </c>
      <c r="S3" s="1332" t="s">
        <v>803</v>
      </c>
      <c r="T3" s="1337" t="s">
        <v>804</v>
      </c>
      <c r="U3" s="1326" t="s">
        <v>805</v>
      </c>
      <c r="V3" s="1326" t="s">
        <v>806</v>
      </c>
      <c r="W3" s="1330"/>
      <c r="X3" s="1334" t="s">
        <v>807</v>
      </c>
      <c r="Y3" s="1326" t="s">
        <v>808</v>
      </c>
      <c r="Z3" s="1326" t="s">
        <v>809</v>
      </c>
      <c r="AA3" s="1326" t="s">
        <v>810</v>
      </c>
      <c r="AB3" s="1326" t="s">
        <v>811</v>
      </c>
      <c r="AC3" s="1326" t="s">
        <v>656</v>
      </c>
      <c r="AD3" s="1326" t="s">
        <v>812</v>
      </c>
      <c r="AE3" s="1326" t="s">
        <v>813</v>
      </c>
      <c r="AF3" s="1326" t="s">
        <v>814</v>
      </c>
      <c r="AG3" s="1326" t="s">
        <v>815</v>
      </c>
      <c r="AH3" s="1326" t="s">
        <v>844</v>
      </c>
      <c r="AI3" s="1330"/>
    </row>
    <row r="4" spans="1:40" ht="35.25" customHeight="1" x14ac:dyDescent="0.2">
      <c r="A4" s="1321"/>
      <c r="B4" s="1324"/>
      <c r="C4" s="1326"/>
      <c r="D4" s="1326"/>
      <c r="E4" s="1326"/>
      <c r="F4" s="1332"/>
      <c r="G4" s="1326"/>
      <c r="H4" s="977" t="s">
        <v>816</v>
      </c>
      <c r="I4" s="977" t="s">
        <v>817</v>
      </c>
      <c r="J4" s="1326"/>
      <c r="K4" s="1317"/>
      <c r="L4" s="1326"/>
      <c r="M4" s="1335"/>
      <c r="N4" s="1326"/>
      <c r="O4" s="1326"/>
      <c r="P4" s="1332"/>
      <c r="Q4" s="1332"/>
      <c r="R4" s="1332"/>
      <c r="S4" s="1336"/>
      <c r="T4" s="1338"/>
      <c r="U4" s="1335"/>
      <c r="V4" s="1326"/>
      <c r="W4" s="1330"/>
      <c r="X4" s="1334"/>
      <c r="Y4" s="1326"/>
      <c r="Z4" s="1333"/>
      <c r="AA4" s="1333"/>
      <c r="AB4" s="1326"/>
      <c r="AC4" s="1333"/>
      <c r="AD4" s="1333"/>
      <c r="AE4" s="1333"/>
      <c r="AF4" s="1326"/>
      <c r="AG4" s="1326"/>
      <c r="AH4" s="1326"/>
      <c r="AI4" s="1330"/>
    </row>
    <row r="5" spans="1:40" s="773" customFormat="1" ht="12.75" customHeight="1" x14ac:dyDescent="0.2">
      <c r="A5" s="778">
        <v>1</v>
      </c>
      <c r="B5" s="828" t="s">
        <v>885</v>
      </c>
      <c r="C5" s="838" t="s">
        <v>886</v>
      </c>
      <c r="D5" s="367"/>
      <c r="E5" s="367"/>
      <c r="F5" s="367"/>
      <c r="G5" s="780"/>
      <c r="H5" s="780"/>
      <c r="I5" s="780">
        <v>1000</v>
      </c>
      <c r="J5" s="780"/>
      <c r="K5" s="780"/>
      <c r="L5" s="993"/>
      <c r="M5" s="993"/>
      <c r="N5" s="780"/>
      <c r="O5" s="993"/>
      <c r="P5" s="780">
        <v>-1000</v>
      </c>
      <c r="Q5" s="993"/>
      <c r="R5" s="780"/>
      <c r="S5" s="780"/>
      <c r="T5" s="780"/>
      <c r="U5" s="993"/>
      <c r="V5" s="993"/>
      <c r="W5" s="784">
        <f>SUM(D5:V5)</f>
        <v>0</v>
      </c>
      <c r="X5" s="995"/>
      <c r="Y5" s="780"/>
      <c r="Z5" s="780"/>
      <c r="AA5" s="993"/>
      <c r="AB5" s="993"/>
      <c r="AC5" s="993"/>
      <c r="AD5" s="993"/>
      <c r="AE5" s="993"/>
      <c r="AF5" s="993"/>
      <c r="AG5" s="993"/>
      <c r="AH5" s="780"/>
      <c r="AI5" s="784">
        <f>SUM(X5:AH5)</f>
        <v>0</v>
      </c>
    </row>
    <row r="6" spans="1:40" s="773" customFormat="1" ht="15" customHeight="1" x14ac:dyDescent="0.2">
      <c r="A6" s="778">
        <v>2</v>
      </c>
      <c r="B6" s="828" t="s">
        <v>887</v>
      </c>
      <c r="C6" s="786" t="s">
        <v>888</v>
      </c>
      <c r="D6" s="780">
        <v>736</v>
      </c>
      <c r="E6" s="780">
        <v>143</v>
      </c>
      <c r="F6" s="780"/>
      <c r="G6" s="780"/>
      <c r="H6" s="780"/>
      <c r="I6" s="780"/>
      <c r="J6" s="780"/>
      <c r="K6" s="780"/>
      <c r="L6" s="993"/>
      <c r="M6" s="993"/>
      <c r="N6" s="780"/>
      <c r="O6" s="993"/>
      <c r="P6" s="780"/>
      <c r="Q6" s="993"/>
      <c r="R6" s="780"/>
      <c r="S6" s="780"/>
      <c r="T6" s="780"/>
      <c r="U6" s="993"/>
      <c r="V6" s="993"/>
      <c r="W6" s="784">
        <f t="shared" ref="W6:W49" si="0">SUM(D6:V6)</f>
        <v>879</v>
      </c>
      <c r="X6" s="995"/>
      <c r="Y6" s="780"/>
      <c r="Z6" s="780">
        <v>879</v>
      </c>
      <c r="AA6" s="993"/>
      <c r="AB6" s="993"/>
      <c r="AC6" s="993"/>
      <c r="AD6" s="993"/>
      <c r="AE6" s="993"/>
      <c r="AF6" s="993"/>
      <c r="AG6" s="993"/>
      <c r="AH6" s="993"/>
      <c r="AI6" s="784">
        <f t="shared" ref="AI6:AI49" si="1">SUM(X6:AH6)</f>
        <v>879</v>
      </c>
    </row>
    <row r="7" spans="1:40" s="773" customFormat="1" x14ac:dyDescent="0.2">
      <c r="A7" s="778">
        <v>3</v>
      </c>
      <c r="B7" s="828" t="s">
        <v>891</v>
      </c>
      <c r="C7" s="786" t="s">
        <v>892</v>
      </c>
      <c r="D7" s="780">
        <v>8</v>
      </c>
      <c r="E7" s="780"/>
      <c r="F7" s="780">
        <v>3449</v>
      </c>
      <c r="G7" s="780"/>
      <c r="H7" s="780"/>
      <c r="I7" s="780"/>
      <c r="J7" s="780">
        <f>9444+1000</f>
        <v>10444</v>
      </c>
      <c r="K7" s="780"/>
      <c r="L7" s="993"/>
      <c r="M7" s="993"/>
      <c r="N7" s="780"/>
      <c r="O7" s="993"/>
      <c r="P7" s="780">
        <v>-728</v>
      </c>
      <c r="Q7" s="780"/>
      <c r="R7" s="780"/>
      <c r="S7" s="780"/>
      <c r="T7" s="780"/>
      <c r="U7" s="780">
        <v>11846</v>
      </c>
      <c r="V7" s="993"/>
      <c r="W7" s="784">
        <f t="shared" si="0"/>
        <v>25019</v>
      </c>
      <c r="X7" s="995"/>
      <c r="Y7" s="780"/>
      <c r="Z7" s="780"/>
      <c r="AA7" s="780">
        <v>615</v>
      </c>
      <c r="AB7" s="993"/>
      <c r="AC7" s="993"/>
      <c r="AD7" s="1042"/>
      <c r="AE7" s="780">
        <v>-234619</v>
      </c>
      <c r="AF7" s="993"/>
      <c r="AG7" s="993"/>
      <c r="AH7" s="780">
        <v>259023</v>
      </c>
      <c r="AI7" s="784">
        <f t="shared" si="1"/>
        <v>25019</v>
      </c>
    </row>
    <row r="8" spans="1:40" s="773" customFormat="1" ht="25.5" x14ac:dyDescent="0.2">
      <c r="A8" s="778">
        <v>4</v>
      </c>
      <c r="B8" s="828" t="s">
        <v>893</v>
      </c>
      <c r="C8" s="786" t="s">
        <v>894</v>
      </c>
      <c r="D8" s="780">
        <f>-108-202</f>
        <v>-310</v>
      </c>
      <c r="E8" s="780"/>
      <c r="F8" s="780">
        <f>108+202</f>
        <v>310</v>
      </c>
      <c r="G8" s="780"/>
      <c r="H8" s="780"/>
      <c r="I8" s="780"/>
      <c r="J8" s="780"/>
      <c r="K8" s="780"/>
      <c r="L8" s="993"/>
      <c r="M8" s="993"/>
      <c r="N8" s="780"/>
      <c r="O8" s="993"/>
      <c r="P8" s="780"/>
      <c r="Q8" s="993"/>
      <c r="R8" s="780"/>
      <c r="S8" s="780"/>
      <c r="T8" s="780"/>
      <c r="U8" s="993"/>
      <c r="V8" s="993"/>
      <c r="W8" s="784">
        <f t="shared" si="0"/>
        <v>0</v>
      </c>
      <c r="X8" s="995"/>
      <c r="Y8" s="780"/>
      <c r="Z8" s="780"/>
      <c r="AA8" s="780"/>
      <c r="AB8" s="993"/>
      <c r="AC8" s="780"/>
      <c r="AD8" s="1042"/>
      <c r="AE8" s="993"/>
      <c r="AF8" s="993"/>
      <c r="AG8" s="993"/>
      <c r="AH8" s="993"/>
      <c r="AI8" s="784">
        <f t="shared" si="1"/>
        <v>0</v>
      </c>
    </row>
    <row r="9" spans="1:40" s="773" customFormat="1" x14ac:dyDescent="0.2">
      <c r="A9" s="778">
        <v>5</v>
      </c>
      <c r="B9" s="828" t="s">
        <v>842</v>
      </c>
      <c r="C9" s="786" t="s">
        <v>895</v>
      </c>
      <c r="D9" s="780"/>
      <c r="E9" s="780"/>
      <c r="F9" s="780">
        <v>45</v>
      </c>
      <c r="G9" s="780"/>
      <c r="H9" s="780"/>
      <c r="I9" s="780"/>
      <c r="J9" s="780"/>
      <c r="K9" s="780"/>
      <c r="L9" s="993"/>
      <c r="M9" s="993"/>
      <c r="N9" s="780"/>
      <c r="O9" s="993"/>
      <c r="P9" s="780">
        <v>-45</v>
      </c>
      <c r="Q9" s="993"/>
      <c r="R9" s="780"/>
      <c r="S9" s="780"/>
      <c r="T9" s="780"/>
      <c r="U9" s="993"/>
      <c r="V9" s="993"/>
      <c r="W9" s="784">
        <f t="shared" si="0"/>
        <v>0</v>
      </c>
      <c r="X9" s="995"/>
      <c r="Y9" s="780"/>
      <c r="Z9" s="780"/>
      <c r="AA9" s="780"/>
      <c r="AB9" s="993"/>
      <c r="AC9" s="993"/>
      <c r="AD9" s="1042"/>
      <c r="AE9" s="993"/>
      <c r="AF9" s="993"/>
      <c r="AG9" s="993"/>
      <c r="AH9" s="993"/>
      <c r="AI9" s="784">
        <f t="shared" si="1"/>
        <v>0</v>
      </c>
    </row>
    <row r="10" spans="1:40" s="773" customFormat="1" ht="25.5" x14ac:dyDescent="0.2">
      <c r="A10" s="778">
        <v>6</v>
      </c>
      <c r="B10" s="828" t="s">
        <v>889</v>
      </c>
      <c r="C10" s="786" t="s">
        <v>896</v>
      </c>
      <c r="D10" s="780">
        <v>3176</v>
      </c>
      <c r="E10" s="780">
        <v>619</v>
      </c>
      <c r="F10" s="780">
        <v>3780</v>
      </c>
      <c r="G10" s="780"/>
      <c r="H10" s="780"/>
      <c r="I10" s="780"/>
      <c r="J10" s="780">
        <v>2362</v>
      </c>
      <c r="K10" s="780">
        <v>17869</v>
      </c>
      <c r="L10" s="993"/>
      <c r="M10" s="993"/>
      <c r="N10" s="780"/>
      <c r="O10" s="993"/>
      <c r="P10" s="780"/>
      <c r="Q10" s="993"/>
      <c r="R10" s="780"/>
      <c r="S10" s="780"/>
      <c r="T10" s="780"/>
      <c r="U10" s="993"/>
      <c r="V10" s="993"/>
      <c r="W10" s="784">
        <f t="shared" si="0"/>
        <v>27806</v>
      </c>
      <c r="X10" s="995"/>
      <c r="Y10" s="780"/>
      <c r="Z10" s="780"/>
      <c r="AA10" s="993"/>
      <c r="AB10" s="993"/>
      <c r="AC10" s="993"/>
      <c r="AD10" s="1042"/>
      <c r="AE10" s="780">
        <v>27806</v>
      </c>
      <c r="AF10" s="993"/>
      <c r="AG10" s="993"/>
      <c r="AH10" s="993"/>
      <c r="AI10" s="784">
        <f t="shared" si="1"/>
        <v>27806</v>
      </c>
    </row>
    <row r="11" spans="1:40" s="773" customFormat="1" ht="25.5" x14ac:dyDescent="0.2">
      <c r="A11" s="778">
        <v>8</v>
      </c>
      <c r="B11" s="828" t="s">
        <v>917</v>
      </c>
      <c r="C11" s="786" t="s">
        <v>941</v>
      </c>
      <c r="D11" s="780">
        <f>400+84</f>
        <v>484</v>
      </c>
      <c r="E11" s="780">
        <f>70-84</f>
        <v>-14</v>
      </c>
      <c r="F11" s="780">
        <v>1830</v>
      </c>
      <c r="G11" s="780"/>
      <c r="H11" s="780"/>
      <c r="I11" s="780"/>
      <c r="J11" s="780">
        <f>-470-1830</f>
        <v>-2300</v>
      </c>
      <c r="K11" s="780"/>
      <c r="L11" s="993"/>
      <c r="M11" s="993"/>
      <c r="N11" s="780"/>
      <c r="O11" s="993"/>
      <c r="P11" s="780"/>
      <c r="Q11" s="993"/>
      <c r="R11" s="780"/>
      <c r="S11" s="780"/>
      <c r="T11" s="780"/>
      <c r="U11" s="993"/>
      <c r="V11" s="993"/>
      <c r="W11" s="784">
        <f t="shared" si="0"/>
        <v>0</v>
      </c>
      <c r="X11" s="995"/>
      <c r="Y11" s="780"/>
      <c r="Z11" s="780"/>
      <c r="AA11" s="993"/>
      <c r="AB11" s="780"/>
      <c r="AC11" s="993"/>
      <c r="AD11" s="1042"/>
      <c r="AE11" s="993"/>
      <c r="AF11" s="993"/>
      <c r="AG11" s="993"/>
      <c r="AH11" s="993"/>
      <c r="AI11" s="784">
        <f t="shared" si="1"/>
        <v>0</v>
      </c>
    </row>
    <row r="12" spans="1:40" s="773" customFormat="1" ht="12.75" customHeight="1" x14ac:dyDescent="0.2">
      <c r="A12" s="778">
        <v>9</v>
      </c>
      <c r="B12" s="828" t="s">
        <v>897</v>
      </c>
      <c r="C12" s="786" t="s">
        <v>898</v>
      </c>
      <c r="D12" s="780"/>
      <c r="E12" s="780"/>
      <c r="F12" s="780"/>
      <c r="G12" s="780"/>
      <c r="H12" s="780">
        <f>118+118</f>
        <v>236</v>
      </c>
      <c r="I12" s="780"/>
      <c r="J12" s="780"/>
      <c r="K12" s="780"/>
      <c r="L12" s="993"/>
      <c r="M12" s="993"/>
      <c r="N12" s="780">
        <v>82</v>
      </c>
      <c r="O12" s="993"/>
      <c r="P12" s="780"/>
      <c r="Q12" s="780">
        <v>104</v>
      </c>
      <c r="R12" s="780"/>
      <c r="S12" s="780"/>
      <c r="T12" s="780"/>
      <c r="U12" s="993"/>
      <c r="V12" s="993"/>
      <c r="W12" s="784">
        <f t="shared" si="0"/>
        <v>422</v>
      </c>
      <c r="X12" s="995"/>
      <c r="Y12" s="780"/>
      <c r="Z12" s="780">
        <v>422</v>
      </c>
      <c r="AA12" s="780"/>
      <c r="AB12" s="993"/>
      <c r="AC12" s="993"/>
      <c r="AD12" s="1042"/>
      <c r="AE12" s="993"/>
      <c r="AF12" s="993"/>
      <c r="AG12" s="993"/>
      <c r="AH12" s="993"/>
      <c r="AI12" s="784">
        <f t="shared" si="1"/>
        <v>422</v>
      </c>
    </row>
    <row r="13" spans="1:40" s="773" customFormat="1" ht="12.75" customHeight="1" x14ac:dyDescent="0.2">
      <c r="A13" s="778">
        <v>11</v>
      </c>
      <c r="B13" s="828" t="s">
        <v>899</v>
      </c>
      <c r="C13" s="786" t="s">
        <v>900</v>
      </c>
      <c r="D13" s="780"/>
      <c r="E13" s="780"/>
      <c r="F13" s="780"/>
      <c r="G13" s="780"/>
      <c r="H13" s="780"/>
      <c r="I13" s="780"/>
      <c r="J13" s="780"/>
      <c r="K13" s="780"/>
      <c r="L13" s="993"/>
      <c r="M13" s="993"/>
      <c r="N13" s="780">
        <v>5000</v>
      </c>
      <c r="O13" s="993"/>
      <c r="P13" s="780"/>
      <c r="Q13" s="780">
        <v>-5000</v>
      </c>
      <c r="R13" s="780"/>
      <c r="S13" s="780"/>
      <c r="T13" s="780"/>
      <c r="U13" s="993"/>
      <c r="V13" s="993"/>
      <c r="W13" s="784">
        <f t="shared" si="0"/>
        <v>0</v>
      </c>
      <c r="X13" s="995"/>
      <c r="Y13" s="780"/>
      <c r="Z13" s="780"/>
      <c r="AA13" s="780"/>
      <c r="AB13" s="993"/>
      <c r="AC13" s="993"/>
      <c r="AD13" s="1042"/>
      <c r="AE13" s="993"/>
      <c r="AF13" s="993"/>
      <c r="AG13" s="993"/>
      <c r="AH13" s="993"/>
      <c r="AI13" s="784">
        <f t="shared" si="1"/>
        <v>0</v>
      </c>
    </row>
    <row r="14" spans="1:40" s="773" customFormat="1" x14ac:dyDescent="0.2">
      <c r="A14" s="778">
        <v>16</v>
      </c>
      <c r="B14" s="828" t="s">
        <v>920</v>
      </c>
      <c r="C14" s="786" t="s">
        <v>901</v>
      </c>
      <c r="D14" s="780"/>
      <c r="E14" s="780"/>
      <c r="F14" s="780"/>
      <c r="G14" s="780"/>
      <c r="H14" s="780"/>
      <c r="I14" s="780"/>
      <c r="J14" s="780"/>
      <c r="K14" s="780"/>
      <c r="L14" s="993"/>
      <c r="M14" s="993"/>
      <c r="N14" s="780">
        <f>197+197</f>
        <v>394</v>
      </c>
      <c r="O14" s="993"/>
      <c r="P14" s="780"/>
      <c r="Q14" s="780"/>
      <c r="R14" s="780"/>
      <c r="S14" s="780"/>
      <c r="T14" s="780"/>
      <c r="U14" s="993"/>
      <c r="V14" s="780"/>
      <c r="W14" s="784">
        <f t="shared" si="0"/>
        <v>394</v>
      </c>
      <c r="X14" s="995"/>
      <c r="Y14" s="780"/>
      <c r="Z14" s="780">
        <v>394</v>
      </c>
      <c r="AA14" s="993"/>
      <c r="AB14" s="993"/>
      <c r="AC14" s="993"/>
      <c r="AD14" s="1042"/>
      <c r="AE14" s="993"/>
      <c r="AF14" s="993"/>
      <c r="AG14" s="780"/>
      <c r="AH14" s="993"/>
      <c r="AI14" s="784">
        <f t="shared" si="1"/>
        <v>394</v>
      </c>
    </row>
    <row r="15" spans="1:40" s="773" customFormat="1" x14ac:dyDescent="0.2">
      <c r="A15" s="778">
        <v>17</v>
      </c>
      <c r="B15" s="828" t="s">
        <v>902</v>
      </c>
      <c r="C15" s="786" t="s">
        <v>903</v>
      </c>
      <c r="D15" s="780"/>
      <c r="E15" s="780"/>
      <c r="F15" s="780"/>
      <c r="G15" s="780"/>
      <c r="H15" s="780"/>
      <c r="I15" s="780"/>
      <c r="J15" s="780"/>
      <c r="K15" s="780"/>
      <c r="L15" s="993"/>
      <c r="M15" s="780"/>
      <c r="N15" s="780">
        <v>28</v>
      </c>
      <c r="O15" s="993"/>
      <c r="P15" s="780">
        <v>-28</v>
      </c>
      <c r="Q15" s="780"/>
      <c r="R15" s="780"/>
      <c r="S15" s="780"/>
      <c r="T15" s="780"/>
      <c r="U15" s="780"/>
      <c r="V15" s="780"/>
      <c r="W15" s="784">
        <f t="shared" si="0"/>
        <v>0</v>
      </c>
      <c r="X15" s="995"/>
      <c r="Y15" s="780"/>
      <c r="Z15" s="780"/>
      <c r="AA15" s="993"/>
      <c r="AB15" s="993"/>
      <c r="AC15" s="993"/>
      <c r="AD15" s="1042"/>
      <c r="AE15" s="993"/>
      <c r="AF15" s="993"/>
      <c r="AG15" s="993"/>
      <c r="AH15" s="780"/>
      <c r="AI15" s="784">
        <f t="shared" si="1"/>
        <v>0</v>
      </c>
    </row>
    <row r="16" spans="1:40" ht="25.5" x14ac:dyDescent="0.2">
      <c r="A16" s="778">
        <v>18</v>
      </c>
      <c r="B16" s="828" t="s">
        <v>904</v>
      </c>
      <c r="C16" s="786" t="s">
        <v>905</v>
      </c>
      <c r="D16" s="791"/>
      <c r="E16" s="791"/>
      <c r="F16" s="780">
        <f>604+604</f>
        <v>1208</v>
      </c>
      <c r="G16" s="791"/>
      <c r="H16" s="791"/>
      <c r="I16" s="791"/>
      <c r="J16" s="791"/>
      <c r="K16" s="791"/>
      <c r="L16" s="791"/>
      <c r="M16" s="791"/>
      <c r="N16" s="791"/>
      <c r="O16" s="791"/>
      <c r="P16" s="780">
        <v>-1208</v>
      </c>
      <c r="Q16" s="780"/>
      <c r="R16" s="780"/>
      <c r="S16" s="780"/>
      <c r="T16" s="791"/>
      <c r="U16" s="791"/>
      <c r="V16" s="791"/>
      <c r="W16" s="784">
        <f t="shared" si="0"/>
        <v>0</v>
      </c>
      <c r="X16" s="995"/>
      <c r="Y16" s="791"/>
      <c r="Z16" s="791"/>
      <c r="AA16" s="791"/>
      <c r="AB16" s="791"/>
      <c r="AC16" s="791"/>
      <c r="AD16" s="802"/>
      <c r="AE16" s="791"/>
      <c r="AF16" s="791"/>
      <c r="AG16" s="996"/>
      <c r="AH16" s="996"/>
      <c r="AI16" s="784">
        <f t="shared" si="1"/>
        <v>0</v>
      </c>
    </row>
    <row r="17" spans="1:35" s="824" customFormat="1" ht="25.5" x14ac:dyDescent="0.25">
      <c r="A17" s="778">
        <v>19</v>
      </c>
      <c r="B17" s="828" t="s">
        <v>906</v>
      </c>
      <c r="C17" s="818" t="s">
        <v>907</v>
      </c>
      <c r="D17" s="829">
        <f>6057-1</f>
        <v>6056</v>
      </c>
      <c r="E17" s="829">
        <v>1339</v>
      </c>
      <c r="F17" s="994">
        <v>6470</v>
      </c>
      <c r="G17" s="829"/>
      <c r="H17" s="829"/>
      <c r="I17" s="829"/>
      <c r="J17" s="829">
        <v>8858</v>
      </c>
      <c r="K17" s="829"/>
      <c r="L17" s="829"/>
      <c r="M17" s="829"/>
      <c r="N17" s="829"/>
      <c r="O17" s="829"/>
      <c r="P17" s="994"/>
      <c r="Q17" s="994"/>
      <c r="R17" s="994"/>
      <c r="S17" s="994"/>
      <c r="T17" s="829"/>
      <c r="U17" s="829"/>
      <c r="V17" s="829"/>
      <c r="W17" s="830">
        <f t="shared" si="0"/>
        <v>22723</v>
      </c>
      <c r="X17" s="997"/>
      <c r="Y17" s="829"/>
      <c r="Z17" s="829"/>
      <c r="AA17" s="829"/>
      <c r="AB17" s="829"/>
      <c r="AC17" s="829"/>
      <c r="AD17" s="819"/>
      <c r="AE17" s="829">
        <v>22723</v>
      </c>
      <c r="AF17" s="829"/>
      <c r="AG17" s="998"/>
      <c r="AH17" s="998"/>
      <c r="AI17" s="830">
        <f t="shared" si="1"/>
        <v>22723</v>
      </c>
    </row>
    <row r="18" spans="1:35" s="773" customFormat="1" x14ac:dyDescent="0.2">
      <c r="A18" s="778">
        <v>20</v>
      </c>
      <c r="B18" s="828" t="s">
        <v>908</v>
      </c>
      <c r="C18" s="786" t="s">
        <v>909</v>
      </c>
      <c r="D18" s="780">
        <v>245</v>
      </c>
      <c r="E18" s="780">
        <v>19</v>
      </c>
      <c r="F18" s="780">
        <v>-264</v>
      </c>
      <c r="G18" s="780"/>
      <c r="H18" s="780"/>
      <c r="I18" s="780"/>
      <c r="J18" s="780"/>
      <c r="K18" s="780"/>
      <c r="L18" s="780"/>
      <c r="M18" s="993"/>
      <c r="N18" s="780"/>
      <c r="O18" s="993"/>
      <c r="P18" s="780"/>
      <c r="Q18" s="780"/>
      <c r="R18" s="780"/>
      <c r="S18" s="780"/>
      <c r="T18" s="780"/>
      <c r="U18" s="993"/>
      <c r="V18" s="993"/>
      <c r="W18" s="784">
        <f t="shared" si="0"/>
        <v>0</v>
      </c>
      <c r="X18" s="995"/>
      <c r="Y18" s="780"/>
      <c r="Z18" s="780"/>
      <c r="AA18" s="993"/>
      <c r="AB18" s="993"/>
      <c r="AC18" s="993"/>
      <c r="AD18" s="993"/>
      <c r="AE18" s="780"/>
      <c r="AF18" s="993"/>
      <c r="AG18" s="993"/>
      <c r="AH18" s="993"/>
      <c r="AI18" s="784">
        <f t="shared" si="1"/>
        <v>0</v>
      </c>
    </row>
    <row r="19" spans="1:35" s="773" customFormat="1" x14ac:dyDescent="0.2">
      <c r="A19" s="778">
        <v>21</v>
      </c>
      <c r="B19" s="828" t="s">
        <v>910</v>
      </c>
      <c r="C19" s="786" t="s">
        <v>911</v>
      </c>
      <c r="D19" s="780"/>
      <c r="E19" s="780"/>
      <c r="F19" s="780">
        <v>45</v>
      </c>
      <c r="G19" s="780"/>
      <c r="H19" s="780"/>
      <c r="I19" s="780"/>
      <c r="J19" s="780"/>
      <c r="K19" s="780"/>
      <c r="L19" s="780"/>
      <c r="M19" s="993"/>
      <c r="N19" s="780"/>
      <c r="O19" s="993"/>
      <c r="P19" s="780">
        <v>-45</v>
      </c>
      <c r="Q19" s="780"/>
      <c r="R19" s="780"/>
      <c r="S19" s="780"/>
      <c r="T19" s="780"/>
      <c r="U19" s="780"/>
      <c r="V19" s="780"/>
      <c r="W19" s="784">
        <f t="shared" si="0"/>
        <v>0</v>
      </c>
      <c r="X19" s="995"/>
      <c r="Y19" s="780"/>
      <c r="Z19" s="780"/>
      <c r="AA19" s="993"/>
      <c r="AB19" s="993"/>
      <c r="AC19" s="993"/>
      <c r="AD19" s="993"/>
      <c r="AE19" s="780"/>
      <c r="AF19" s="993"/>
      <c r="AG19" s="993"/>
      <c r="AH19" s="993"/>
      <c r="AI19" s="784">
        <f t="shared" si="1"/>
        <v>0</v>
      </c>
    </row>
    <row r="20" spans="1:35" s="773" customFormat="1" ht="28.5" customHeight="1" x14ac:dyDescent="0.2">
      <c r="A20" s="778">
        <v>22</v>
      </c>
      <c r="B20" s="828" t="s">
        <v>912</v>
      </c>
      <c r="C20" s="786" t="s">
        <v>913</v>
      </c>
      <c r="D20" s="780"/>
      <c r="E20" s="780"/>
      <c r="F20" s="780">
        <v>25</v>
      </c>
      <c r="G20" s="780"/>
      <c r="H20" s="780"/>
      <c r="I20" s="780"/>
      <c r="J20" s="780">
        <v>-25</v>
      </c>
      <c r="K20" s="780"/>
      <c r="L20" s="780"/>
      <c r="M20" s="993"/>
      <c r="N20" s="780"/>
      <c r="O20" s="993"/>
      <c r="P20" s="780"/>
      <c r="Q20" s="780"/>
      <c r="R20" s="780"/>
      <c r="S20" s="780"/>
      <c r="T20" s="780"/>
      <c r="U20" s="780"/>
      <c r="V20" s="780"/>
      <c r="W20" s="784">
        <f t="shared" si="0"/>
        <v>0</v>
      </c>
      <c r="X20" s="995"/>
      <c r="Y20" s="780"/>
      <c r="Z20" s="780"/>
      <c r="AA20" s="993"/>
      <c r="AB20" s="993"/>
      <c r="AC20" s="993"/>
      <c r="AD20" s="993"/>
      <c r="AE20" s="780"/>
      <c r="AF20" s="993"/>
      <c r="AG20" s="993"/>
      <c r="AH20" s="993"/>
      <c r="AI20" s="784">
        <f t="shared" si="1"/>
        <v>0</v>
      </c>
    </row>
    <row r="21" spans="1:35" s="773" customFormat="1" x14ac:dyDescent="0.2">
      <c r="A21" s="778">
        <v>23</v>
      </c>
      <c r="B21" s="828" t="s">
        <v>912</v>
      </c>
      <c r="C21" s="786" t="s">
        <v>914</v>
      </c>
      <c r="D21" s="780"/>
      <c r="E21" s="780"/>
      <c r="F21" s="780"/>
      <c r="G21" s="780"/>
      <c r="H21" s="780"/>
      <c r="I21" s="780">
        <v>100</v>
      </c>
      <c r="J21" s="780"/>
      <c r="K21" s="780"/>
      <c r="L21" s="780"/>
      <c r="M21" s="993"/>
      <c r="N21" s="780"/>
      <c r="O21" s="993"/>
      <c r="P21" s="780">
        <v>-100</v>
      </c>
      <c r="Q21" s="780"/>
      <c r="R21" s="780"/>
      <c r="S21" s="780"/>
      <c r="T21" s="780"/>
      <c r="U21" s="780"/>
      <c r="V21" s="780"/>
      <c r="W21" s="784">
        <f t="shared" si="0"/>
        <v>0</v>
      </c>
      <c r="X21" s="995"/>
      <c r="Y21" s="780"/>
      <c r="Z21" s="780"/>
      <c r="AA21" s="993"/>
      <c r="AB21" s="993"/>
      <c r="AC21" s="993"/>
      <c r="AD21" s="993"/>
      <c r="AE21" s="780"/>
      <c r="AF21" s="993"/>
      <c r="AG21" s="993"/>
      <c r="AH21" s="993"/>
      <c r="AI21" s="784">
        <f t="shared" si="1"/>
        <v>0</v>
      </c>
    </row>
    <row r="22" spans="1:35" s="773" customFormat="1" ht="25.5" x14ac:dyDescent="0.2">
      <c r="A22" s="778">
        <v>24</v>
      </c>
      <c r="B22" s="828" t="s">
        <v>915</v>
      </c>
      <c r="C22" s="786" t="s">
        <v>916</v>
      </c>
      <c r="D22" s="780"/>
      <c r="E22" s="780"/>
      <c r="F22" s="780">
        <v>203</v>
      </c>
      <c r="G22" s="780"/>
      <c r="H22" s="780"/>
      <c r="I22" s="780"/>
      <c r="J22" s="780">
        <v>-203</v>
      </c>
      <c r="K22" s="780"/>
      <c r="L22" s="780"/>
      <c r="M22" s="993"/>
      <c r="N22" s="780"/>
      <c r="O22" s="993"/>
      <c r="P22" s="780"/>
      <c r="Q22" s="780"/>
      <c r="R22" s="780"/>
      <c r="S22" s="780"/>
      <c r="T22" s="780"/>
      <c r="U22" s="780"/>
      <c r="V22" s="780"/>
      <c r="W22" s="784">
        <f t="shared" si="0"/>
        <v>0</v>
      </c>
      <c r="X22" s="995"/>
      <c r="Y22" s="780"/>
      <c r="Z22" s="780"/>
      <c r="AA22" s="993"/>
      <c r="AB22" s="993"/>
      <c r="AC22" s="993"/>
      <c r="AD22" s="993"/>
      <c r="AE22" s="780"/>
      <c r="AF22" s="993"/>
      <c r="AG22" s="993"/>
      <c r="AH22" s="993"/>
      <c r="AI22" s="784">
        <f t="shared" si="1"/>
        <v>0</v>
      </c>
    </row>
    <row r="23" spans="1:35" s="773" customFormat="1" ht="25.5" x14ac:dyDescent="0.2">
      <c r="A23" s="778">
        <v>25</v>
      </c>
      <c r="B23" s="828" t="s">
        <v>890</v>
      </c>
      <c r="C23" s="786" t="s">
        <v>918</v>
      </c>
      <c r="D23" s="780"/>
      <c r="E23" s="780"/>
      <c r="F23" s="780">
        <f>-127-127</f>
        <v>-254</v>
      </c>
      <c r="G23" s="780"/>
      <c r="H23" s="780"/>
      <c r="I23" s="780"/>
      <c r="J23" s="780">
        <f>-2858+3112</f>
        <v>254</v>
      </c>
      <c r="K23" s="780"/>
      <c r="L23" s="780"/>
      <c r="M23" s="993"/>
      <c r="N23" s="780"/>
      <c r="O23" s="993"/>
      <c r="P23" s="780"/>
      <c r="Q23" s="780"/>
      <c r="R23" s="780"/>
      <c r="S23" s="780"/>
      <c r="T23" s="780"/>
      <c r="U23" s="780"/>
      <c r="V23" s="780"/>
      <c r="W23" s="784">
        <f t="shared" si="0"/>
        <v>0</v>
      </c>
      <c r="X23" s="995"/>
      <c r="Y23" s="780"/>
      <c r="Z23" s="780"/>
      <c r="AA23" s="993"/>
      <c r="AB23" s="993"/>
      <c r="AC23" s="993"/>
      <c r="AD23" s="993"/>
      <c r="AE23" s="780"/>
      <c r="AF23" s="993"/>
      <c r="AG23" s="993"/>
      <c r="AH23" s="993"/>
      <c r="AI23" s="784">
        <f t="shared" si="1"/>
        <v>0</v>
      </c>
    </row>
    <row r="24" spans="1:35" s="773" customFormat="1" x14ac:dyDescent="0.2">
      <c r="A24" s="778">
        <v>26</v>
      </c>
      <c r="B24" s="828" t="s">
        <v>919</v>
      </c>
      <c r="C24" s="786" t="s">
        <v>921</v>
      </c>
      <c r="D24" s="780"/>
      <c r="E24" s="780"/>
      <c r="F24" s="780"/>
      <c r="G24" s="780"/>
      <c r="H24" s="780">
        <v>9698</v>
      </c>
      <c r="I24" s="780"/>
      <c r="J24" s="780"/>
      <c r="K24" s="780"/>
      <c r="L24" s="780"/>
      <c r="M24" s="993"/>
      <c r="N24" s="780"/>
      <c r="O24" s="993"/>
      <c r="P24" s="780"/>
      <c r="Q24" s="780"/>
      <c r="R24" s="780"/>
      <c r="S24" s="780"/>
      <c r="T24" s="780"/>
      <c r="U24" s="780"/>
      <c r="V24" s="780"/>
      <c r="W24" s="784">
        <f t="shared" si="0"/>
        <v>9698</v>
      </c>
      <c r="X24" s="995"/>
      <c r="Y24" s="780"/>
      <c r="Z24" s="780">
        <v>9698</v>
      </c>
      <c r="AA24" s="993"/>
      <c r="AB24" s="993"/>
      <c r="AC24" s="993"/>
      <c r="AD24" s="780"/>
      <c r="AE24" s="780"/>
      <c r="AF24" s="993"/>
      <c r="AG24" s="993"/>
      <c r="AH24" s="993"/>
      <c r="AI24" s="784">
        <f t="shared" si="1"/>
        <v>9698</v>
      </c>
    </row>
    <row r="25" spans="1:35" s="773" customFormat="1" x14ac:dyDescent="0.2">
      <c r="A25" s="778"/>
      <c r="B25" s="828"/>
      <c r="C25" s="786"/>
      <c r="D25" s="780"/>
      <c r="E25" s="780"/>
      <c r="F25" s="780"/>
      <c r="G25" s="780"/>
      <c r="H25" s="780"/>
      <c r="I25" s="780"/>
      <c r="J25" s="780"/>
      <c r="K25" s="780"/>
      <c r="L25" s="780"/>
      <c r="M25" s="993"/>
      <c r="N25" s="780"/>
      <c r="O25" s="993"/>
      <c r="P25" s="780"/>
      <c r="Q25" s="780"/>
      <c r="R25" s="780"/>
      <c r="S25" s="780"/>
      <c r="T25" s="780"/>
      <c r="U25" s="780"/>
      <c r="V25" s="780"/>
      <c r="W25" s="784">
        <f t="shared" si="0"/>
        <v>0</v>
      </c>
      <c r="X25" s="995"/>
      <c r="Y25" s="780"/>
      <c r="Z25" s="780"/>
      <c r="AA25" s="993"/>
      <c r="AB25" s="780"/>
      <c r="AC25" s="993"/>
      <c r="AD25" s="993"/>
      <c r="AE25" s="993"/>
      <c r="AF25" s="993"/>
      <c r="AG25" s="993"/>
      <c r="AH25" s="993"/>
      <c r="AI25" s="784">
        <f t="shared" si="1"/>
        <v>0</v>
      </c>
    </row>
    <row r="26" spans="1:35" s="773" customFormat="1" x14ac:dyDescent="0.2">
      <c r="A26" s="778"/>
      <c r="B26" s="828"/>
      <c r="C26" s="786"/>
      <c r="D26" s="780"/>
      <c r="E26" s="780"/>
      <c r="F26" s="780"/>
      <c r="G26" s="780"/>
      <c r="H26" s="780"/>
      <c r="I26" s="780"/>
      <c r="J26" s="780"/>
      <c r="K26" s="780"/>
      <c r="L26" s="780"/>
      <c r="M26" s="993"/>
      <c r="N26" s="780"/>
      <c r="O26" s="993"/>
      <c r="P26" s="780"/>
      <c r="Q26" s="780"/>
      <c r="R26" s="780"/>
      <c r="S26" s="780"/>
      <c r="T26" s="780"/>
      <c r="U26" s="780"/>
      <c r="V26" s="780"/>
      <c r="W26" s="784">
        <f t="shared" si="0"/>
        <v>0</v>
      </c>
      <c r="X26" s="995"/>
      <c r="Y26" s="780"/>
      <c r="Z26" s="780"/>
      <c r="AA26" s="993"/>
      <c r="AB26" s="993"/>
      <c r="AC26" s="780"/>
      <c r="AD26" s="780"/>
      <c r="AE26" s="993"/>
      <c r="AF26" s="993"/>
      <c r="AG26" s="993"/>
      <c r="AH26" s="993"/>
      <c r="AI26" s="784">
        <f t="shared" si="1"/>
        <v>0</v>
      </c>
    </row>
    <row r="27" spans="1:35" s="773" customFormat="1" x14ac:dyDescent="0.2">
      <c r="A27" s="778"/>
      <c r="B27" s="828"/>
      <c r="C27" s="786"/>
      <c r="D27" s="780"/>
      <c r="E27" s="780"/>
      <c r="F27" s="780"/>
      <c r="G27" s="780"/>
      <c r="H27" s="780"/>
      <c r="I27" s="780"/>
      <c r="J27" s="780"/>
      <c r="K27" s="780"/>
      <c r="L27" s="780"/>
      <c r="M27" s="993"/>
      <c r="N27" s="780"/>
      <c r="O27" s="993"/>
      <c r="P27" s="780"/>
      <c r="Q27" s="780"/>
      <c r="R27" s="780"/>
      <c r="S27" s="780"/>
      <c r="T27" s="780"/>
      <c r="U27" s="780"/>
      <c r="V27" s="780"/>
      <c r="W27" s="784">
        <f t="shared" si="0"/>
        <v>0</v>
      </c>
      <c r="X27" s="995"/>
      <c r="Y27" s="780"/>
      <c r="Z27" s="780"/>
      <c r="AA27" s="780"/>
      <c r="AB27" s="993"/>
      <c r="AC27" s="780"/>
      <c r="AD27" s="780"/>
      <c r="AE27" s="993"/>
      <c r="AF27" s="993"/>
      <c r="AG27" s="993"/>
      <c r="AH27" s="993"/>
      <c r="AI27" s="784">
        <f t="shared" si="1"/>
        <v>0</v>
      </c>
    </row>
    <row r="28" spans="1:35" s="773" customFormat="1" x14ac:dyDescent="0.2">
      <c r="A28" s="778"/>
      <c r="B28" s="828"/>
      <c r="C28" s="786"/>
      <c r="D28" s="780"/>
      <c r="E28" s="780"/>
      <c r="F28" s="780"/>
      <c r="G28" s="780"/>
      <c r="H28" s="780"/>
      <c r="I28" s="780"/>
      <c r="J28" s="780"/>
      <c r="K28" s="780"/>
      <c r="L28" s="780"/>
      <c r="M28" s="993"/>
      <c r="N28" s="780"/>
      <c r="O28" s="993"/>
      <c r="P28" s="780"/>
      <c r="Q28" s="780"/>
      <c r="R28" s="780"/>
      <c r="S28" s="780"/>
      <c r="T28" s="780"/>
      <c r="U28" s="780"/>
      <c r="V28" s="780"/>
      <c r="W28" s="784">
        <f t="shared" si="0"/>
        <v>0</v>
      </c>
      <c r="X28" s="995"/>
      <c r="Y28" s="780"/>
      <c r="Z28" s="780"/>
      <c r="AA28" s="780"/>
      <c r="AB28" s="993"/>
      <c r="AC28" s="993"/>
      <c r="AD28" s="993"/>
      <c r="AE28" s="993"/>
      <c r="AF28" s="993"/>
      <c r="AG28" s="993"/>
      <c r="AH28" s="993"/>
      <c r="AI28" s="784">
        <f t="shared" si="1"/>
        <v>0</v>
      </c>
    </row>
    <row r="29" spans="1:35" s="773" customFormat="1" x14ac:dyDescent="0.2">
      <c r="A29" s="778"/>
      <c r="B29" s="828"/>
      <c r="C29" s="786"/>
      <c r="D29" s="780"/>
      <c r="E29" s="780"/>
      <c r="F29" s="780"/>
      <c r="G29" s="780"/>
      <c r="H29" s="780"/>
      <c r="I29" s="780"/>
      <c r="J29" s="780"/>
      <c r="K29" s="780"/>
      <c r="L29" s="780"/>
      <c r="M29" s="993"/>
      <c r="N29" s="780"/>
      <c r="O29" s="993"/>
      <c r="P29" s="780"/>
      <c r="Q29" s="780"/>
      <c r="R29" s="780"/>
      <c r="S29" s="780"/>
      <c r="T29" s="780"/>
      <c r="U29" s="780"/>
      <c r="V29" s="780"/>
      <c r="W29" s="784">
        <f t="shared" si="0"/>
        <v>0</v>
      </c>
      <c r="X29" s="995"/>
      <c r="Y29" s="780"/>
      <c r="Z29" s="780"/>
      <c r="AA29" s="993"/>
      <c r="AB29" s="780"/>
      <c r="AC29" s="993"/>
      <c r="AD29" s="993"/>
      <c r="AE29" s="993"/>
      <c r="AF29" s="993"/>
      <c r="AG29" s="993"/>
      <c r="AH29" s="993"/>
      <c r="AI29" s="784">
        <f t="shared" si="1"/>
        <v>0</v>
      </c>
    </row>
    <row r="30" spans="1:35" s="773" customFormat="1" hidden="1" x14ac:dyDescent="0.2">
      <c r="A30" s="778">
        <v>32</v>
      </c>
      <c r="B30" s="828"/>
      <c r="C30" s="786"/>
      <c r="D30" s="779"/>
      <c r="E30" s="782"/>
      <c r="F30" s="782"/>
      <c r="G30" s="782"/>
      <c r="H30" s="782"/>
      <c r="I30" s="782"/>
      <c r="J30" s="782"/>
      <c r="K30" s="780"/>
      <c r="L30" s="782"/>
      <c r="M30" s="783"/>
      <c r="N30" s="782"/>
      <c r="O30" s="783"/>
      <c r="P30" s="782"/>
      <c r="Q30" s="782"/>
      <c r="R30" s="782"/>
      <c r="S30" s="782"/>
      <c r="T30" s="782"/>
      <c r="U30" s="782"/>
      <c r="V30" s="782"/>
      <c r="W30" s="784">
        <f t="shared" si="0"/>
        <v>0</v>
      </c>
      <c r="X30" s="990"/>
      <c r="Y30" s="787"/>
      <c r="Z30" s="787"/>
      <c r="AA30" s="788"/>
      <c r="AB30" s="788"/>
      <c r="AC30" s="788"/>
      <c r="AD30" s="788"/>
      <c r="AE30" s="788"/>
      <c r="AF30" s="788"/>
      <c r="AG30" s="788"/>
      <c r="AH30" s="788"/>
      <c r="AI30" s="784">
        <f t="shared" si="1"/>
        <v>0</v>
      </c>
    </row>
    <row r="31" spans="1:35" s="773" customFormat="1" hidden="1" x14ac:dyDescent="0.2">
      <c r="A31" s="778">
        <v>33</v>
      </c>
      <c r="B31" s="828"/>
      <c r="C31" s="786"/>
      <c r="D31" s="779"/>
      <c r="E31" s="782"/>
      <c r="F31" s="782"/>
      <c r="G31" s="782"/>
      <c r="H31" s="782"/>
      <c r="I31" s="782"/>
      <c r="J31" s="782"/>
      <c r="K31" s="780"/>
      <c r="L31" s="782"/>
      <c r="M31" s="783"/>
      <c r="N31" s="782"/>
      <c r="O31" s="783"/>
      <c r="P31" s="782"/>
      <c r="Q31" s="782"/>
      <c r="R31" s="782"/>
      <c r="S31" s="782"/>
      <c r="T31" s="782"/>
      <c r="U31" s="782"/>
      <c r="V31" s="782"/>
      <c r="W31" s="784">
        <f t="shared" si="0"/>
        <v>0</v>
      </c>
      <c r="X31" s="990"/>
      <c r="Y31" s="787"/>
      <c r="Z31" s="787"/>
      <c r="AA31" s="788"/>
      <c r="AB31" s="788"/>
      <c r="AC31" s="788"/>
      <c r="AD31" s="788"/>
      <c r="AE31" s="788"/>
      <c r="AF31" s="788"/>
      <c r="AG31" s="788"/>
      <c r="AH31" s="788"/>
      <c r="AI31" s="784">
        <f t="shared" si="1"/>
        <v>0</v>
      </c>
    </row>
    <row r="32" spans="1:35" s="773" customFormat="1" hidden="1" x14ac:dyDescent="0.2">
      <c r="A32" s="778">
        <v>34</v>
      </c>
      <c r="B32" s="828"/>
      <c r="C32" s="786"/>
      <c r="D32" s="779"/>
      <c r="E32" s="782"/>
      <c r="F32" s="782"/>
      <c r="G32" s="782"/>
      <c r="H32" s="782"/>
      <c r="I32" s="782"/>
      <c r="J32" s="782"/>
      <c r="K32" s="780"/>
      <c r="L32" s="782"/>
      <c r="M32" s="783"/>
      <c r="N32" s="782"/>
      <c r="O32" s="783"/>
      <c r="P32" s="782"/>
      <c r="Q32" s="782"/>
      <c r="R32" s="782"/>
      <c r="S32" s="782"/>
      <c r="T32" s="782"/>
      <c r="U32" s="782"/>
      <c r="V32" s="782"/>
      <c r="W32" s="784">
        <f t="shared" si="0"/>
        <v>0</v>
      </c>
      <c r="X32" s="990"/>
      <c r="Y32" s="787"/>
      <c r="Z32" s="787"/>
      <c r="AA32" s="788"/>
      <c r="AB32" s="788"/>
      <c r="AC32" s="788"/>
      <c r="AD32" s="788"/>
      <c r="AE32" s="788"/>
      <c r="AF32" s="788"/>
      <c r="AG32" s="788"/>
      <c r="AH32" s="788"/>
      <c r="AI32" s="784">
        <f t="shared" si="1"/>
        <v>0</v>
      </c>
    </row>
    <row r="33" spans="1:35" s="773" customFormat="1" hidden="1" x14ac:dyDescent="0.2">
      <c r="A33" s="778">
        <v>35</v>
      </c>
      <c r="B33" s="828"/>
      <c r="C33" s="786"/>
      <c r="D33" s="779"/>
      <c r="E33" s="782"/>
      <c r="F33" s="782"/>
      <c r="G33" s="782"/>
      <c r="H33" s="782"/>
      <c r="I33" s="782"/>
      <c r="J33" s="782"/>
      <c r="K33" s="780"/>
      <c r="L33" s="782"/>
      <c r="M33" s="783"/>
      <c r="N33" s="782"/>
      <c r="O33" s="782"/>
      <c r="P33" s="782"/>
      <c r="Q33" s="782"/>
      <c r="R33" s="782"/>
      <c r="S33" s="782"/>
      <c r="T33" s="782"/>
      <c r="U33" s="782"/>
      <c r="V33" s="782"/>
      <c r="W33" s="784">
        <f t="shared" si="0"/>
        <v>0</v>
      </c>
      <c r="X33" s="990"/>
      <c r="Y33" s="787"/>
      <c r="Z33" s="787"/>
      <c r="AA33" s="788"/>
      <c r="AB33" s="788"/>
      <c r="AC33" s="788"/>
      <c r="AD33" s="788"/>
      <c r="AE33" s="788"/>
      <c r="AF33" s="788"/>
      <c r="AG33" s="788"/>
      <c r="AH33" s="788"/>
      <c r="AI33" s="784">
        <f t="shared" si="1"/>
        <v>0</v>
      </c>
    </row>
    <row r="34" spans="1:35" s="773" customFormat="1" hidden="1" x14ac:dyDescent="0.2">
      <c r="A34" s="778">
        <v>36</v>
      </c>
      <c r="B34" s="828"/>
      <c r="C34" s="786"/>
      <c r="D34" s="779"/>
      <c r="E34" s="782"/>
      <c r="F34" s="782"/>
      <c r="G34" s="782"/>
      <c r="H34" s="782"/>
      <c r="I34" s="782"/>
      <c r="J34" s="782"/>
      <c r="K34" s="780"/>
      <c r="L34" s="782"/>
      <c r="M34" s="783"/>
      <c r="N34" s="782"/>
      <c r="O34" s="783"/>
      <c r="P34" s="782"/>
      <c r="Q34" s="782"/>
      <c r="R34" s="782"/>
      <c r="S34" s="782"/>
      <c r="T34" s="782"/>
      <c r="U34" s="782"/>
      <c r="V34" s="782"/>
      <c r="W34" s="784">
        <f t="shared" si="0"/>
        <v>0</v>
      </c>
      <c r="X34" s="990"/>
      <c r="Y34" s="787"/>
      <c r="Z34" s="787"/>
      <c r="AA34" s="788"/>
      <c r="AB34" s="788"/>
      <c r="AC34" s="788"/>
      <c r="AD34" s="788"/>
      <c r="AE34" s="788"/>
      <c r="AF34" s="788"/>
      <c r="AG34" s="788"/>
      <c r="AH34" s="788"/>
      <c r="AI34" s="784">
        <f t="shared" si="1"/>
        <v>0</v>
      </c>
    </row>
    <row r="35" spans="1:35" s="773" customFormat="1" hidden="1" x14ac:dyDescent="0.2">
      <c r="A35" s="778">
        <v>37</v>
      </c>
      <c r="B35" s="828"/>
      <c r="C35" s="786"/>
      <c r="D35" s="779"/>
      <c r="E35" s="782"/>
      <c r="F35" s="782"/>
      <c r="G35" s="782"/>
      <c r="H35" s="782"/>
      <c r="I35" s="782"/>
      <c r="J35" s="782"/>
      <c r="K35" s="780"/>
      <c r="L35" s="782"/>
      <c r="M35" s="783"/>
      <c r="N35" s="782"/>
      <c r="O35" s="783"/>
      <c r="P35" s="782"/>
      <c r="Q35" s="782"/>
      <c r="R35" s="782"/>
      <c r="S35" s="782"/>
      <c r="T35" s="782"/>
      <c r="U35" s="782"/>
      <c r="V35" s="782"/>
      <c r="W35" s="784">
        <f t="shared" si="0"/>
        <v>0</v>
      </c>
      <c r="X35" s="990"/>
      <c r="Y35" s="787"/>
      <c r="Z35" s="787"/>
      <c r="AA35" s="788"/>
      <c r="AB35" s="788"/>
      <c r="AC35" s="788"/>
      <c r="AD35" s="788"/>
      <c r="AE35" s="788"/>
      <c r="AF35" s="788"/>
      <c r="AG35" s="788"/>
      <c r="AH35" s="788"/>
      <c r="AI35" s="784">
        <f t="shared" si="1"/>
        <v>0</v>
      </c>
    </row>
    <row r="36" spans="1:35" s="773" customFormat="1" hidden="1" x14ac:dyDescent="0.2">
      <c r="A36" s="778">
        <v>38</v>
      </c>
      <c r="B36" s="828"/>
      <c r="C36" s="786"/>
      <c r="D36" s="779"/>
      <c r="E36" s="782"/>
      <c r="F36" s="782"/>
      <c r="G36" s="782"/>
      <c r="H36" s="782"/>
      <c r="I36" s="782"/>
      <c r="J36" s="782"/>
      <c r="K36" s="780"/>
      <c r="L36" s="782"/>
      <c r="M36" s="783"/>
      <c r="N36" s="782"/>
      <c r="O36" s="783"/>
      <c r="P36" s="782"/>
      <c r="Q36" s="782"/>
      <c r="R36" s="782"/>
      <c r="S36" s="782"/>
      <c r="T36" s="782"/>
      <c r="U36" s="782"/>
      <c r="V36" s="782"/>
      <c r="W36" s="784">
        <f t="shared" si="0"/>
        <v>0</v>
      </c>
      <c r="X36" s="990"/>
      <c r="Y36" s="787"/>
      <c r="Z36" s="787"/>
      <c r="AA36" s="788"/>
      <c r="AB36" s="788"/>
      <c r="AC36" s="788"/>
      <c r="AD36" s="788"/>
      <c r="AE36" s="788"/>
      <c r="AF36" s="788"/>
      <c r="AG36" s="788"/>
      <c r="AH36" s="788"/>
      <c r="AI36" s="784">
        <f t="shared" si="1"/>
        <v>0</v>
      </c>
    </row>
    <row r="37" spans="1:35" s="773" customFormat="1" hidden="1" x14ac:dyDescent="0.2">
      <c r="A37" s="778">
        <v>39</v>
      </c>
      <c r="B37" s="828"/>
      <c r="C37" s="786"/>
      <c r="D37" s="779"/>
      <c r="E37" s="782"/>
      <c r="F37" s="782"/>
      <c r="G37" s="782"/>
      <c r="H37" s="782"/>
      <c r="I37" s="782"/>
      <c r="J37" s="782"/>
      <c r="K37" s="780"/>
      <c r="L37" s="782"/>
      <c r="M37" s="783"/>
      <c r="N37" s="782"/>
      <c r="O37" s="783"/>
      <c r="P37" s="782"/>
      <c r="Q37" s="782"/>
      <c r="R37" s="782"/>
      <c r="S37" s="782"/>
      <c r="T37" s="782"/>
      <c r="U37" s="782"/>
      <c r="V37" s="782"/>
      <c r="W37" s="784">
        <f t="shared" si="0"/>
        <v>0</v>
      </c>
      <c r="X37" s="990"/>
      <c r="Y37" s="787"/>
      <c r="Z37" s="787"/>
      <c r="AA37" s="788"/>
      <c r="AB37" s="788"/>
      <c r="AC37" s="788"/>
      <c r="AD37" s="788"/>
      <c r="AE37" s="788"/>
      <c r="AF37" s="788"/>
      <c r="AG37" s="788"/>
      <c r="AH37" s="788"/>
      <c r="AI37" s="784">
        <f t="shared" si="1"/>
        <v>0</v>
      </c>
    </row>
    <row r="38" spans="1:35" hidden="1" x14ac:dyDescent="0.2">
      <c r="A38" s="778">
        <v>40</v>
      </c>
      <c r="B38" s="828"/>
      <c r="C38" s="785"/>
      <c r="D38" s="789"/>
      <c r="E38" s="790"/>
      <c r="F38" s="782"/>
      <c r="G38" s="790"/>
      <c r="H38" s="790"/>
      <c r="I38" s="790"/>
      <c r="J38" s="782"/>
      <c r="K38" s="791"/>
      <c r="L38" s="790"/>
      <c r="M38" s="790"/>
      <c r="N38" s="790"/>
      <c r="O38" s="790"/>
      <c r="P38" s="782"/>
      <c r="Q38" s="782"/>
      <c r="R38" s="782"/>
      <c r="S38" s="782"/>
      <c r="T38" s="790"/>
      <c r="U38" s="790"/>
      <c r="V38" s="790"/>
      <c r="W38" s="784">
        <f t="shared" si="0"/>
        <v>0</v>
      </c>
      <c r="X38" s="990"/>
      <c r="Y38" s="790"/>
      <c r="Z38" s="790"/>
      <c r="AA38" s="790"/>
      <c r="AB38" s="790"/>
      <c r="AC38" s="790"/>
      <c r="AD38" s="790"/>
      <c r="AE38" s="790"/>
      <c r="AF38" s="790"/>
      <c r="AG38" s="793"/>
      <c r="AH38" s="793"/>
      <c r="AI38" s="784">
        <f t="shared" si="1"/>
        <v>0</v>
      </c>
    </row>
    <row r="39" spans="1:35" hidden="1" x14ac:dyDescent="0.2">
      <c r="A39" s="778">
        <v>41</v>
      </c>
      <c r="B39" s="828"/>
      <c r="C39" s="785"/>
      <c r="D39" s="789"/>
      <c r="E39" s="790"/>
      <c r="F39" s="782"/>
      <c r="G39" s="790"/>
      <c r="H39" s="790"/>
      <c r="I39" s="790"/>
      <c r="J39" s="790"/>
      <c r="K39" s="791"/>
      <c r="L39" s="790"/>
      <c r="M39" s="790"/>
      <c r="N39" s="790"/>
      <c r="O39" s="794"/>
      <c r="P39" s="782"/>
      <c r="Q39" s="783"/>
      <c r="R39" s="782"/>
      <c r="S39" s="782"/>
      <c r="T39" s="790"/>
      <c r="U39" s="790"/>
      <c r="V39" s="790"/>
      <c r="W39" s="784">
        <f t="shared" si="0"/>
        <v>0</v>
      </c>
      <c r="X39" s="990"/>
      <c r="Y39" s="790"/>
      <c r="Z39" s="790"/>
      <c r="AA39" s="790"/>
      <c r="AB39" s="790"/>
      <c r="AC39" s="790"/>
      <c r="AD39" s="790"/>
      <c r="AE39" s="790"/>
      <c r="AF39" s="790"/>
      <c r="AG39" s="792"/>
      <c r="AH39" s="792"/>
      <c r="AI39" s="784">
        <f t="shared" si="1"/>
        <v>0</v>
      </c>
    </row>
    <row r="40" spans="1:35" hidden="1" x14ac:dyDescent="0.2">
      <c r="A40" s="778">
        <v>42</v>
      </c>
      <c r="B40" s="828"/>
      <c r="C40" s="785"/>
      <c r="D40" s="795"/>
      <c r="E40" s="795"/>
      <c r="F40" s="781"/>
      <c r="G40" s="795"/>
      <c r="H40" s="795"/>
      <c r="I40" s="795"/>
      <c r="J40" s="795"/>
      <c r="K40" s="796"/>
      <c r="L40" s="795"/>
      <c r="M40" s="795"/>
      <c r="N40" s="795"/>
      <c r="O40" s="795"/>
      <c r="P40" s="781"/>
      <c r="Q40" s="781"/>
      <c r="R40" s="781"/>
      <c r="S40" s="781"/>
      <c r="T40" s="795"/>
      <c r="U40" s="795"/>
      <c r="V40" s="795"/>
      <c r="W40" s="784">
        <f t="shared" si="0"/>
        <v>0</v>
      </c>
      <c r="X40" s="990"/>
      <c r="Y40" s="795"/>
      <c r="Z40" s="795"/>
      <c r="AA40" s="795"/>
      <c r="AB40" s="795"/>
      <c r="AC40" s="795"/>
      <c r="AD40" s="795"/>
      <c r="AE40" s="795"/>
      <c r="AF40" s="795"/>
      <c r="AG40" s="795"/>
      <c r="AH40" s="795"/>
      <c r="AI40" s="784">
        <f t="shared" si="1"/>
        <v>0</v>
      </c>
    </row>
    <row r="41" spans="1:35" hidden="1" x14ac:dyDescent="0.2">
      <c r="A41" s="778">
        <v>43</v>
      </c>
      <c r="B41" s="828"/>
      <c r="C41" s="785"/>
      <c r="D41" s="795"/>
      <c r="E41" s="795"/>
      <c r="F41" s="781"/>
      <c r="G41" s="795"/>
      <c r="H41" s="795"/>
      <c r="I41" s="795"/>
      <c r="J41" s="795"/>
      <c r="K41" s="796"/>
      <c r="L41" s="795"/>
      <c r="M41" s="795"/>
      <c r="N41" s="795"/>
      <c r="O41" s="795"/>
      <c r="P41" s="781"/>
      <c r="Q41" s="781"/>
      <c r="R41" s="781"/>
      <c r="S41" s="781"/>
      <c r="T41" s="795"/>
      <c r="U41" s="795"/>
      <c r="V41" s="795"/>
      <c r="W41" s="784">
        <f t="shared" si="0"/>
        <v>0</v>
      </c>
      <c r="X41" s="990"/>
      <c r="Y41" s="795"/>
      <c r="Z41" s="795"/>
      <c r="AA41" s="795"/>
      <c r="AB41" s="795"/>
      <c r="AC41" s="795"/>
      <c r="AD41" s="795"/>
      <c r="AE41" s="795"/>
      <c r="AF41" s="795"/>
      <c r="AG41" s="795"/>
      <c r="AH41" s="795"/>
      <c r="AI41" s="784">
        <f t="shared" si="1"/>
        <v>0</v>
      </c>
    </row>
    <row r="42" spans="1:35" hidden="1" x14ac:dyDescent="0.2">
      <c r="A42" s="778">
        <v>44</v>
      </c>
      <c r="B42" s="828"/>
      <c r="C42" s="785"/>
      <c r="D42" s="795"/>
      <c r="E42" s="795"/>
      <c r="F42" s="781"/>
      <c r="G42" s="795"/>
      <c r="H42" s="795"/>
      <c r="I42" s="795"/>
      <c r="J42" s="795"/>
      <c r="K42" s="796"/>
      <c r="L42" s="795"/>
      <c r="M42" s="795"/>
      <c r="N42" s="795"/>
      <c r="O42" s="795"/>
      <c r="P42" s="781"/>
      <c r="Q42" s="781"/>
      <c r="R42" s="781"/>
      <c r="S42" s="781"/>
      <c r="T42" s="795"/>
      <c r="U42" s="795"/>
      <c r="V42" s="795"/>
      <c r="W42" s="784">
        <f t="shared" si="0"/>
        <v>0</v>
      </c>
      <c r="X42" s="990"/>
      <c r="Y42" s="795"/>
      <c r="Z42" s="795"/>
      <c r="AA42" s="795"/>
      <c r="AB42" s="795"/>
      <c r="AC42" s="795"/>
      <c r="AD42" s="795"/>
      <c r="AE42" s="795"/>
      <c r="AF42" s="795"/>
      <c r="AG42" s="795"/>
      <c r="AH42" s="795"/>
      <c r="AI42" s="784">
        <f t="shared" si="1"/>
        <v>0</v>
      </c>
    </row>
    <row r="43" spans="1:35" hidden="1" x14ac:dyDescent="0.2">
      <c r="A43" s="778">
        <v>45</v>
      </c>
      <c r="B43" s="828"/>
      <c r="C43" s="785"/>
      <c r="D43" s="795"/>
      <c r="E43" s="795"/>
      <c r="F43" s="781"/>
      <c r="G43" s="795"/>
      <c r="H43" s="795"/>
      <c r="I43" s="795"/>
      <c r="J43" s="795"/>
      <c r="K43" s="796"/>
      <c r="L43" s="795"/>
      <c r="M43" s="795"/>
      <c r="N43" s="795"/>
      <c r="O43" s="795"/>
      <c r="P43" s="781"/>
      <c r="Q43" s="781"/>
      <c r="R43" s="781"/>
      <c r="S43" s="781"/>
      <c r="T43" s="795"/>
      <c r="U43" s="795"/>
      <c r="V43" s="795"/>
      <c r="W43" s="784">
        <f t="shared" si="0"/>
        <v>0</v>
      </c>
      <c r="X43" s="990"/>
      <c r="Y43" s="795"/>
      <c r="Z43" s="795"/>
      <c r="AA43" s="795"/>
      <c r="AB43" s="795"/>
      <c r="AC43" s="795"/>
      <c r="AD43" s="795"/>
      <c r="AE43" s="795"/>
      <c r="AF43" s="795"/>
      <c r="AG43" s="795"/>
      <c r="AH43" s="795"/>
      <c r="AI43" s="784">
        <f t="shared" si="1"/>
        <v>0</v>
      </c>
    </row>
    <row r="44" spans="1:35" hidden="1" x14ac:dyDescent="0.2">
      <c r="A44" s="778">
        <v>46</v>
      </c>
      <c r="B44" s="828"/>
      <c r="C44" s="785"/>
      <c r="D44" s="795"/>
      <c r="E44" s="795"/>
      <c r="F44" s="781"/>
      <c r="G44" s="795"/>
      <c r="H44" s="795"/>
      <c r="I44" s="795"/>
      <c r="J44" s="795"/>
      <c r="K44" s="796"/>
      <c r="L44" s="795"/>
      <c r="M44" s="795"/>
      <c r="N44" s="795"/>
      <c r="O44" s="795"/>
      <c r="P44" s="781"/>
      <c r="Q44" s="781"/>
      <c r="R44" s="781"/>
      <c r="S44" s="781"/>
      <c r="T44" s="795"/>
      <c r="U44" s="795"/>
      <c r="V44" s="795"/>
      <c r="W44" s="784">
        <f t="shared" si="0"/>
        <v>0</v>
      </c>
      <c r="X44" s="990"/>
      <c r="Y44" s="795"/>
      <c r="Z44" s="795"/>
      <c r="AA44" s="795"/>
      <c r="AB44" s="795"/>
      <c r="AC44" s="795"/>
      <c r="AD44" s="795"/>
      <c r="AE44" s="795"/>
      <c r="AF44" s="795"/>
      <c r="AG44" s="795"/>
      <c r="AH44" s="795"/>
      <c r="AI44" s="784">
        <f t="shared" si="1"/>
        <v>0</v>
      </c>
    </row>
    <row r="45" spans="1:35" hidden="1" x14ac:dyDescent="0.2">
      <c r="A45" s="778">
        <v>47</v>
      </c>
      <c r="B45" s="828"/>
      <c r="C45" s="785"/>
      <c r="D45" s="795"/>
      <c r="E45" s="795"/>
      <c r="F45" s="781"/>
      <c r="G45" s="795"/>
      <c r="H45" s="795"/>
      <c r="I45" s="795"/>
      <c r="J45" s="795"/>
      <c r="K45" s="796"/>
      <c r="L45" s="795"/>
      <c r="M45" s="795"/>
      <c r="N45" s="795"/>
      <c r="O45" s="795"/>
      <c r="P45" s="781"/>
      <c r="Q45" s="781"/>
      <c r="R45" s="781"/>
      <c r="S45" s="781"/>
      <c r="T45" s="795"/>
      <c r="U45" s="795"/>
      <c r="V45" s="795"/>
      <c r="W45" s="784">
        <f t="shared" si="0"/>
        <v>0</v>
      </c>
      <c r="X45" s="990"/>
      <c r="Y45" s="795"/>
      <c r="Z45" s="795"/>
      <c r="AA45" s="795"/>
      <c r="AB45" s="795"/>
      <c r="AC45" s="795"/>
      <c r="AD45" s="795"/>
      <c r="AE45" s="795"/>
      <c r="AF45" s="795"/>
      <c r="AG45" s="795"/>
      <c r="AH45" s="795"/>
      <c r="AI45" s="784">
        <f t="shared" si="1"/>
        <v>0</v>
      </c>
    </row>
    <row r="46" spans="1:35" hidden="1" x14ac:dyDescent="0.2">
      <c r="A46" s="778">
        <v>48</v>
      </c>
      <c r="B46" s="828"/>
      <c r="C46" s="786"/>
      <c r="D46" s="795"/>
      <c r="E46" s="795"/>
      <c r="F46" s="781"/>
      <c r="G46" s="795"/>
      <c r="H46" s="795"/>
      <c r="I46" s="795"/>
      <c r="J46" s="795"/>
      <c r="K46" s="796"/>
      <c r="L46" s="795"/>
      <c r="M46" s="795"/>
      <c r="N46" s="795"/>
      <c r="O46" s="795"/>
      <c r="P46" s="781"/>
      <c r="Q46" s="781"/>
      <c r="R46" s="781"/>
      <c r="S46" s="781"/>
      <c r="T46" s="795"/>
      <c r="U46" s="795"/>
      <c r="V46" s="795"/>
      <c r="W46" s="784">
        <f t="shared" si="0"/>
        <v>0</v>
      </c>
      <c r="X46" s="990"/>
      <c r="Y46" s="795"/>
      <c r="Z46" s="795"/>
      <c r="AA46" s="795"/>
      <c r="AB46" s="795"/>
      <c r="AC46" s="795"/>
      <c r="AD46" s="795"/>
      <c r="AE46" s="795"/>
      <c r="AF46" s="795"/>
      <c r="AG46" s="795"/>
      <c r="AH46" s="795"/>
      <c r="AI46" s="784">
        <f t="shared" si="1"/>
        <v>0</v>
      </c>
    </row>
    <row r="47" spans="1:35" hidden="1" x14ac:dyDescent="0.2">
      <c r="A47" s="778">
        <v>49</v>
      </c>
      <c r="B47" s="828"/>
      <c r="C47" s="786"/>
      <c r="D47" s="795"/>
      <c r="E47" s="795"/>
      <c r="F47" s="781"/>
      <c r="G47" s="795"/>
      <c r="H47" s="795"/>
      <c r="I47" s="795"/>
      <c r="J47" s="795"/>
      <c r="K47" s="796"/>
      <c r="L47" s="795"/>
      <c r="M47" s="795"/>
      <c r="N47" s="795"/>
      <c r="O47" s="795"/>
      <c r="P47" s="781"/>
      <c r="Q47" s="781"/>
      <c r="R47" s="781"/>
      <c r="S47" s="781"/>
      <c r="T47" s="795"/>
      <c r="U47" s="795"/>
      <c r="V47" s="795"/>
      <c r="W47" s="784">
        <f t="shared" si="0"/>
        <v>0</v>
      </c>
      <c r="X47" s="990"/>
      <c r="Y47" s="795"/>
      <c r="Z47" s="795"/>
      <c r="AA47" s="795"/>
      <c r="AB47" s="795"/>
      <c r="AC47" s="795"/>
      <c r="AD47" s="795"/>
      <c r="AE47" s="795"/>
      <c r="AF47" s="795"/>
      <c r="AG47" s="795"/>
      <c r="AH47" s="795"/>
      <c r="AI47" s="784">
        <f t="shared" si="1"/>
        <v>0</v>
      </c>
    </row>
    <row r="48" spans="1:35" hidden="1" x14ac:dyDescent="0.2">
      <c r="A48" s="778">
        <v>50</v>
      </c>
      <c r="B48" s="828"/>
      <c r="C48" s="785"/>
      <c r="D48" s="795"/>
      <c r="E48" s="795"/>
      <c r="F48" s="781"/>
      <c r="G48" s="795"/>
      <c r="H48" s="795"/>
      <c r="I48" s="795"/>
      <c r="J48" s="795"/>
      <c r="K48" s="796"/>
      <c r="L48" s="795"/>
      <c r="M48" s="795"/>
      <c r="N48" s="795"/>
      <c r="O48" s="795"/>
      <c r="P48" s="781"/>
      <c r="Q48" s="781"/>
      <c r="R48" s="781"/>
      <c r="S48" s="781"/>
      <c r="T48" s="795"/>
      <c r="U48" s="795"/>
      <c r="V48" s="795"/>
      <c r="W48" s="784">
        <f t="shared" si="0"/>
        <v>0</v>
      </c>
      <c r="X48" s="990"/>
      <c r="Y48" s="795"/>
      <c r="Z48" s="795"/>
      <c r="AA48" s="795"/>
      <c r="AB48" s="795"/>
      <c r="AC48" s="795"/>
      <c r="AD48" s="795"/>
      <c r="AE48" s="795"/>
      <c r="AF48" s="795"/>
      <c r="AG48" s="795"/>
      <c r="AH48" s="795"/>
      <c r="AI48" s="784">
        <f t="shared" si="1"/>
        <v>0</v>
      </c>
    </row>
    <row r="49" spans="1:35" hidden="1" x14ac:dyDescent="0.2">
      <c r="A49" s="778">
        <v>51</v>
      </c>
      <c r="B49" s="828"/>
      <c r="C49" s="785"/>
      <c r="D49" s="795"/>
      <c r="E49" s="795"/>
      <c r="F49" s="781"/>
      <c r="G49" s="795"/>
      <c r="H49" s="795"/>
      <c r="I49" s="795"/>
      <c r="J49" s="795"/>
      <c r="K49" s="796"/>
      <c r="L49" s="795"/>
      <c r="M49" s="795"/>
      <c r="N49" s="795"/>
      <c r="O49" s="795"/>
      <c r="P49" s="781"/>
      <c r="Q49" s="781"/>
      <c r="R49" s="781"/>
      <c r="S49" s="781"/>
      <c r="T49" s="795"/>
      <c r="U49" s="795"/>
      <c r="V49" s="795"/>
      <c r="W49" s="784">
        <f t="shared" si="0"/>
        <v>0</v>
      </c>
      <c r="X49" s="990"/>
      <c r="Y49" s="795"/>
      <c r="Z49" s="795"/>
      <c r="AA49" s="795"/>
      <c r="AB49" s="795"/>
      <c r="AC49" s="795"/>
      <c r="AD49" s="795"/>
      <c r="AE49" s="795"/>
      <c r="AF49" s="795"/>
      <c r="AG49" s="795"/>
      <c r="AH49" s="795"/>
      <c r="AI49" s="784">
        <f t="shared" si="1"/>
        <v>0</v>
      </c>
    </row>
    <row r="50" spans="1:35" s="989" customFormat="1" ht="13.5" thickBot="1" x14ac:dyDescent="0.25">
      <c r="A50" s="984"/>
      <c r="B50" s="985"/>
      <c r="C50" s="986" t="s">
        <v>180</v>
      </c>
      <c r="D50" s="797">
        <f t="shared" ref="D50:V50" si="2">SUM(D5:D49)</f>
        <v>10395</v>
      </c>
      <c r="E50" s="797">
        <f t="shared" si="2"/>
        <v>2106</v>
      </c>
      <c r="F50" s="987">
        <f t="shared" si="2"/>
        <v>16847</v>
      </c>
      <c r="G50" s="797">
        <f t="shared" si="2"/>
        <v>0</v>
      </c>
      <c r="H50" s="797">
        <f t="shared" si="2"/>
        <v>9934</v>
      </c>
      <c r="I50" s="797">
        <f t="shared" si="2"/>
        <v>1100</v>
      </c>
      <c r="J50" s="797">
        <f t="shared" si="2"/>
        <v>19390</v>
      </c>
      <c r="K50" s="797">
        <f t="shared" si="2"/>
        <v>17869</v>
      </c>
      <c r="L50" s="797">
        <f t="shared" si="2"/>
        <v>0</v>
      </c>
      <c r="M50" s="797">
        <f t="shared" si="2"/>
        <v>0</v>
      </c>
      <c r="N50" s="797">
        <f t="shared" si="2"/>
        <v>5504</v>
      </c>
      <c r="O50" s="797">
        <f t="shared" si="2"/>
        <v>0</v>
      </c>
      <c r="P50" s="987">
        <f t="shared" si="2"/>
        <v>-3154</v>
      </c>
      <c r="Q50" s="987">
        <f t="shared" si="2"/>
        <v>-4896</v>
      </c>
      <c r="R50" s="987">
        <f t="shared" si="2"/>
        <v>0</v>
      </c>
      <c r="S50" s="987">
        <f t="shared" si="2"/>
        <v>0</v>
      </c>
      <c r="T50" s="797">
        <f t="shared" si="2"/>
        <v>0</v>
      </c>
      <c r="U50" s="797">
        <f t="shared" si="2"/>
        <v>11846</v>
      </c>
      <c r="V50" s="797">
        <f t="shared" si="2"/>
        <v>0</v>
      </c>
      <c r="W50" s="992">
        <f>SUM(D50:V50)</f>
        <v>86941</v>
      </c>
      <c r="X50" s="991">
        <f t="shared" ref="X50:AH50" si="3">SUM(X5:X49)</f>
        <v>0</v>
      </c>
      <c r="Y50" s="987">
        <f t="shared" si="3"/>
        <v>0</v>
      </c>
      <c r="Z50" s="987">
        <f t="shared" si="3"/>
        <v>11393</v>
      </c>
      <c r="AA50" s="987">
        <f t="shared" si="3"/>
        <v>615</v>
      </c>
      <c r="AB50" s="987">
        <f t="shared" si="3"/>
        <v>0</v>
      </c>
      <c r="AC50" s="987">
        <f t="shared" si="3"/>
        <v>0</v>
      </c>
      <c r="AD50" s="987">
        <f t="shared" si="3"/>
        <v>0</v>
      </c>
      <c r="AE50" s="987">
        <f t="shared" si="3"/>
        <v>-184090</v>
      </c>
      <c r="AF50" s="987">
        <f t="shared" si="3"/>
        <v>0</v>
      </c>
      <c r="AG50" s="987">
        <f t="shared" si="3"/>
        <v>0</v>
      </c>
      <c r="AH50" s="987">
        <f t="shared" si="3"/>
        <v>259023</v>
      </c>
      <c r="AI50" s="988">
        <f t="shared" ref="AI50" si="4">SUM(X50:AH50)</f>
        <v>86941</v>
      </c>
    </row>
    <row r="53" spans="1:35" x14ac:dyDescent="0.2">
      <c r="W53" s="934"/>
    </row>
  </sheetData>
  <mergeCells count="38">
    <mergeCell ref="AE3:AE4"/>
    <mergeCell ref="AF3:AF4"/>
    <mergeCell ref="AG3:AG4"/>
    <mergeCell ref="AH3:AH4"/>
    <mergeCell ref="Y3:Y4"/>
    <mergeCell ref="Z3:Z4"/>
    <mergeCell ref="AA3:AA4"/>
    <mergeCell ref="AB3:AB4"/>
    <mergeCell ref="AC3:AC4"/>
    <mergeCell ref="AD3:AD4"/>
    <mergeCell ref="X3:X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K3:K4"/>
    <mergeCell ref="A1:W1"/>
    <mergeCell ref="AG1:AI1"/>
    <mergeCell ref="A2:A4"/>
    <mergeCell ref="B2:B4"/>
    <mergeCell ref="C2:C4"/>
    <mergeCell ref="D2:U2"/>
    <mergeCell ref="W2:W4"/>
    <mergeCell ref="X2:AH2"/>
    <mergeCell ref="AI2:AI4"/>
    <mergeCell ref="D3:D4"/>
    <mergeCell ref="E3:E4"/>
    <mergeCell ref="F3:F4"/>
    <mergeCell ref="G3:G4"/>
    <mergeCell ref="H3:I3"/>
    <mergeCell ref="J3:J4"/>
  </mergeCells>
  <pageMargins left="0.70866141732283472" right="0.70866141732283472" top="0.74803149606299213" bottom="0.74803149606299213" header="0.31496062992125984" footer="0.31496062992125984"/>
  <pageSetup paperSize="8" scale="71" fitToWidth="2" orientation="landscape" r:id="rId1"/>
  <headerFooter>
    <oddHeader>&amp;C&amp;"Times New Roman,Félkövér"&amp;12Martonvásár Város Önkormányzatának 2018. évi költségvetés módosításainak részletezése&amp;R&amp;"Times New Roman,Félkövér"&amp;12 12.a melléklet</oddHeader>
  </headerFooter>
  <colBreaks count="1" manualBreakCount="1">
    <brk id="23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9"/>
  <sheetViews>
    <sheetView zoomScaleNormal="100" workbookViewId="0">
      <selection activeCell="B7" sqref="B7"/>
    </sheetView>
  </sheetViews>
  <sheetFormatPr defaultColWidth="9.140625" defaultRowHeight="12.75" x14ac:dyDescent="0.2"/>
  <cols>
    <col min="1" max="1" width="5.7109375" style="774" customWidth="1"/>
    <col min="2" max="2" width="7" style="815" customWidth="1"/>
    <col min="3" max="3" width="61.5703125" style="774" bestFit="1" customWidth="1"/>
    <col min="4" max="4" width="6.140625" style="774" hidden="1" customWidth="1"/>
    <col min="5" max="5" width="7.42578125" style="774" customWidth="1"/>
    <col min="6" max="6" width="5.7109375" style="774" customWidth="1"/>
    <col min="7" max="8" width="5.5703125" style="774" hidden="1" customWidth="1"/>
    <col min="9" max="9" width="5.42578125" style="774" hidden="1" customWidth="1"/>
    <col min="10" max="10" width="5.28515625" style="774" hidden="1" customWidth="1"/>
    <col min="11" max="11" width="5.140625" style="774" hidden="1" customWidth="1"/>
    <col min="12" max="12" width="0.140625" style="774" hidden="1" customWidth="1"/>
    <col min="13" max="13" width="8.140625" style="774" customWidth="1"/>
    <col min="14" max="14" width="7.85546875" style="774" customWidth="1"/>
    <col min="15" max="15" width="8.5703125" style="774" customWidth="1"/>
    <col min="16" max="16" width="7.28515625" style="774" customWidth="1"/>
    <col min="17" max="17" width="6.5703125" style="774" customWidth="1"/>
    <col min="18" max="18" width="8.140625" style="774" customWidth="1"/>
    <col min="19" max="19" width="9" style="774" customWidth="1"/>
    <col min="20" max="20" width="8.85546875" style="774" customWidth="1"/>
    <col min="21" max="21" width="8.28515625" style="774" customWidth="1"/>
    <col min="22" max="23" width="9.140625" style="774"/>
    <col min="24" max="25" width="9" style="774" customWidth="1"/>
    <col min="26" max="26" width="6.85546875" style="774" customWidth="1"/>
    <col min="27" max="27" width="7.85546875" style="774" customWidth="1"/>
    <col min="28" max="28" width="9.28515625" style="774" customWidth="1"/>
    <col min="29" max="29" width="7" style="774" hidden="1" customWidth="1"/>
    <col min="30" max="16384" width="9.140625" style="774"/>
  </cols>
  <sheetData>
    <row r="1" spans="1:30" ht="15" customHeight="1" thickBot="1" x14ac:dyDescent="0.25">
      <c r="AA1" s="1319" t="s">
        <v>390</v>
      </c>
      <c r="AB1" s="1319"/>
      <c r="AC1" s="1319"/>
      <c r="AD1" s="1319"/>
    </row>
    <row r="2" spans="1:30" ht="31.5" customHeight="1" x14ac:dyDescent="0.2">
      <c r="A2" s="1320" t="s">
        <v>347</v>
      </c>
      <c r="B2" s="1322"/>
      <c r="C2" s="1325" t="s">
        <v>790</v>
      </c>
      <c r="D2" s="1325" t="s">
        <v>818</v>
      </c>
      <c r="E2" s="1327" t="s">
        <v>308</v>
      </c>
      <c r="F2" s="1327"/>
      <c r="G2" s="1327"/>
      <c r="H2" s="1327"/>
      <c r="I2" s="1327"/>
      <c r="J2" s="1327"/>
      <c r="K2" s="1327"/>
      <c r="L2" s="1327"/>
      <c r="M2" s="1327"/>
      <c r="N2" s="1327"/>
      <c r="O2" s="1327"/>
      <c r="P2" s="1327"/>
      <c r="Q2" s="1327"/>
      <c r="R2" s="1327"/>
      <c r="S2" s="1340" t="s">
        <v>287</v>
      </c>
      <c r="T2" s="1327" t="s">
        <v>301</v>
      </c>
      <c r="U2" s="1327"/>
      <c r="V2" s="1327"/>
      <c r="W2" s="1327"/>
      <c r="X2" s="1327"/>
      <c r="Y2" s="1327"/>
      <c r="Z2" s="1327"/>
      <c r="AA2" s="1327"/>
      <c r="AB2" s="1328"/>
      <c r="AC2" s="1340" t="s">
        <v>791</v>
      </c>
      <c r="AD2" s="1342" t="s">
        <v>819</v>
      </c>
    </row>
    <row r="3" spans="1:30" s="799" customFormat="1" ht="25.5" customHeight="1" x14ac:dyDescent="0.25">
      <c r="A3" s="1321"/>
      <c r="B3" s="1323"/>
      <c r="C3" s="1326"/>
      <c r="D3" s="1339"/>
      <c r="E3" s="1326" t="s">
        <v>820</v>
      </c>
      <c r="F3" s="1326" t="s">
        <v>821</v>
      </c>
      <c r="G3" s="1326" t="s">
        <v>822</v>
      </c>
      <c r="H3" s="1326"/>
      <c r="I3" s="1326"/>
      <c r="J3" s="1326"/>
      <c r="K3" s="1326"/>
      <c r="L3" s="1326"/>
      <c r="M3" s="1326" t="s">
        <v>151</v>
      </c>
      <c r="N3" s="1326" t="s">
        <v>163</v>
      </c>
      <c r="O3" s="1333"/>
      <c r="P3" s="1326" t="s">
        <v>795</v>
      </c>
      <c r="Q3" s="1326" t="s">
        <v>683</v>
      </c>
      <c r="R3" s="1326" t="s">
        <v>823</v>
      </c>
      <c r="S3" s="1341"/>
      <c r="T3" s="1326" t="s">
        <v>807</v>
      </c>
      <c r="U3" s="1326" t="s">
        <v>808</v>
      </c>
      <c r="V3" s="1326" t="s">
        <v>799</v>
      </c>
      <c r="W3" s="1326" t="s">
        <v>824</v>
      </c>
      <c r="X3" s="1333"/>
      <c r="Y3" s="1344" t="s">
        <v>825</v>
      </c>
      <c r="Z3" s="1326" t="s">
        <v>826</v>
      </c>
      <c r="AA3" s="1333"/>
      <c r="AB3" s="1344" t="s">
        <v>841</v>
      </c>
      <c r="AC3" s="1341"/>
      <c r="AD3" s="1343"/>
    </row>
    <row r="4" spans="1:30" s="799" customFormat="1" ht="23.25" customHeight="1" x14ac:dyDescent="0.25">
      <c r="A4" s="1321"/>
      <c r="B4" s="1324"/>
      <c r="C4" s="1326"/>
      <c r="D4" s="1339"/>
      <c r="E4" s="1326"/>
      <c r="F4" s="1326"/>
      <c r="G4" s="800" t="s">
        <v>827</v>
      </c>
      <c r="H4" s="800" t="s">
        <v>828</v>
      </c>
      <c r="I4" s="800" t="s">
        <v>829</v>
      </c>
      <c r="J4" s="800" t="s">
        <v>830</v>
      </c>
      <c r="K4" s="800" t="s">
        <v>831</v>
      </c>
      <c r="L4" s="800" t="s">
        <v>832</v>
      </c>
      <c r="M4" s="1326"/>
      <c r="N4" s="777" t="s">
        <v>816</v>
      </c>
      <c r="O4" s="777" t="s">
        <v>817</v>
      </c>
      <c r="P4" s="1326"/>
      <c r="Q4" s="1326"/>
      <c r="R4" s="1326"/>
      <c r="S4" s="1341"/>
      <c r="T4" s="1326"/>
      <c r="U4" s="1326"/>
      <c r="V4" s="1326"/>
      <c r="W4" s="777" t="s">
        <v>833</v>
      </c>
      <c r="X4" s="777" t="s">
        <v>834</v>
      </c>
      <c r="Y4" s="1345"/>
      <c r="Z4" s="777" t="s">
        <v>833</v>
      </c>
      <c r="AA4" s="777" t="s">
        <v>834</v>
      </c>
      <c r="AB4" s="1346"/>
      <c r="AC4" s="1341"/>
      <c r="AD4" s="1343"/>
    </row>
    <row r="5" spans="1:30" s="824" customFormat="1" x14ac:dyDescent="0.25">
      <c r="A5" s="776">
        <v>1</v>
      </c>
      <c r="B5" s="817" t="s">
        <v>882</v>
      </c>
      <c r="C5" s="818" t="s">
        <v>883</v>
      </c>
      <c r="D5" s="819"/>
      <c r="E5" s="820">
        <v>11</v>
      </c>
      <c r="F5" s="820">
        <v>3</v>
      </c>
      <c r="G5" s="820"/>
      <c r="H5" s="820"/>
      <c r="I5" s="820"/>
      <c r="J5" s="820"/>
      <c r="K5" s="820"/>
      <c r="L5" s="820"/>
      <c r="M5" s="820">
        <v>23</v>
      </c>
      <c r="N5" s="820"/>
      <c r="O5" s="820"/>
      <c r="P5" s="820"/>
      <c r="Q5" s="820"/>
      <c r="R5" s="820"/>
      <c r="S5" s="821">
        <f t="shared" ref="S5:S18" si="0">SUM(E5:R5)</f>
        <v>37</v>
      </c>
      <c r="T5" s="820"/>
      <c r="U5" s="820"/>
      <c r="V5" s="820"/>
      <c r="W5" s="820">
        <v>37</v>
      </c>
      <c r="X5" s="820"/>
      <c r="Y5" s="820"/>
      <c r="Z5" s="820"/>
      <c r="AA5" s="820"/>
      <c r="AB5" s="822"/>
      <c r="AC5" s="821"/>
      <c r="AD5" s="823">
        <f t="shared" ref="AD5:AD18" si="1">SUM(T5:AC5)</f>
        <v>37</v>
      </c>
    </row>
    <row r="6" spans="1:30" s="824" customFormat="1" x14ac:dyDescent="0.25">
      <c r="A6" s="776">
        <v>2</v>
      </c>
      <c r="B6" s="817" t="s">
        <v>884</v>
      </c>
      <c r="C6" s="825" t="s">
        <v>557</v>
      </c>
      <c r="D6" s="819"/>
      <c r="E6" s="820">
        <v>54</v>
      </c>
      <c r="F6" s="820"/>
      <c r="G6" s="820"/>
      <c r="H6" s="820"/>
      <c r="I6" s="820"/>
      <c r="J6" s="820"/>
      <c r="K6" s="820"/>
      <c r="L6" s="820"/>
      <c r="M6" s="820"/>
      <c r="N6" s="820"/>
      <c r="O6" s="820"/>
      <c r="P6" s="820"/>
      <c r="Q6" s="820"/>
      <c r="R6" s="820"/>
      <c r="S6" s="821">
        <f t="shared" si="0"/>
        <v>54</v>
      </c>
      <c r="T6" s="820"/>
      <c r="U6" s="820"/>
      <c r="V6" s="820">
        <v>54</v>
      </c>
      <c r="W6" s="820"/>
      <c r="X6" s="820"/>
      <c r="Y6" s="820"/>
      <c r="Z6" s="820"/>
      <c r="AA6" s="820"/>
      <c r="AB6" s="822"/>
      <c r="AC6" s="821"/>
      <c r="AD6" s="823">
        <f t="shared" si="1"/>
        <v>54</v>
      </c>
    </row>
    <row r="7" spans="1:30" s="824" customFormat="1" x14ac:dyDescent="0.25">
      <c r="A7" s="776">
        <v>3</v>
      </c>
      <c r="B7" s="817"/>
      <c r="C7" s="825"/>
      <c r="D7" s="819"/>
      <c r="E7" s="820"/>
      <c r="F7" s="820"/>
      <c r="G7" s="820"/>
      <c r="H7" s="820"/>
      <c r="I7" s="820"/>
      <c r="J7" s="820"/>
      <c r="K7" s="820"/>
      <c r="L7" s="820"/>
      <c r="M7" s="820"/>
      <c r="N7" s="820"/>
      <c r="O7" s="820"/>
      <c r="P7" s="820"/>
      <c r="Q7" s="820"/>
      <c r="R7" s="820"/>
      <c r="S7" s="821">
        <f t="shared" si="0"/>
        <v>0</v>
      </c>
      <c r="T7" s="820"/>
      <c r="U7" s="820"/>
      <c r="V7" s="820"/>
      <c r="W7" s="820"/>
      <c r="X7" s="820"/>
      <c r="Y7" s="820"/>
      <c r="Z7" s="820"/>
      <c r="AA7" s="820"/>
      <c r="AB7" s="822"/>
      <c r="AC7" s="821"/>
      <c r="AD7" s="823">
        <f t="shared" si="1"/>
        <v>0</v>
      </c>
    </row>
    <row r="8" spans="1:30" s="824" customFormat="1" x14ac:dyDescent="0.25">
      <c r="A8" s="776">
        <v>4</v>
      </c>
      <c r="B8" s="817"/>
      <c r="C8" s="825"/>
      <c r="D8" s="819"/>
      <c r="E8" s="820"/>
      <c r="F8" s="820"/>
      <c r="G8" s="820"/>
      <c r="H8" s="820"/>
      <c r="I8" s="820"/>
      <c r="J8" s="820"/>
      <c r="K8" s="820"/>
      <c r="L8" s="820"/>
      <c r="M8" s="820"/>
      <c r="N8" s="820"/>
      <c r="O8" s="820"/>
      <c r="P8" s="820"/>
      <c r="Q8" s="820"/>
      <c r="R8" s="820"/>
      <c r="S8" s="821">
        <f t="shared" si="0"/>
        <v>0</v>
      </c>
      <c r="T8" s="820"/>
      <c r="U8" s="820"/>
      <c r="V8" s="820"/>
      <c r="W8" s="820"/>
      <c r="X8" s="820"/>
      <c r="Y8" s="820"/>
      <c r="Z8" s="820"/>
      <c r="AA8" s="820"/>
      <c r="AB8" s="822"/>
      <c r="AC8" s="821"/>
      <c r="AD8" s="823">
        <f t="shared" si="1"/>
        <v>0</v>
      </c>
    </row>
    <row r="9" spans="1:30" s="824" customFormat="1" x14ac:dyDescent="0.25">
      <c r="A9" s="776">
        <v>5</v>
      </c>
      <c r="B9" s="817"/>
      <c r="C9" s="818"/>
      <c r="D9" s="819"/>
      <c r="E9" s="826"/>
      <c r="F9" s="826"/>
      <c r="G9" s="826"/>
      <c r="H9" s="826"/>
      <c r="I9" s="826"/>
      <c r="J9" s="826"/>
      <c r="K9" s="826"/>
      <c r="L9" s="826"/>
      <c r="M9" s="826"/>
      <c r="N9" s="826"/>
      <c r="O9" s="826"/>
      <c r="P9" s="826"/>
      <c r="Q9" s="826"/>
      <c r="R9" s="826"/>
      <c r="S9" s="821">
        <f t="shared" si="0"/>
        <v>0</v>
      </c>
      <c r="T9" s="826"/>
      <c r="U9" s="826"/>
      <c r="V9" s="826"/>
      <c r="W9" s="826"/>
      <c r="X9" s="826"/>
      <c r="Y9" s="826"/>
      <c r="Z9" s="826"/>
      <c r="AA9" s="826"/>
      <c r="AB9" s="827"/>
      <c r="AC9" s="819"/>
      <c r="AD9" s="823">
        <f t="shared" si="1"/>
        <v>0</v>
      </c>
    </row>
    <row r="10" spans="1:30" s="824" customFormat="1" hidden="1" x14ac:dyDescent="0.25">
      <c r="A10" s="776">
        <v>6</v>
      </c>
      <c r="B10" s="817"/>
      <c r="C10" s="825"/>
      <c r="D10" s="819"/>
      <c r="E10" s="826"/>
      <c r="F10" s="826"/>
      <c r="G10" s="826"/>
      <c r="H10" s="826"/>
      <c r="I10" s="826"/>
      <c r="J10" s="826"/>
      <c r="K10" s="826"/>
      <c r="L10" s="826"/>
      <c r="M10" s="826"/>
      <c r="N10" s="826"/>
      <c r="O10" s="826"/>
      <c r="P10" s="826"/>
      <c r="Q10" s="826"/>
      <c r="R10" s="826"/>
      <c r="S10" s="821">
        <f t="shared" si="0"/>
        <v>0</v>
      </c>
      <c r="T10" s="826"/>
      <c r="U10" s="826"/>
      <c r="V10" s="826"/>
      <c r="W10" s="826"/>
      <c r="X10" s="826"/>
      <c r="Y10" s="826"/>
      <c r="Z10" s="826"/>
      <c r="AA10" s="826"/>
      <c r="AB10" s="827"/>
      <c r="AC10" s="819"/>
      <c r="AD10" s="823">
        <f t="shared" si="1"/>
        <v>0</v>
      </c>
    </row>
    <row r="11" spans="1:30" s="824" customFormat="1" hidden="1" x14ac:dyDescent="0.25">
      <c r="A11" s="776">
        <v>7</v>
      </c>
      <c r="B11" s="817"/>
      <c r="C11" s="825"/>
      <c r="D11" s="819"/>
      <c r="E11" s="826"/>
      <c r="F11" s="826"/>
      <c r="G11" s="826"/>
      <c r="H11" s="826"/>
      <c r="I11" s="826"/>
      <c r="J11" s="826"/>
      <c r="K11" s="826"/>
      <c r="L11" s="826"/>
      <c r="M11" s="826"/>
      <c r="N11" s="826"/>
      <c r="O11" s="826"/>
      <c r="P11" s="826"/>
      <c r="Q11" s="826"/>
      <c r="R11" s="826"/>
      <c r="S11" s="821">
        <f t="shared" si="0"/>
        <v>0</v>
      </c>
      <c r="T11" s="826"/>
      <c r="U11" s="826"/>
      <c r="V11" s="826"/>
      <c r="W11" s="826"/>
      <c r="X11" s="826"/>
      <c r="Y11" s="826"/>
      <c r="Z11" s="826"/>
      <c r="AA11" s="826"/>
      <c r="AB11" s="827"/>
      <c r="AC11" s="819"/>
      <c r="AD11" s="823">
        <f t="shared" si="1"/>
        <v>0</v>
      </c>
    </row>
    <row r="12" spans="1:30" s="824" customFormat="1" hidden="1" x14ac:dyDescent="0.25">
      <c r="A12" s="776">
        <v>8</v>
      </c>
      <c r="B12" s="817"/>
      <c r="C12" s="825"/>
      <c r="D12" s="819"/>
      <c r="E12" s="826"/>
      <c r="F12" s="826"/>
      <c r="G12" s="826"/>
      <c r="H12" s="826"/>
      <c r="I12" s="826"/>
      <c r="J12" s="826"/>
      <c r="K12" s="826"/>
      <c r="L12" s="826"/>
      <c r="M12" s="826"/>
      <c r="N12" s="826"/>
      <c r="O12" s="826"/>
      <c r="P12" s="826"/>
      <c r="Q12" s="826"/>
      <c r="R12" s="826"/>
      <c r="S12" s="821">
        <f t="shared" si="0"/>
        <v>0</v>
      </c>
      <c r="T12" s="826"/>
      <c r="U12" s="826"/>
      <c r="V12" s="826"/>
      <c r="W12" s="826"/>
      <c r="X12" s="826"/>
      <c r="Y12" s="826"/>
      <c r="Z12" s="826"/>
      <c r="AA12" s="826"/>
      <c r="AB12" s="827"/>
      <c r="AC12" s="819"/>
      <c r="AD12" s="823">
        <f t="shared" si="1"/>
        <v>0</v>
      </c>
    </row>
    <row r="13" spans="1:30" s="824" customFormat="1" hidden="1" x14ac:dyDescent="0.25">
      <c r="A13" s="776">
        <v>9</v>
      </c>
      <c r="B13" s="817"/>
      <c r="C13" s="825"/>
      <c r="D13" s="819"/>
      <c r="E13" s="826"/>
      <c r="F13" s="826"/>
      <c r="G13" s="826"/>
      <c r="H13" s="826"/>
      <c r="I13" s="826"/>
      <c r="J13" s="826"/>
      <c r="K13" s="826"/>
      <c r="L13" s="826"/>
      <c r="M13" s="826"/>
      <c r="N13" s="826"/>
      <c r="O13" s="826"/>
      <c r="P13" s="826"/>
      <c r="Q13" s="826"/>
      <c r="R13" s="826"/>
      <c r="S13" s="821">
        <f t="shared" si="0"/>
        <v>0</v>
      </c>
      <c r="T13" s="826"/>
      <c r="U13" s="826"/>
      <c r="V13" s="826"/>
      <c r="W13" s="826"/>
      <c r="X13" s="826"/>
      <c r="Y13" s="826"/>
      <c r="Z13" s="826"/>
      <c r="AA13" s="826"/>
      <c r="AB13" s="827"/>
      <c r="AC13" s="819"/>
      <c r="AD13" s="823">
        <f t="shared" si="1"/>
        <v>0</v>
      </c>
    </row>
    <row r="14" spans="1:30" s="824" customFormat="1" hidden="1" x14ac:dyDescent="0.25">
      <c r="A14" s="776">
        <v>10</v>
      </c>
      <c r="B14" s="817"/>
      <c r="C14" s="825"/>
      <c r="D14" s="819"/>
      <c r="E14" s="826"/>
      <c r="F14" s="826"/>
      <c r="G14" s="826"/>
      <c r="H14" s="826"/>
      <c r="I14" s="826"/>
      <c r="J14" s="826"/>
      <c r="K14" s="826"/>
      <c r="L14" s="826"/>
      <c r="M14" s="826"/>
      <c r="N14" s="826"/>
      <c r="O14" s="826"/>
      <c r="P14" s="826"/>
      <c r="Q14" s="826"/>
      <c r="R14" s="826"/>
      <c r="S14" s="821">
        <f t="shared" si="0"/>
        <v>0</v>
      </c>
      <c r="T14" s="826"/>
      <c r="U14" s="826"/>
      <c r="V14" s="826"/>
      <c r="W14" s="826"/>
      <c r="X14" s="826"/>
      <c r="Y14" s="826"/>
      <c r="Z14" s="826"/>
      <c r="AA14" s="826"/>
      <c r="AB14" s="827"/>
      <c r="AC14" s="819"/>
      <c r="AD14" s="823">
        <f t="shared" si="1"/>
        <v>0</v>
      </c>
    </row>
    <row r="15" spans="1:30" s="824" customFormat="1" hidden="1" x14ac:dyDescent="0.25">
      <c r="A15" s="776">
        <v>11</v>
      </c>
      <c r="B15" s="817"/>
      <c r="C15" s="825"/>
      <c r="D15" s="819"/>
      <c r="E15" s="826"/>
      <c r="F15" s="826"/>
      <c r="G15" s="826"/>
      <c r="H15" s="826"/>
      <c r="I15" s="826"/>
      <c r="J15" s="826"/>
      <c r="K15" s="826"/>
      <c r="L15" s="826"/>
      <c r="M15" s="826"/>
      <c r="N15" s="826"/>
      <c r="O15" s="826"/>
      <c r="P15" s="826"/>
      <c r="Q15" s="826"/>
      <c r="R15" s="826"/>
      <c r="S15" s="821">
        <f t="shared" si="0"/>
        <v>0</v>
      </c>
      <c r="T15" s="826"/>
      <c r="U15" s="826"/>
      <c r="V15" s="826"/>
      <c r="W15" s="826"/>
      <c r="X15" s="826"/>
      <c r="Y15" s="826"/>
      <c r="Z15" s="826"/>
      <c r="AA15" s="826"/>
      <c r="AB15" s="827"/>
      <c r="AC15" s="819"/>
      <c r="AD15" s="823">
        <f t="shared" si="1"/>
        <v>0</v>
      </c>
    </row>
    <row r="16" spans="1:30" s="824" customFormat="1" hidden="1" x14ac:dyDescent="0.25">
      <c r="A16" s="776">
        <v>12</v>
      </c>
      <c r="B16" s="817"/>
      <c r="C16" s="825"/>
      <c r="D16" s="819"/>
      <c r="E16" s="826"/>
      <c r="F16" s="826"/>
      <c r="G16" s="826"/>
      <c r="H16" s="826"/>
      <c r="I16" s="826"/>
      <c r="J16" s="826"/>
      <c r="K16" s="826"/>
      <c r="L16" s="826"/>
      <c r="M16" s="826"/>
      <c r="N16" s="826"/>
      <c r="O16" s="826"/>
      <c r="P16" s="826"/>
      <c r="Q16" s="826"/>
      <c r="R16" s="826"/>
      <c r="S16" s="821">
        <f t="shared" si="0"/>
        <v>0</v>
      </c>
      <c r="T16" s="826"/>
      <c r="U16" s="826"/>
      <c r="V16" s="826"/>
      <c r="W16" s="826"/>
      <c r="X16" s="826"/>
      <c r="Y16" s="826"/>
      <c r="Z16" s="826"/>
      <c r="AA16" s="826"/>
      <c r="AB16" s="827"/>
      <c r="AC16" s="819"/>
      <c r="AD16" s="823">
        <f t="shared" si="1"/>
        <v>0</v>
      </c>
    </row>
    <row r="17" spans="1:30" s="824" customFormat="1" hidden="1" x14ac:dyDescent="0.25">
      <c r="A17" s="776">
        <v>13</v>
      </c>
      <c r="B17" s="817"/>
      <c r="C17" s="825"/>
      <c r="D17" s="819"/>
      <c r="E17" s="826"/>
      <c r="F17" s="826"/>
      <c r="G17" s="826"/>
      <c r="H17" s="826"/>
      <c r="I17" s="826"/>
      <c r="J17" s="826"/>
      <c r="K17" s="826"/>
      <c r="L17" s="826"/>
      <c r="M17" s="826"/>
      <c r="N17" s="826"/>
      <c r="O17" s="826"/>
      <c r="P17" s="826"/>
      <c r="Q17" s="826"/>
      <c r="R17" s="826"/>
      <c r="S17" s="821">
        <f t="shared" si="0"/>
        <v>0</v>
      </c>
      <c r="T17" s="826"/>
      <c r="U17" s="826"/>
      <c r="V17" s="826"/>
      <c r="W17" s="826"/>
      <c r="X17" s="826"/>
      <c r="Y17" s="826"/>
      <c r="Z17" s="826"/>
      <c r="AA17" s="826"/>
      <c r="AB17" s="827"/>
      <c r="AC17" s="819"/>
      <c r="AD17" s="823">
        <f t="shared" si="1"/>
        <v>0</v>
      </c>
    </row>
    <row r="18" spans="1:30" s="824" customFormat="1" x14ac:dyDescent="0.25">
      <c r="A18" s="776"/>
      <c r="B18" s="817"/>
      <c r="C18" s="825"/>
      <c r="D18" s="819"/>
      <c r="E18" s="826"/>
      <c r="F18" s="826"/>
      <c r="G18" s="826"/>
      <c r="H18" s="826"/>
      <c r="I18" s="826"/>
      <c r="J18" s="826"/>
      <c r="K18" s="826"/>
      <c r="L18" s="826"/>
      <c r="M18" s="826"/>
      <c r="N18" s="826"/>
      <c r="O18" s="826"/>
      <c r="P18" s="826"/>
      <c r="Q18" s="826"/>
      <c r="R18" s="826"/>
      <c r="S18" s="821">
        <f t="shared" si="0"/>
        <v>0</v>
      </c>
      <c r="T18" s="826"/>
      <c r="U18" s="826"/>
      <c r="V18" s="826"/>
      <c r="W18" s="826"/>
      <c r="X18" s="826"/>
      <c r="Y18" s="826"/>
      <c r="Z18" s="826"/>
      <c r="AA18" s="826"/>
      <c r="AB18" s="827"/>
      <c r="AC18" s="819"/>
      <c r="AD18" s="823">
        <f t="shared" si="1"/>
        <v>0</v>
      </c>
    </row>
    <row r="19" spans="1:30" ht="13.5" thickBot="1" x14ac:dyDescent="0.25">
      <c r="A19" s="807"/>
      <c r="B19" s="816"/>
      <c r="C19" s="808" t="s">
        <v>180</v>
      </c>
      <c r="D19" s="809"/>
      <c r="E19" s="810">
        <f t="shared" ref="E19:R19" si="2">SUM(E5:E18)</f>
        <v>65</v>
      </c>
      <c r="F19" s="810">
        <f t="shared" si="2"/>
        <v>3</v>
      </c>
      <c r="G19" s="810">
        <f t="shared" si="2"/>
        <v>0</v>
      </c>
      <c r="H19" s="810">
        <f t="shared" si="2"/>
        <v>0</v>
      </c>
      <c r="I19" s="810">
        <f t="shared" si="2"/>
        <v>0</v>
      </c>
      <c r="J19" s="810">
        <f t="shared" si="2"/>
        <v>0</v>
      </c>
      <c r="K19" s="810">
        <f t="shared" si="2"/>
        <v>0</v>
      </c>
      <c r="L19" s="810">
        <f t="shared" si="2"/>
        <v>0</v>
      </c>
      <c r="M19" s="810">
        <f t="shared" si="2"/>
        <v>23</v>
      </c>
      <c r="N19" s="810">
        <f t="shared" si="2"/>
        <v>0</v>
      </c>
      <c r="O19" s="810">
        <f t="shared" si="2"/>
        <v>0</v>
      </c>
      <c r="P19" s="810">
        <f t="shared" si="2"/>
        <v>0</v>
      </c>
      <c r="Q19" s="810">
        <f t="shared" si="2"/>
        <v>0</v>
      </c>
      <c r="R19" s="810">
        <f t="shared" si="2"/>
        <v>0</v>
      </c>
      <c r="S19" s="811">
        <f>SUM(E19:R19)</f>
        <v>91</v>
      </c>
      <c r="T19" s="810">
        <f t="shared" ref="T19:AB19" si="3">SUM(T5:T18)</f>
        <v>0</v>
      </c>
      <c r="U19" s="810">
        <f t="shared" si="3"/>
        <v>0</v>
      </c>
      <c r="V19" s="810">
        <f t="shared" si="3"/>
        <v>54</v>
      </c>
      <c r="W19" s="810">
        <f t="shared" si="3"/>
        <v>37</v>
      </c>
      <c r="X19" s="810">
        <f t="shared" si="3"/>
        <v>0</v>
      </c>
      <c r="Y19" s="810">
        <f t="shared" si="3"/>
        <v>0</v>
      </c>
      <c r="Z19" s="810">
        <f t="shared" si="3"/>
        <v>0</v>
      </c>
      <c r="AA19" s="810">
        <f t="shared" si="3"/>
        <v>0</v>
      </c>
      <c r="AB19" s="810">
        <f t="shared" si="3"/>
        <v>0</v>
      </c>
      <c r="AC19" s="810">
        <f>SUM(AC5:AC16)</f>
        <v>0</v>
      </c>
      <c r="AD19" s="812">
        <f>SUM(T19:AB19)</f>
        <v>91</v>
      </c>
    </row>
  </sheetData>
  <mergeCells count="25">
    <mergeCell ref="Y3:Y4"/>
    <mergeCell ref="Z3:AA3"/>
    <mergeCell ref="AB3:AB4"/>
    <mergeCell ref="Q3:Q4"/>
    <mergeCell ref="R3:R4"/>
    <mergeCell ref="T3:T4"/>
    <mergeCell ref="U3:U4"/>
    <mergeCell ref="V3:V4"/>
    <mergeCell ref="W3:X3"/>
    <mergeCell ref="P3:P4"/>
    <mergeCell ref="AA1:AD1"/>
    <mergeCell ref="A2:A4"/>
    <mergeCell ref="B2:B4"/>
    <mergeCell ref="C2:C4"/>
    <mergeCell ref="D2:D4"/>
    <mergeCell ref="E2:R2"/>
    <mergeCell ref="S2:S4"/>
    <mergeCell ref="T2:AB2"/>
    <mergeCell ref="AC2:AC4"/>
    <mergeCell ref="AD2:AD4"/>
    <mergeCell ref="E3:E4"/>
    <mergeCell ref="F3:F4"/>
    <mergeCell ref="G3:L3"/>
    <mergeCell ref="M3:M4"/>
    <mergeCell ref="N3:O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headerFooter>
    <oddHeader>&amp;C&amp;"Times New Roman,Félkövér"&amp;12Martonvásár Város Önkormányzatának 2018. évi költségvetés módosításainak részletezése
Polgármesteri Hivatal&amp;R&amp;"Times New Roman,Félkövér"&amp;12 12.b melléklet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view="pageLayout" zoomScaleNormal="100" workbookViewId="0">
      <selection activeCell="M21" sqref="M21"/>
    </sheetView>
  </sheetViews>
  <sheetFormatPr defaultColWidth="9.140625" defaultRowHeight="12.75" x14ac:dyDescent="0.2"/>
  <cols>
    <col min="1" max="1" width="5.7109375" style="774" customWidth="1"/>
    <col min="2" max="2" width="48.140625" style="774" bestFit="1" customWidth="1"/>
    <col min="3" max="3" width="7.28515625" style="774" bestFit="1" customWidth="1"/>
    <col min="4" max="4" width="5.5703125" style="774" bestFit="1" customWidth="1"/>
    <col min="5" max="5" width="6.7109375" style="774" bestFit="1" customWidth="1"/>
    <col min="6" max="6" width="5.28515625" style="774" bestFit="1" customWidth="1"/>
    <col min="7" max="7" width="8.5703125" style="774" customWidth="1"/>
    <col min="8" max="8" width="7.28515625" style="774" customWidth="1"/>
    <col min="9" max="9" width="6.5703125" style="774" customWidth="1"/>
    <col min="10" max="10" width="8.140625" style="774" customWidth="1"/>
    <col min="11" max="11" width="9" style="774" customWidth="1"/>
    <col min="12" max="12" width="8.85546875" style="774" customWidth="1"/>
    <col min="13" max="13" width="8.28515625" style="774" customWidth="1"/>
    <col min="14" max="15" width="9.140625" style="774"/>
    <col min="16" max="17" width="9" style="774" customWidth="1"/>
    <col min="18" max="18" width="6.85546875" style="774" customWidth="1"/>
    <col min="19" max="19" width="7.85546875" style="774" customWidth="1"/>
    <col min="20" max="20" width="9.28515625" style="774" customWidth="1"/>
    <col min="21" max="16384" width="9.140625" style="774"/>
  </cols>
  <sheetData>
    <row r="1" spans="1:21" ht="15" customHeight="1" thickBot="1" x14ac:dyDescent="0.25">
      <c r="S1" s="1319" t="s">
        <v>390</v>
      </c>
      <c r="T1" s="1319"/>
      <c r="U1" s="1319"/>
    </row>
    <row r="2" spans="1:21" ht="31.5" customHeight="1" x14ac:dyDescent="0.2">
      <c r="A2" s="1320" t="s">
        <v>347</v>
      </c>
      <c r="B2" s="1325" t="s">
        <v>790</v>
      </c>
      <c r="C2" s="1327" t="s">
        <v>308</v>
      </c>
      <c r="D2" s="1327"/>
      <c r="E2" s="1327"/>
      <c r="F2" s="1327"/>
      <c r="G2" s="1327"/>
      <c r="H2" s="1327"/>
      <c r="I2" s="1327"/>
      <c r="J2" s="1327"/>
      <c r="K2" s="1340" t="s">
        <v>287</v>
      </c>
      <c r="L2" s="1327" t="s">
        <v>301</v>
      </c>
      <c r="M2" s="1327"/>
      <c r="N2" s="1327"/>
      <c r="O2" s="1327"/>
      <c r="P2" s="1327"/>
      <c r="Q2" s="1327"/>
      <c r="R2" s="1327"/>
      <c r="S2" s="1327"/>
      <c r="T2" s="1328"/>
      <c r="U2" s="1342" t="s">
        <v>819</v>
      </c>
    </row>
    <row r="3" spans="1:21" s="799" customFormat="1" ht="25.5" customHeight="1" x14ac:dyDescent="0.25">
      <c r="A3" s="1321"/>
      <c r="B3" s="1326"/>
      <c r="C3" s="1326" t="s">
        <v>820</v>
      </c>
      <c r="D3" s="1326" t="s">
        <v>821</v>
      </c>
      <c r="E3" s="1326" t="s">
        <v>151</v>
      </c>
      <c r="F3" s="1326" t="s">
        <v>163</v>
      </c>
      <c r="G3" s="1333"/>
      <c r="H3" s="1326" t="s">
        <v>795</v>
      </c>
      <c r="I3" s="1326" t="s">
        <v>683</v>
      </c>
      <c r="J3" s="1326" t="s">
        <v>823</v>
      </c>
      <c r="K3" s="1341"/>
      <c r="L3" s="1326" t="s">
        <v>807</v>
      </c>
      <c r="M3" s="1326" t="s">
        <v>808</v>
      </c>
      <c r="N3" s="1326" t="s">
        <v>799</v>
      </c>
      <c r="O3" s="1326" t="s">
        <v>824</v>
      </c>
      <c r="P3" s="1333"/>
      <c r="Q3" s="1344" t="s">
        <v>825</v>
      </c>
      <c r="R3" s="1326" t="s">
        <v>826</v>
      </c>
      <c r="S3" s="1333"/>
      <c r="T3" s="1344" t="s">
        <v>841</v>
      </c>
      <c r="U3" s="1343"/>
    </row>
    <row r="4" spans="1:21" s="799" customFormat="1" ht="23.25" customHeight="1" x14ac:dyDescent="0.25">
      <c r="A4" s="1321"/>
      <c r="B4" s="1326"/>
      <c r="C4" s="1326"/>
      <c r="D4" s="1326"/>
      <c r="E4" s="1326"/>
      <c r="F4" s="841" t="s">
        <v>816</v>
      </c>
      <c r="G4" s="841" t="s">
        <v>817</v>
      </c>
      <c r="H4" s="1326"/>
      <c r="I4" s="1326"/>
      <c r="J4" s="1326"/>
      <c r="K4" s="1341"/>
      <c r="L4" s="1326"/>
      <c r="M4" s="1326"/>
      <c r="N4" s="1326"/>
      <c r="O4" s="841" t="s">
        <v>833</v>
      </c>
      <c r="P4" s="841" t="s">
        <v>834</v>
      </c>
      <c r="Q4" s="1345"/>
      <c r="R4" s="841" t="s">
        <v>833</v>
      </c>
      <c r="S4" s="841" t="s">
        <v>834</v>
      </c>
      <c r="T4" s="1346"/>
      <c r="U4" s="1343"/>
    </row>
    <row r="5" spans="1:21" x14ac:dyDescent="0.2">
      <c r="A5" s="935">
        <v>3</v>
      </c>
      <c r="B5" s="785" t="s">
        <v>557</v>
      </c>
      <c r="C5" s="820">
        <v>24</v>
      </c>
      <c r="D5" s="820">
        <v>5</v>
      </c>
      <c r="E5" s="820"/>
      <c r="F5" s="820"/>
      <c r="G5" s="820"/>
      <c r="H5" s="820"/>
      <c r="I5" s="820"/>
      <c r="J5" s="820"/>
      <c r="K5" s="821">
        <f t="shared" ref="K5:K21" si="0">SUM(C5:J5)</f>
        <v>29</v>
      </c>
      <c r="L5" s="820"/>
      <c r="M5" s="820"/>
      <c r="N5" s="820">
        <v>29</v>
      </c>
      <c r="O5" s="820"/>
      <c r="P5" s="820"/>
      <c r="Q5" s="820"/>
      <c r="R5" s="820"/>
      <c r="S5" s="820"/>
      <c r="T5" s="822"/>
      <c r="U5" s="823">
        <f t="shared" ref="U5:U21" si="1">SUM(L5:T5)</f>
        <v>29</v>
      </c>
    </row>
    <row r="6" spans="1:21" x14ac:dyDescent="0.2">
      <c r="A6" s="935">
        <v>4</v>
      </c>
      <c r="B6" s="785" t="s">
        <v>922</v>
      </c>
      <c r="C6" s="820"/>
      <c r="D6" s="820"/>
      <c r="E6" s="820">
        <v>240</v>
      </c>
      <c r="F6" s="820"/>
      <c r="G6" s="820"/>
      <c r="H6" s="820"/>
      <c r="I6" s="820"/>
      <c r="J6" s="820"/>
      <c r="K6" s="821">
        <f t="shared" si="0"/>
        <v>240</v>
      </c>
      <c r="L6" s="820"/>
      <c r="M6" s="820">
        <v>240</v>
      </c>
      <c r="N6" s="820"/>
      <c r="O6" s="820"/>
      <c r="P6" s="820"/>
      <c r="Q6" s="820"/>
      <c r="R6" s="820"/>
      <c r="S6" s="820"/>
      <c r="T6" s="822"/>
      <c r="U6" s="823">
        <f t="shared" si="1"/>
        <v>240</v>
      </c>
    </row>
    <row r="7" spans="1:21" x14ac:dyDescent="0.2">
      <c r="A7" s="935"/>
      <c r="B7" s="785"/>
      <c r="C7" s="826"/>
      <c r="D7" s="826"/>
      <c r="E7" s="826"/>
      <c r="F7" s="826"/>
      <c r="G7" s="826"/>
      <c r="H7" s="826"/>
      <c r="I7" s="826"/>
      <c r="J7" s="826"/>
      <c r="K7" s="821"/>
      <c r="L7" s="826"/>
      <c r="M7" s="826"/>
      <c r="N7" s="826"/>
      <c r="O7" s="826"/>
      <c r="P7" s="826"/>
      <c r="Q7" s="826"/>
      <c r="R7" s="826"/>
      <c r="S7" s="826"/>
      <c r="T7" s="827"/>
      <c r="U7" s="823"/>
    </row>
    <row r="8" spans="1:21" x14ac:dyDescent="0.2">
      <c r="A8" s="935"/>
      <c r="B8" s="786"/>
      <c r="C8" s="826"/>
      <c r="D8" s="826"/>
      <c r="E8" s="826"/>
      <c r="F8" s="826"/>
      <c r="G8" s="826"/>
      <c r="H8" s="826"/>
      <c r="I8" s="826"/>
      <c r="J8" s="826"/>
      <c r="K8" s="821"/>
      <c r="L8" s="826"/>
      <c r="M8" s="826"/>
      <c r="N8" s="826"/>
      <c r="O8" s="826"/>
      <c r="P8" s="826"/>
      <c r="Q8" s="826"/>
      <c r="R8" s="826"/>
      <c r="S8" s="826"/>
      <c r="T8" s="827"/>
      <c r="U8" s="823"/>
    </row>
    <row r="9" spans="1:21" hidden="1" x14ac:dyDescent="0.2">
      <c r="A9" s="801"/>
      <c r="B9" s="785"/>
      <c r="C9" s="826"/>
      <c r="D9" s="826"/>
      <c r="E9" s="826"/>
      <c r="F9" s="826"/>
      <c r="G9" s="826"/>
      <c r="H9" s="826"/>
      <c r="I9" s="826"/>
      <c r="J9" s="826"/>
      <c r="K9" s="821">
        <f t="shared" si="0"/>
        <v>0</v>
      </c>
      <c r="L9" s="826"/>
      <c r="M9" s="826"/>
      <c r="N9" s="826"/>
      <c r="O9" s="826"/>
      <c r="P9" s="826"/>
      <c r="Q9" s="826"/>
      <c r="R9" s="826"/>
      <c r="S9" s="826"/>
      <c r="T9" s="827"/>
      <c r="U9" s="823">
        <f t="shared" si="1"/>
        <v>0</v>
      </c>
    </row>
    <row r="10" spans="1:21" hidden="1" x14ac:dyDescent="0.2">
      <c r="A10" s="801"/>
      <c r="B10" s="785"/>
      <c r="C10" s="826"/>
      <c r="D10" s="826"/>
      <c r="E10" s="826"/>
      <c r="F10" s="826"/>
      <c r="G10" s="826"/>
      <c r="H10" s="826"/>
      <c r="I10" s="826"/>
      <c r="J10" s="826"/>
      <c r="K10" s="821">
        <f t="shared" si="0"/>
        <v>0</v>
      </c>
      <c r="L10" s="826"/>
      <c r="M10" s="826"/>
      <c r="N10" s="826"/>
      <c r="O10" s="826"/>
      <c r="P10" s="826"/>
      <c r="Q10" s="826"/>
      <c r="R10" s="826"/>
      <c r="S10" s="826"/>
      <c r="T10" s="827"/>
      <c r="U10" s="823">
        <f t="shared" si="1"/>
        <v>0</v>
      </c>
    </row>
    <row r="11" spans="1:21" hidden="1" x14ac:dyDescent="0.2">
      <c r="A11" s="801"/>
      <c r="B11" s="785"/>
      <c r="C11" s="826"/>
      <c r="D11" s="826"/>
      <c r="E11" s="826"/>
      <c r="F11" s="826"/>
      <c r="G11" s="826"/>
      <c r="H11" s="826"/>
      <c r="I11" s="826"/>
      <c r="J11" s="826"/>
      <c r="K11" s="821">
        <f t="shared" si="0"/>
        <v>0</v>
      </c>
      <c r="L11" s="826"/>
      <c r="M11" s="826"/>
      <c r="N11" s="826"/>
      <c r="O11" s="826"/>
      <c r="P11" s="826"/>
      <c r="Q11" s="826"/>
      <c r="R11" s="826"/>
      <c r="S11" s="826"/>
      <c r="T11" s="827"/>
      <c r="U11" s="823">
        <f t="shared" si="1"/>
        <v>0</v>
      </c>
    </row>
    <row r="12" spans="1:21" hidden="1" x14ac:dyDescent="0.2">
      <c r="A12" s="801"/>
      <c r="B12" s="785"/>
      <c r="C12" s="826"/>
      <c r="D12" s="826"/>
      <c r="E12" s="826"/>
      <c r="F12" s="826"/>
      <c r="G12" s="826"/>
      <c r="H12" s="826"/>
      <c r="I12" s="826"/>
      <c r="J12" s="826"/>
      <c r="K12" s="821">
        <f t="shared" si="0"/>
        <v>0</v>
      </c>
      <c r="L12" s="826"/>
      <c r="M12" s="826"/>
      <c r="N12" s="826"/>
      <c r="O12" s="826"/>
      <c r="P12" s="826"/>
      <c r="Q12" s="826"/>
      <c r="R12" s="826"/>
      <c r="S12" s="826"/>
      <c r="T12" s="827"/>
      <c r="U12" s="823">
        <f t="shared" si="1"/>
        <v>0</v>
      </c>
    </row>
    <row r="13" spans="1:21" hidden="1" x14ac:dyDescent="0.2">
      <c r="A13" s="801"/>
      <c r="B13" s="785"/>
      <c r="C13" s="826"/>
      <c r="D13" s="826"/>
      <c r="E13" s="826"/>
      <c r="F13" s="826"/>
      <c r="G13" s="826"/>
      <c r="H13" s="826"/>
      <c r="I13" s="826"/>
      <c r="J13" s="826"/>
      <c r="K13" s="821">
        <f t="shared" si="0"/>
        <v>0</v>
      </c>
      <c r="L13" s="826"/>
      <c r="M13" s="826"/>
      <c r="N13" s="826"/>
      <c r="O13" s="826"/>
      <c r="P13" s="826"/>
      <c r="Q13" s="826"/>
      <c r="R13" s="826"/>
      <c r="S13" s="826"/>
      <c r="T13" s="827"/>
      <c r="U13" s="823">
        <f t="shared" si="1"/>
        <v>0</v>
      </c>
    </row>
    <row r="14" spans="1:21" hidden="1" x14ac:dyDescent="0.2">
      <c r="A14" s="801"/>
      <c r="B14" s="785"/>
      <c r="C14" s="826"/>
      <c r="D14" s="826"/>
      <c r="E14" s="826"/>
      <c r="F14" s="826"/>
      <c r="G14" s="826"/>
      <c r="H14" s="826"/>
      <c r="I14" s="826"/>
      <c r="J14" s="826"/>
      <c r="K14" s="821">
        <f t="shared" si="0"/>
        <v>0</v>
      </c>
      <c r="L14" s="826"/>
      <c r="M14" s="826"/>
      <c r="N14" s="826"/>
      <c r="O14" s="826"/>
      <c r="P14" s="826"/>
      <c r="Q14" s="826"/>
      <c r="R14" s="826"/>
      <c r="S14" s="826"/>
      <c r="T14" s="827"/>
      <c r="U14" s="823">
        <f t="shared" si="1"/>
        <v>0</v>
      </c>
    </row>
    <row r="15" spans="1:21" hidden="1" x14ac:dyDescent="0.2">
      <c r="A15" s="801"/>
      <c r="B15" s="785"/>
      <c r="C15" s="826"/>
      <c r="D15" s="826"/>
      <c r="E15" s="826"/>
      <c r="F15" s="826"/>
      <c r="G15" s="826"/>
      <c r="H15" s="826"/>
      <c r="I15" s="826"/>
      <c r="J15" s="826"/>
      <c r="K15" s="821">
        <f t="shared" si="0"/>
        <v>0</v>
      </c>
      <c r="L15" s="826"/>
      <c r="M15" s="826"/>
      <c r="N15" s="826"/>
      <c r="O15" s="826"/>
      <c r="P15" s="826"/>
      <c r="Q15" s="826"/>
      <c r="R15" s="826"/>
      <c r="S15" s="826"/>
      <c r="T15" s="827"/>
      <c r="U15" s="823">
        <f t="shared" si="1"/>
        <v>0</v>
      </c>
    </row>
    <row r="16" spans="1:21" hidden="1" x14ac:dyDescent="0.2">
      <c r="A16" s="801"/>
      <c r="B16" s="785"/>
      <c r="C16" s="826"/>
      <c r="D16" s="826"/>
      <c r="E16" s="826"/>
      <c r="F16" s="826"/>
      <c r="G16" s="826"/>
      <c r="H16" s="826"/>
      <c r="I16" s="826"/>
      <c r="J16" s="826"/>
      <c r="K16" s="821">
        <f t="shared" si="0"/>
        <v>0</v>
      </c>
      <c r="L16" s="826"/>
      <c r="M16" s="826"/>
      <c r="N16" s="826"/>
      <c r="O16" s="826"/>
      <c r="P16" s="826"/>
      <c r="Q16" s="826"/>
      <c r="R16" s="826"/>
      <c r="S16" s="826"/>
      <c r="T16" s="827"/>
      <c r="U16" s="823">
        <f t="shared" si="1"/>
        <v>0</v>
      </c>
    </row>
    <row r="17" spans="1:21" hidden="1" x14ac:dyDescent="0.2">
      <c r="A17" s="801"/>
      <c r="B17" s="785"/>
      <c r="C17" s="826"/>
      <c r="D17" s="826"/>
      <c r="E17" s="826"/>
      <c r="F17" s="826"/>
      <c r="G17" s="826"/>
      <c r="H17" s="826"/>
      <c r="I17" s="826"/>
      <c r="J17" s="826"/>
      <c r="K17" s="821">
        <f t="shared" si="0"/>
        <v>0</v>
      </c>
      <c r="L17" s="826"/>
      <c r="M17" s="826"/>
      <c r="N17" s="826"/>
      <c r="O17" s="826"/>
      <c r="P17" s="826"/>
      <c r="Q17" s="826"/>
      <c r="R17" s="826"/>
      <c r="S17" s="826"/>
      <c r="T17" s="827"/>
      <c r="U17" s="823">
        <f t="shared" si="1"/>
        <v>0</v>
      </c>
    </row>
    <row r="18" spans="1:21" hidden="1" x14ac:dyDescent="0.2">
      <c r="A18" s="801"/>
      <c r="B18" s="785"/>
      <c r="C18" s="826"/>
      <c r="D18" s="826"/>
      <c r="E18" s="826"/>
      <c r="F18" s="826"/>
      <c r="G18" s="826"/>
      <c r="H18" s="826"/>
      <c r="I18" s="826"/>
      <c r="J18" s="826"/>
      <c r="K18" s="821">
        <f t="shared" si="0"/>
        <v>0</v>
      </c>
      <c r="L18" s="826"/>
      <c r="M18" s="826"/>
      <c r="N18" s="826"/>
      <c r="O18" s="826"/>
      <c r="P18" s="826"/>
      <c r="Q18" s="826"/>
      <c r="R18" s="826"/>
      <c r="S18" s="826"/>
      <c r="T18" s="827"/>
      <c r="U18" s="823">
        <f t="shared" si="1"/>
        <v>0</v>
      </c>
    </row>
    <row r="19" spans="1:21" x14ac:dyDescent="0.2">
      <c r="A19" s="801"/>
      <c r="B19" s="785"/>
      <c r="C19" s="826"/>
      <c r="D19" s="826"/>
      <c r="E19" s="826"/>
      <c r="F19" s="826"/>
      <c r="G19" s="826"/>
      <c r="H19" s="826"/>
      <c r="I19" s="826"/>
      <c r="J19" s="826"/>
      <c r="K19" s="821">
        <f t="shared" si="0"/>
        <v>0</v>
      </c>
      <c r="L19" s="826"/>
      <c r="M19" s="826"/>
      <c r="N19" s="826"/>
      <c r="O19" s="826"/>
      <c r="P19" s="826"/>
      <c r="Q19" s="826"/>
      <c r="R19" s="826"/>
      <c r="S19" s="826"/>
      <c r="T19" s="827"/>
      <c r="U19" s="823">
        <f t="shared" si="1"/>
        <v>0</v>
      </c>
    </row>
    <row r="20" spans="1:21" x14ac:dyDescent="0.2">
      <c r="A20" s="801"/>
      <c r="B20" s="785"/>
      <c r="C20" s="826"/>
      <c r="D20" s="826"/>
      <c r="E20" s="826"/>
      <c r="F20" s="826"/>
      <c r="G20" s="826"/>
      <c r="H20" s="826"/>
      <c r="I20" s="826"/>
      <c r="J20" s="826"/>
      <c r="K20" s="821">
        <f t="shared" si="0"/>
        <v>0</v>
      </c>
      <c r="L20" s="826"/>
      <c r="M20" s="826"/>
      <c r="N20" s="826"/>
      <c r="O20" s="826"/>
      <c r="P20" s="826"/>
      <c r="Q20" s="826"/>
      <c r="R20" s="826"/>
      <c r="S20" s="826"/>
      <c r="T20" s="827"/>
      <c r="U20" s="823">
        <f t="shared" si="1"/>
        <v>0</v>
      </c>
    </row>
    <row r="21" spans="1:21" ht="13.5" thickBot="1" x14ac:dyDescent="0.25">
      <c r="A21" s="807"/>
      <c r="B21" s="808" t="s">
        <v>180</v>
      </c>
      <c r="C21" s="936">
        <f t="shared" ref="C21:J21" si="2">SUM(C5:C20)</f>
        <v>24</v>
      </c>
      <c r="D21" s="937">
        <f t="shared" si="2"/>
        <v>5</v>
      </c>
      <c r="E21" s="937">
        <f t="shared" si="2"/>
        <v>240</v>
      </c>
      <c r="F21" s="937">
        <f t="shared" si="2"/>
        <v>0</v>
      </c>
      <c r="G21" s="937">
        <f t="shared" si="2"/>
        <v>0</v>
      </c>
      <c r="H21" s="937">
        <f t="shared" si="2"/>
        <v>0</v>
      </c>
      <c r="I21" s="936">
        <f t="shared" si="2"/>
        <v>0</v>
      </c>
      <c r="J21" s="936">
        <f t="shared" si="2"/>
        <v>0</v>
      </c>
      <c r="K21" s="938">
        <f t="shared" si="0"/>
        <v>269</v>
      </c>
      <c r="L21" s="936">
        <f t="shared" ref="L21:T21" si="3">SUM(L5:L20)</f>
        <v>0</v>
      </c>
      <c r="M21" s="936">
        <f t="shared" si="3"/>
        <v>240</v>
      </c>
      <c r="N21" s="936">
        <f t="shared" si="3"/>
        <v>29</v>
      </c>
      <c r="O21" s="936">
        <f t="shared" si="3"/>
        <v>0</v>
      </c>
      <c r="P21" s="936">
        <f t="shared" si="3"/>
        <v>0</v>
      </c>
      <c r="Q21" s="936">
        <f t="shared" si="3"/>
        <v>0</v>
      </c>
      <c r="R21" s="936">
        <f t="shared" si="3"/>
        <v>0</v>
      </c>
      <c r="S21" s="936">
        <f t="shared" si="3"/>
        <v>0</v>
      </c>
      <c r="T21" s="936">
        <f t="shared" si="3"/>
        <v>0</v>
      </c>
      <c r="U21" s="939">
        <f t="shared" si="1"/>
        <v>269</v>
      </c>
    </row>
  </sheetData>
  <mergeCells count="21">
    <mergeCell ref="L3:L4"/>
    <mergeCell ref="M3:M4"/>
    <mergeCell ref="N3:N4"/>
    <mergeCell ref="O3:P3"/>
    <mergeCell ref="Q3:Q4"/>
    <mergeCell ref="S1:U1"/>
    <mergeCell ref="A2:A4"/>
    <mergeCell ref="B2:B4"/>
    <mergeCell ref="C2:J2"/>
    <mergeCell ref="K2:K4"/>
    <mergeCell ref="L2:T2"/>
    <mergeCell ref="U2:U4"/>
    <mergeCell ref="C3:C4"/>
    <mergeCell ref="D3:D4"/>
    <mergeCell ref="T3:T4"/>
    <mergeCell ref="E3:E4"/>
    <mergeCell ref="F3:G3"/>
    <mergeCell ref="H3:H4"/>
    <mergeCell ref="I3:I4"/>
    <mergeCell ref="J3:J4"/>
    <mergeCell ref="R3:S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Header>&amp;C&amp;"Times New Roman,Félkövér"&amp;12Martonvásár Város Önkormányzatának 2018. évi költségvetés módosításainak részletezése
Brunszvik Teréz Óvoda&amp;R&amp;"Times New Roman,Félkövér"&amp;12 12.c melléklet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5"/>
  <sheetViews>
    <sheetView zoomScaleNormal="100" workbookViewId="0">
      <selection activeCell="T15" sqref="T15"/>
    </sheetView>
  </sheetViews>
  <sheetFormatPr defaultColWidth="9.140625" defaultRowHeight="12.75" x14ac:dyDescent="0.2"/>
  <cols>
    <col min="1" max="1" width="5.7109375" style="774" customWidth="1"/>
    <col min="2" max="2" width="48.140625" style="774" customWidth="1"/>
    <col min="3" max="3" width="6.140625" style="774" hidden="1" customWidth="1"/>
    <col min="4" max="4" width="7.42578125" style="774" customWidth="1"/>
    <col min="5" max="5" width="5.7109375" style="774" customWidth="1"/>
    <col min="6" max="7" width="5.5703125" style="774" hidden="1" customWidth="1"/>
    <col min="8" max="8" width="5.42578125" style="774" hidden="1" customWidth="1"/>
    <col min="9" max="9" width="5.28515625" style="774" hidden="1" customWidth="1"/>
    <col min="10" max="10" width="5.140625" style="774" hidden="1" customWidth="1"/>
    <col min="11" max="11" width="0.140625" style="774" hidden="1" customWidth="1"/>
    <col min="12" max="12" width="8.140625" style="774" customWidth="1"/>
    <col min="13" max="13" width="7.85546875" style="774" customWidth="1"/>
    <col min="14" max="14" width="8.5703125" style="774" customWidth="1"/>
    <col min="15" max="15" width="7.28515625" style="774" customWidth="1"/>
    <col min="16" max="16" width="6.5703125" style="774" customWidth="1"/>
    <col min="17" max="17" width="8.140625" style="774" customWidth="1"/>
    <col min="18" max="18" width="9" style="774" customWidth="1"/>
    <col min="19" max="19" width="8.85546875" style="774" customWidth="1"/>
    <col min="20" max="20" width="8.28515625" style="774" customWidth="1"/>
    <col min="21" max="22" width="9.140625" style="774"/>
    <col min="23" max="24" width="9" style="774" customWidth="1"/>
    <col min="25" max="25" width="6.85546875" style="774" customWidth="1"/>
    <col min="26" max="26" width="7.85546875" style="774" customWidth="1"/>
    <col min="27" max="27" width="9.28515625" style="774" customWidth="1"/>
    <col min="28" max="28" width="7" style="774" hidden="1" customWidth="1"/>
    <col min="29" max="16384" width="9.140625" style="774"/>
  </cols>
  <sheetData>
    <row r="1" spans="1:29" ht="15" customHeight="1" thickBot="1" x14ac:dyDescent="0.25">
      <c r="Z1" s="1319" t="s">
        <v>390</v>
      </c>
      <c r="AA1" s="1319"/>
      <c r="AB1" s="1319"/>
      <c r="AC1" s="1319"/>
    </row>
    <row r="2" spans="1:29" ht="31.5" customHeight="1" x14ac:dyDescent="0.2">
      <c r="A2" s="1320" t="s">
        <v>347</v>
      </c>
      <c r="B2" s="1325" t="s">
        <v>790</v>
      </c>
      <c r="C2" s="1325" t="s">
        <v>818</v>
      </c>
      <c r="D2" s="1327" t="s">
        <v>308</v>
      </c>
      <c r="E2" s="1327"/>
      <c r="F2" s="1327"/>
      <c r="G2" s="1327"/>
      <c r="H2" s="1327"/>
      <c r="I2" s="1327"/>
      <c r="J2" s="1327"/>
      <c r="K2" s="1327"/>
      <c r="L2" s="1327"/>
      <c r="M2" s="1327"/>
      <c r="N2" s="1327"/>
      <c r="O2" s="1327"/>
      <c r="P2" s="1327"/>
      <c r="Q2" s="1327"/>
      <c r="R2" s="1340" t="s">
        <v>287</v>
      </c>
      <c r="S2" s="1327" t="s">
        <v>301</v>
      </c>
      <c r="T2" s="1327"/>
      <c r="U2" s="1327"/>
      <c r="V2" s="1327"/>
      <c r="W2" s="1327"/>
      <c r="X2" s="1327"/>
      <c r="Y2" s="1327"/>
      <c r="Z2" s="1327"/>
      <c r="AA2" s="1328"/>
      <c r="AB2" s="1340" t="s">
        <v>791</v>
      </c>
      <c r="AC2" s="1342" t="s">
        <v>819</v>
      </c>
    </row>
    <row r="3" spans="1:29" s="799" customFormat="1" ht="25.5" customHeight="1" x14ac:dyDescent="0.25">
      <c r="A3" s="1321"/>
      <c r="B3" s="1326"/>
      <c r="C3" s="1339"/>
      <c r="D3" s="1326" t="s">
        <v>820</v>
      </c>
      <c r="E3" s="1326" t="s">
        <v>821</v>
      </c>
      <c r="F3" s="1326" t="s">
        <v>822</v>
      </c>
      <c r="G3" s="1326"/>
      <c r="H3" s="1326"/>
      <c r="I3" s="1326"/>
      <c r="J3" s="1326"/>
      <c r="K3" s="1326"/>
      <c r="L3" s="1326" t="s">
        <v>151</v>
      </c>
      <c r="M3" s="1326" t="s">
        <v>163</v>
      </c>
      <c r="N3" s="1333"/>
      <c r="O3" s="1326" t="s">
        <v>795</v>
      </c>
      <c r="P3" s="1326" t="s">
        <v>683</v>
      </c>
      <c r="Q3" s="1326" t="s">
        <v>823</v>
      </c>
      <c r="R3" s="1341"/>
      <c r="S3" s="1326" t="s">
        <v>807</v>
      </c>
      <c r="T3" s="1326" t="s">
        <v>808</v>
      </c>
      <c r="U3" s="1326" t="s">
        <v>799</v>
      </c>
      <c r="V3" s="1326" t="s">
        <v>824</v>
      </c>
      <c r="W3" s="1333"/>
      <c r="X3" s="1344" t="s">
        <v>825</v>
      </c>
      <c r="Y3" s="1326" t="s">
        <v>826</v>
      </c>
      <c r="Z3" s="1333"/>
      <c r="AA3" s="1344" t="s">
        <v>841</v>
      </c>
      <c r="AB3" s="1341"/>
      <c r="AC3" s="1343"/>
    </row>
    <row r="4" spans="1:29" s="799" customFormat="1" ht="23.25" customHeight="1" x14ac:dyDescent="0.25">
      <c r="A4" s="1321"/>
      <c r="B4" s="1326"/>
      <c r="C4" s="1339"/>
      <c r="D4" s="1326"/>
      <c r="E4" s="1326"/>
      <c r="F4" s="800" t="s">
        <v>827</v>
      </c>
      <c r="G4" s="800" t="s">
        <v>828</v>
      </c>
      <c r="H4" s="800" t="s">
        <v>829</v>
      </c>
      <c r="I4" s="800" t="s">
        <v>830</v>
      </c>
      <c r="J4" s="800" t="s">
        <v>831</v>
      </c>
      <c r="K4" s="800" t="s">
        <v>832</v>
      </c>
      <c r="L4" s="1326"/>
      <c r="M4" s="841" t="s">
        <v>816</v>
      </c>
      <c r="N4" s="841" t="s">
        <v>817</v>
      </c>
      <c r="O4" s="1326"/>
      <c r="P4" s="1326"/>
      <c r="Q4" s="1326"/>
      <c r="R4" s="1341"/>
      <c r="S4" s="1326"/>
      <c r="T4" s="1326"/>
      <c r="U4" s="1326"/>
      <c r="V4" s="841" t="s">
        <v>833</v>
      </c>
      <c r="W4" s="841" t="s">
        <v>834</v>
      </c>
      <c r="X4" s="1345"/>
      <c r="Y4" s="841" t="s">
        <v>833</v>
      </c>
      <c r="Z4" s="841" t="s">
        <v>834</v>
      </c>
      <c r="AA4" s="1346"/>
      <c r="AB4" s="1341"/>
      <c r="AC4" s="1343"/>
    </row>
    <row r="5" spans="1:29" x14ac:dyDescent="0.2">
      <c r="A5" s="801">
        <v>1</v>
      </c>
      <c r="B5" s="785" t="s">
        <v>923</v>
      </c>
      <c r="C5" s="802"/>
      <c r="D5" s="803"/>
      <c r="E5" s="803"/>
      <c r="F5" s="803"/>
      <c r="G5" s="803"/>
      <c r="H5" s="803"/>
      <c r="I5" s="803"/>
      <c r="J5" s="803"/>
      <c r="K5" s="803"/>
      <c r="L5" s="803"/>
      <c r="M5" s="803"/>
      <c r="N5" s="803"/>
      <c r="O5" s="803">
        <v>28</v>
      </c>
      <c r="P5" s="803"/>
      <c r="Q5" s="803"/>
      <c r="R5" s="804">
        <f>SUM(D5:Q5)</f>
        <v>28</v>
      </c>
      <c r="S5" s="803"/>
      <c r="T5" s="803"/>
      <c r="U5" s="803">
        <v>28</v>
      </c>
      <c r="V5" s="803"/>
      <c r="W5" s="803"/>
      <c r="X5" s="803"/>
      <c r="Y5" s="803"/>
      <c r="Z5" s="803"/>
      <c r="AA5" s="805"/>
      <c r="AB5" s="804"/>
      <c r="AC5" s="806">
        <f>SUM(S5:AB5)</f>
        <v>28</v>
      </c>
    </row>
    <row r="6" spans="1:29" x14ac:dyDescent="0.2">
      <c r="A6" s="801">
        <v>2</v>
      </c>
      <c r="B6" s="785" t="s">
        <v>924</v>
      </c>
      <c r="C6" s="802"/>
      <c r="D6" s="803">
        <f>164+165</f>
        <v>329</v>
      </c>
      <c r="E6" s="803">
        <v>64</v>
      </c>
      <c r="F6" s="803"/>
      <c r="G6" s="803"/>
      <c r="H6" s="803"/>
      <c r="I6" s="803"/>
      <c r="J6" s="803"/>
      <c r="K6" s="803"/>
      <c r="L6" s="803"/>
      <c r="M6" s="803"/>
      <c r="N6" s="803"/>
      <c r="O6" s="803"/>
      <c r="P6" s="803"/>
      <c r="Q6" s="803"/>
      <c r="R6" s="804">
        <f t="shared" ref="R6:R13" si="0">SUM(D6:Q6)</f>
        <v>393</v>
      </c>
      <c r="S6" s="803"/>
      <c r="T6" s="803"/>
      <c r="U6" s="803">
        <f>329+64</f>
        <v>393</v>
      </c>
      <c r="V6" s="803"/>
      <c r="W6" s="803"/>
      <c r="X6" s="803"/>
      <c r="Y6" s="803"/>
      <c r="Z6" s="803"/>
      <c r="AA6" s="805"/>
      <c r="AB6" s="804"/>
      <c r="AC6" s="806">
        <f t="shared" ref="AC6:AC13" si="1">SUM(S6:AB6)</f>
        <v>393</v>
      </c>
    </row>
    <row r="7" spans="1:29" x14ac:dyDescent="0.2">
      <c r="A7" s="801">
        <v>3</v>
      </c>
      <c r="B7" s="786" t="s">
        <v>925</v>
      </c>
      <c r="C7" s="802"/>
      <c r="D7" s="803"/>
      <c r="E7" s="803"/>
      <c r="F7" s="803"/>
      <c r="G7" s="803"/>
      <c r="H7" s="803"/>
      <c r="I7" s="803"/>
      <c r="J7" s="803"/>
      <c r="K7" s="803"/>
      <c r="L7" s="803">
        <f>230+580</f>
        <v>810</v>
      </c>
      <c r="M7" s="803"/>
      <c r="N7" s="803"/>
      <c r="O7" s="803"/>
      <c r="P7" s="803"/>
      <c r="Q7" s="803"/>
      <c r="R7" s="804"/>
      <c r="S7" s="803"/>
      <c r="T7" s="803">
        <f>230+580</f>
        <v>810</v>
      </c>
      <c r="U7" s="803"/>
      <c r="V7" s="803"/>
      <c r="W7" s="803"/>
      <c r="X7" s="803"/>
      <c r="Y7" s="803"/>
      <c r="Z7" s="803"/>
      <c r="AA7" s="805"/>
      <c r="AB7" s="804"/>
      <c r="AC7" s="806"/>
    </row>
    <row r="8" spans="1:29" x14ac:dyDescent="0.2">
      <c r="A8" s="801">
        <v>4</v>
      </c>
      <c r="B8" s="785" t="s">
        <v>926</v>
      </c>
      <c r="C8" s="802"/>
      <c r="D8" s="803"/>
      <c r="E8" s="803"/>
      <c r="F8" s="803"/>
      <c r="G8" s="803"/>
      <c r="H8" s="803"/>
      <c r="I8" s="803"/>
      <c r="J8" s="803"/>
      <c r="K8" s="803"/>
      <c r="L8" s="803">
        <v>25</v>
      </c>
      <c r="M8" s="803"/>
      <c r="N8" s="803"/>
      <c r="O8" s="803"/>
      <c r="P8" s="803"/>
      <c r="Q8" s="803"/>
      <c r="R8" s="804"/>
      <c r="S8" s="803"/>
      <c r="T8" s="803">
        <v>25</v>
      </c>
      <c r="U8" s="803"/>
      <c r="V8" s="803"/>
      <c r="W8" s="803"/>
      <c r="X8" s="803"/>
      <c r="Y8" s="803"/>
      <c r="Z8" s="803"/>
      <c r="AA8" s="805"/>
      <c r="AB8" s="804"/>
      <c r="AC8" s="806"/>
    </row>
    <row r="9" spans="1:29" x14ac:dyDescent="0.2">
      <c r="A9" s="801">
        <v>5</v>
      </c>
      <c r="B9" s="774" t="s">
        <v>927</v>
      </c>
      <c r="C9" s="802"/>
      <c r="D9" s="803">
        <v>60</v>
      </c>
      <c r="E9" s="803"/>
      <c r="F9" s="803"/>
      <c r="G9" s="803"/>
      <c r="H9" s="803"/>
      <c r="I9" s="803"/>
      <c r="J9" s="803"/>
      <c r="K9" s="803"/>
      <c r="L9" s="803">
        <v>-60</v>
      </c>
      <c r="M9" s="803"/>
      <c r="N9" s="803"/>
      <c r="O9" s="803"/>
      <c r="P9" s="803"/>
      <c r="Q9" s="803"/>
      <c r="R9" s="804"/>
      <c r="S9" s="803"/>
      <c r="T9" s="803"/>
      <c r="U9" s="803"/>
      <c r="V9" s="803"/>
      <c r="W9" s="803"/>
      <c r="X9" s="803"/>
      <c r="Y9" s="803"/>
      <c r="Z9" s="803"/>
      <c r="AA9" s="805"/>
      <c r="AB9" s="804"/>
      <c r="AC9" s="806"/>
    </row>
    <row r="10" spans="1:29" x14ac:dyDescent="0.2">
      <c r="A10" s="801">
        <v>6</v>
      </c>
      <c r="B10" s="785" t="s">
        <v>928</v>
      </c>
      <c r="C10" s="802"/>
      <c r="D10" s="795"/>
      <c r="E10" s="795"/>
      <c r="F10" s="795"/>
      <c r="G10" s="795"/>
      <c r="H10" s="795"/>
      <c r="I10" s="795"/>
      <c r="J10" s="795"/>
      <c r="K10" s="795"/>
      <c r="L10" s="795">
        <v>5000</v>
      </c>
      <c r="M10" s="795"/>
      <c r="N10" s="795"/>
      <c r="O10" s="795"/>
      <c r="P10" s="803"/>
      <c r="Q10" s="803"/>
      <c r="R10" s="804"/>
      <c r="S10" s="795"/>
      <c r="T10" s="795"/>
      <c r="U10" s="795">
        <v>5000</v>
      </c>
      <c r="V10" s="795"/>
      <c r="W10" s="803"/>
      <c r="X10" s="803"/>
      <c r="Y10" s="803"/>
      <c r="Z10" s="803"/>
      <c r="AA10" s="805"/>
      <c r="AB10" s="804"/>
      <c r="AC10" s="806"/>
    </row>
    <row r="11" spans="1:29" x14ac:dyDescent="0.2">
      <c r="A11" s="801">
        <v>7</v>
      </c>
      <c r="B11" s="785" t="s">
        <v>929</v>
      </c>
      <c r="C11" s="802"/>
      <c r="D11" s="795">
        <f>7200+600</f>
        <v>7800</v>
      </c>
      <c r="E11" s="795">
        <v>1692</v>
      </c>
      <c r="F11" s="795"/>
      <c r="G11" s="795"/>
      <c r="H11" s="795"/>
      <c r="I11" s="795"/>
      <c r="J11" s="795"/>
      <c r="K11" s="795"/>
      <c r="L11" s="795">
        <f>4785</f>
        <v>4785</v>
      </c>
      <c r="M11" s="795"/>
      <c r="N11" s="795"/>
      <c r="O11" s="795"/>
      <c r="P11" s="803"/>
      <c r="Q11" s="803"/>
      <c r="R11" s="804">
        <f t="shared" si="0"/>
        <v>14277</v>
      </c>
      <c r="S11" s="795"/>
      <c r="T11" s="795"/>
      <c r="U11" s="795"/>
      <c r="V11" s="795"/>
      <c r="W11" s="803"/>
      <c r="X11" s="803"/>
      <c r="Y11" s="803">
        <v>14277</v>
      </c>
      <c r="Z11" s="803"/>
      <c r="AA11" s="805"/>
      <c r="AB11" s="804"/>
      <c r="AC11" s="806">
        <f t="shared" si="1"/>
        <v>14277</v>
      </c>
    </row>
    <row r="12" spans="1:29" x14ac:dyDescent="0.2">
      <c r="A12" s="801">
        <v>8</v>
      </c>
      <c r="B12" s="785" t="s">
        <v>945</v>
      </c>
      <c r="C12" s="802"/>
      <c r="D12" s="795"/>
      <c r="E12" s="795"/>
      <c r="F12" s="795"/>
      <c r="G12" s="795"/>
      <c r="H12" s="795"/>
      <c r="I12" s="795"/>
      <c r="J12" s="795"/>
      <c r="K12" s="795"/>
      <c r="L12" s="795">
        <f>1359+267+51+1276+3047+1275</f>
        <v>7275</v>
      </c>
      <c r="M12" s="795"/>
      <c r="N12" s="795"/>
      <c r="O12" s="795"/>
      <c r="P12" s="803"/>
      <c r="Q12" s="803"/>
      <c r="R12" s="804">
        <f t="shared" si="0"/>
        <v>7275</v>
      </c>
      <c r="S12" s="795"/>
      <c r="T12" s="1049">
        <f>4724+1275+1276</f>
        <v>7275</v>
      </c>
      <c r="U12" s="795"/>
      <c r="V12" s="795"/>
      <c r="W12" s="803"/>
      <c r="X12" s="803"/>
      <c r="Y12" s="803"/>
      <c r="Z12" s="803"/>
      <c r="AA12" s="805"/>
      <c r="AB12" s="804"/>
      <c r="AC12" s="806">
        <f t="shared" si="1"/>
        <v>7275</v>
      </c>
    </row>
    <row r="13" spans="1:29" x14ac:dyDescent="0.2">
      <c r="A13" s="801">
        <v>9</v>
      </c>
      <c r="B13" s="785" t="s">
        <v>930</v>
      </c>
      <c r="C13" s="802"/>
      <c r="D13" s="795">
        <f>36+72+138</f>
        <v>246</v>
      </c>
      <c r="E13" s="795"/>
      <c r="F13" s="795"/>
      <c r="G13" s="795"/>
      <c r="H13" s="795"/>
      <c r="I13" s="795"/>
      <c r="J13" s="795"/>
      <c r="K13" s="795"/>
      <c r="L13" s="795">
        <f>-36-72-138</f>
        <v>-246</v>
      </c>
      <c r="M13" s="795"/>
      <c r="N13" s="795"/>
      <c r="O13" s="795"/>
      <c r="P13" s="803"/>
      <c r="Q13" s="803"/>
      <c r="R13" s="804">
        <f t="shared" si="0"/>
        <v>0</v>
      </c>
      <c r="S13" s="803"/>
      <c r="T13" s="803"/>
      <c r="U13" s="803"/>
      <c r="V13" s="803"/>
      <c r="W13" s="803"/>
      <c r="X13" s="803"/>
      <c r="Y13" s="803"/>
      <c r="Z13" s="803"/>
      <c r="AA13" s="805"/>
      <c r="AB13" s="804"/>
      <c r="AC13" s="806">
        <f t="shared" si="1"/>
        <v>0</v>
      </c>
    </row>
    <row r="14" spans="1:29" x14ac:dyDescent="0.2">
      <c r="A14" s="801" t="s">
        <v>463</v>
      </c>
      <c r="B14" s="785" t="s">
        <v>933</v>
      </c>
      <c r="C14" s="802"/>
      <c r="D14" s="795">
        <v>132</v>
      </c>
      <c r="E14" s="795"/>
      <c r="F14" s="795"/>
      <c r="G14" s="795"/>
      <c r="H14" s="795"/>
      <c r="I14" s="795"/>
      <c r="J14" s="795"/>
      <c r="K14" s="795"/>
      <c r="L14" s="795">
        <v>-132</v>
      </c>
      <c r="M14" s="795"/>
      <c r="N14" s="795"/>
      <c r="O14" s="795"/>
      <c r="P14" s="795"/>
      <c r="Q14" s="795"/>
      <c r="R14" s="804"/>
      <c r="S14" s="795"/>
      <c r="T14" s="795"/>
      <c r="U14" s="795"/>
      <c r="V14" s="795"/>
      <c r="W14" s="795"/>
      <c r="X14" s="795"/>
      <c r="Y14" s="795"/>
      <c r="Z14" s="795"/>
      <c r="AA14" s="781"/>
      <c r="AB14" s="802"/>
      <c r="AC14" s="806"/>
    </row>
    <row r="15" spans="1:29" ht="13.5" thickBot="1" x14ac:dyDescent="0.25">
      <c r="A15" s="807"/>
      <c r="B15" s="808" t="s">
        <v>180</v>
      </c>
      <c r="C15" s="809"/>
      <c r="D15" s="810">
        <f t="shared" ref="D15:Q15" si="2">SUM(D5:D14)</f>
        <v>8567</v>
      </c>
      <c r="E15" s="810">
        <f t="shared" si="2"/>
        <v>1756</v>
      </c>
      <c r="F15" s="810">
        <f t="shared" si="2"/>
        <v>0</v>
      </c>
      <c r="G15" s="810">
        <f t="shared" si="2"/>
        <v>0</v>
      </c>
      <c r="H15" s="810">
        <f t="shared" si="2"/>
        <v>0</v>
      </c>
      <c r="I15" s="810">
        <f t="shared" si="2"/>
        <v>0</v>
      </c>
      <c r="J15" s="810">
        <f t="shared" si="2"/>
        <v>0</v>
      </c>
      <c r="K15" s="810">
        <f t="shared" si="2"/>
        <v>0</v>
      </c>
      <c r="L15" s="810">
        <f t="shared" si="2"/>
        <v>17457</v>
      </c>
      <c r="M15" s="810">
        <f t="shared" si="2"/>
        <v>0</v>
      </c>
      <c r="N15" s="810">
        <f t="shared" si="2"/>
        <v>0</v>
      </c>
      <c r="O15" s="810">
        <f t="shared" si="2"/>
        <v>28</v>
      </c>
      <c r="P15" s="810">
        <f t="shared" si="2"/>
        <v>0</v>
      </c>
      <c r="Q15" s="810">
        <f t="shared" si="2"/>
        <v>0</v>
      </c>
      <c r="R15" s="811">
        <f>SUM(D15:Q15)</f>
        <v>27808</v>
      </c>
      <c r="S15" s="810">
        <f t="shared" ref="S15:AA15" si="3">SUM(S5:S14)</f>
        <v>0</v>
      </c>
      <c r="T15" s="810">
        <f t="shared" si="3"/>
        <v>8110</v>
      </c>
      <c r="U15" s="810">
        <f t="shared" si="3"/>
        <v>5421</v>
      </c>
      <c r="V15" s="810">
        <f t="shared" si="3"/>
        <v>0</v>
      </c>
      <c r="W15" s="810">
        <f t="shared" si="3"/>
        <v>0</v>
      </c>
      <c r="X15" s="810">
        <f t="shared" si="3"/>
        <v>0</v>
      </c>
      <c r="Y15" s="810">
        <f t="shared" si="3"/>
        <v>14277</v>
      </c>
      <c r="Z15" s="810">
        <f t="shared" si="3"/>
        <v>0</v>
      </c>
      <c r="AA15" s="810">
        <f t="shared" si="3"/>
        <v>0</v>
      </c>
      <c r="AB15" s="810">
        <f>SUM(AB5:AB13)</f>
        <v>0</v>
      </c>
      <c r="AC15" s="812">
        <f>SUM(S15:AA15)</f>
        <v>27808</v>
      </c>
    </row>
  </sheetData>
  <mergeCells count="24">
    <mergeCell ref="Y3:Z3"/>
    <mergeCell ref="AA3:AA4"/>
    <mergeCell ref="Q3:Q4"/>
    <mergeCell ref="S3:S4"/>
    <mergeCell ref="T3:T4"/>
    <mergeCell ref="U3:U4"/>
    <mergeCell ref="V3:W3"/>
    <mergeCell ref="X3:X4"/>
    <mergeCell ref="P3:P4"/>
    <mergeCell ref="Z1:AC1"/>
    <mergeCell ref="A2:A4"/>
    <mergeCell ref="B2:B4"/>
    <mergeCell ref="C2:C4"/>
    <mergeCell ref="D2:Q2"/>
    <mergeCell ref="R2:R4"/>
    <mergeCell ref="S2:AA2"/>
    <mergeCell ref="AB2:AB4"/>
    <mergeCell ref="AC2:AC4"/>
    <mergeCell ref="D3:D4"/>
    <mergeCell ref="E3:E4"/>
    <mergeCell ref="F3:K3"/>
    <mergeCell ref="L3:L4"/>
    <mergeCell ref="M3:N3"/>
    <mergeCell ref="O3:O4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&amp;C&amp;"Times New Roman,Félkövér"&amp;12Martonvásár Város Önkormányzatának 2018. évi költségvetés módosításainak részletezése
Brunszvik Beethoven Kultúrális Központ&amp;R&amp;"Times New Roman,Félkövér"&amp;12 12.d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3"/>
  <sheetViews>
    <sheetView view="pageLayout" topLeftCell="A4" zoomScaleNormal="100" workbookViewId="0">
      <selection activeCell="D6" sqref="D6"/>
    </sheetView>
  </sheetViews>
  <sheetFormatPr defaultColWidth="8.7109375" defaultRowHeight="12.75" customHeight="1" x14ac:dyDescent="0.25"/>
  <cols>
    <col min="1" max="1" width="18.85546875" style="163" customWidth="1"/>
    <col min="2" max="2" width="35.140625" style="195" customWidth="1"/>
    <col min="3" max="3" width="12.42578125" style="195" customWidth="1"/>
    <col min="4" max="5" width="11.7109375" style="195" customWidth="1"/>
    <col min="6" max="6" width="45.42578125" style="195" customWidth="1"/>
    <col min="7" max="7" width="12.85546875" style="195" customWidth="1"/>
    <col min="8" max="9" width="12.42578125" style="195" customWidth="1"/>
    <col min="10" max="11" width="8.7109375" style="195"/>
    <col min="12" max="16384" width="8.7109375" style="163"/>
  </cols>
  <sheetData>
    <row r="1" spans="2:11" ht="16.5" customHeight="1" thickBot="1" x14ac:dyDescent="0.3">
      <c r="B1" s="196"/>
      <c r="C1" s="196"/>
      <c r="D1" s="196"/>
      <c r="E1" s="196"/>
      <c r="F1" s="196"/>
      <c r="G1" s="196"/>
      <c r="H1" s="196"/>
      <c r="I1" s="197"/>
      <c r="J1" s="162"/>
      <c r="K1" s="162"/>
    </row>
    <row r="2" spans="2:11" ht="26.25" customHeight="1" thickBot="1" x14ac:dyDescent="0.3">
      <c r="B2" s="198" t="s">
        <v>337</v>
      </c>
      <c r="C2" s="235" t="s">
        <v>943</v>
      </c>
      <c r="D2" s="235" t="s">
        <v>786</v>
      </c>
      <c r="E2" s="235" t="s">
        <v>942</v>
      </c>
      <c r="F2" s="198" t="s">
        <v>338</v>
      </c>
      <c r="G2" s="235" t="s">
        <v>943</v>
      </c>
      <c r="H2" s="235" t="s">
        <v>786</v>
      </c>
      <c r="I2" s="235" t="s">
        <v>942</v>
      </c>
      <c r="J2" s="199"/>
      <c r="K2" s="162"/>
    </row>
    <row r="3" spans="2:11" ht="13.5" customHeight="1" thickBot="1" x14ac:dyDescent="0.3">
      <c r="B3" s="200" t="s">
        <v>339</v>
      </c>
      <c r="C3" s="410">
        <f>SUM(C4:C8)</f>
        <v>1003151</v>
      </c>
      <c r="D3" s="410">
        <f t="shared" ref="D3:E3" si="0">SUM(D4:D8)</f>
        <v>20396</v>
      </c>
      <c r="E3" s="410">
        <f t="shared" si="0"/>
        <v>1023547</v>
      </c>
      <c r="F3" s="508" t="s">
        <v>440</v>
      </c>
      <c r="G3" s="511">
        <f>+G4+G5+G6+G8+G9+G10</f>
        <v>1614931</v>
      </c>
      <c r="H3" s="511">
        <f t="shared" ref="H3:I3" si="1">+H4+H5+H6+H8+H9+H10</f>
        <v>72318</v>
      </c>
      <c r="I3" s="511">
        <f t="shared" si="1"/>
        <v>1687249.3399999999</v>
      </c>
      <c r="J3" s="199"/>
      <c r="K3" s="162"/>
    </row>
    <row r="4" spans="2:11" ht="15" customHeight="1" x14ac:dyDescent="0.25">
      <c r="B4" s="201" t="s">
        <v>417</v>
      </c>
      <c r="C4" s="202">
        <f>+'1.mell. Mérleg'!C7</f>
        <v>486634</v>
      </c>
      <c r="D4" s="236">
        <f>+'1.mell. Mérleg'!D7</f>
        <v>12046</v>
      </c>
      <c r="E4" s="236">
        <f>+'1.mell. Mérleg'!E7</f>
        <v>498680</v>
      </c>
      <c r="F4" s="509" t="s">
        <v>340</v>
      </c>
      <c r="G4" s="510">
        <f>+'1.mell. Mérleg'!C31</f>
        <v>341268</v>
      </c>
      <c r="H4" s="510">
        <f>+'1.mell. Mérleg'!D31</f>
        <v>18919</v>
      </c>
      <c r="I4" s="510">
        <f>+'1.mell. Mérleg'!E31</f>
        <v>360187</v>
      </c>
      <c r="J4" s="199"/>
      <c r="K4" s="162"/>
    </row>
    <row r="5" spans="2:11" ht="15" customHeight="1" x14ac:dyDescent="0.25">
      <c r="B5" s="201" t="s">
        <v>441</v>
      </c>
      <c r="C5" s="358">
        <f>+'3.mell. Bevétel'!C54</f>
        <v>288500</v>
      </c>
      <c r="D5" s="358">
        <f>+'3.mell. Bevétel'!D54</f>
        <v>0</v>
      </c>
      <c r="E5" s="358">
        <f>+'3.mell. Bevétel'!E54</f>
        <v>288500</v>
      </c>
      <c r="F5" s="240" t="s">
        <v>341</v>
      </c>
      <c r="G5" s="204">
        <f>+'1.mell. Mérleg'!C32</f>
        <v>73142</v>
      </c>
      <c r="H5" s="204">
        <f>+'1.mell. Mérleg'!D32</f>
        <v>3870</v>
      </c>
      <c r="I5" s="204">
        <f>+'1.mell. Mérleg'!E32</f>
        <v>77012</v>
      </c>
      <c r="J5" s="199"/>
      <c r="K5" s="162"/>
    </row>
    <row r="6" spans="2:11" ht="15" customHeight="1" x14ac:dyDescent="0.25">
      <c r="B6" s="201" t="s">
        <v>339</v>
      </c>
      <c r="C6" s="358">
        <f>+'1.mell. Mérleg'!C13</f>
        <v>226324</v>
      </c>
      <c r="D6" s="358">
        <f>+'1.mell. Mérleg'!D13</f>
        <v>8350</v>
      </c>
      <c r="E6" s="358">
        <f>+'1.mell. Mérleg'!E13</f>
        <v>234674</v>
      </c>
      <c r="F6" s="240" t="s">
        <v>342</v>
      </c>
      <c r="G6" s="236">
        <f>+'1.mell. Mérleg'!C33</f>
        <v>573976</v>
      </c>
      <c r="H6" s="236">
        <f>+'1.mell. Mérleg'!D33</f>
        <v>34699</v>
      </c>
      <c r="I6" s="236">
        <f>+'1.mell. Mérleg'!E33</f>
        <v>608675.34</v>
      </c>
      <c r="J6" s="199"/>
      <c r="K6" s="162"/>
    </row>
    <row r="7" spans="2:11" ht="15" customHeight="1" x14ac:dyDescent="0.25">
      <c r="B7" s="233" t="s">
        <v>418</v>
      </c>
      <c r="C7" s="358">
        <f>+'1.mell. Mérleg'!C14</f>
        <v>1693</v>
      </c>
      <c r="D7" s="358">
        <f>+'1.mell. Mérleg'!D14</f>
        <v>0</v>
      </c>
      <c r="E7" s="358">
        <f>+'1.mell. Mérleg'!E14</f>
        <v>1693</v>
      </c>
      <c r="F7" s="506" t="s">
        <v>571</v>
      </c>
      <c r="G7" s="236">
        <f>+'5.b. mell. VF saját forrásból'!D30+'5.c. mell. VF Eu forrásból'!D30</f>
        <v>311492</v>
      </c>
      <c r="H7" s="236">
        <f>+'5.b. mell. VF saját forrásból'!E30+'5.c. mell. VF Eu forrásból'!E30</f>
        <v>0</v>
      </c>
      <c r="I7" s="236">
        <f>+'5.b. mell. VF saját forrásból'!F30+'5.c. mell. VF Eu forrásból'!F30</f>
        <v>311492</v>
      </c>
      <c r="J7" s="199"/>
      <c r="K7" s="162"/>
    </row>
    <row r="8" spans="2:11" ht="15" customHeight="1" x14ac:dyDescent="0.25">
      <c r="B8" s="201"/>
      <c r="C8" s="358"/>
      <c r="D8" s="202"/>
      <c r="E8" s="340"/>
      <c r="F8" s="240" t="s">
        <v>343</v>
      </c>
      <c r="G8" s="236">
        <f>+'5. mell. Önk.össz kiadás'!D16</f>
        <v>23333</v>
      </c>
      <c r="H8" s="236">
        <f>+'5. mell. Önk.össz kiadás'!E16</f>
        <v>0</v>
      </c>
      <c r="I8" s="236">
        <f>+'5. mell. Önk.össz kiadás'!F16</f>
        <v>23333</v>
      </c>
      <c r="J8" s="199"/>
      <c r="K8" s="162"/>
    </row>
    <row r="9" spans="2:11" ht="15" customHeight="1" x14ac:dyDescent="0.25">
      <c r="B9" s="201"/>
      <c r="C9" s="202"/>
      <c r="D9" s="202"/>
      <c r="E9" s="340"/>
      <c r="F9" s="240" t="s">
        <v>377</v>
      </c>
      <c r="G9" s="236">
        <f>+'1.mell. Mérleg'!C35</f>
        <v>238527</v>
      </c>
      <c r="H9" s="236">
        <f>+'1.mell. Mérleg'!D35</f>
        <v>11034</v>
      </c>
      <c r="I9" s="236">
        <f>+'1.mell. Mérleg'!E35</f>
        <v>249561</v>
      </c>
      <c r="J9" s="199"/>
      <c r="K9" s="162"/>
    </row>
    <row r="10" spans="2:11" ht="15" customHeight="1" x14ac:dyDescent="0.25">
      <c r="B10" s="205" t="s">
        <v>286</v>
      </c>
      <c r="C10" s="206">
        <f>+C11</f>
        <v>531720</v>
      </c>
      <c r="D10" s="206">
        <f t="shared" ref="D10:E10" si="2">+D11</f>
        <v>259022</v>
      </c>
      <c r="E10" s="206">
        <f t="shared" si="2"/>
        <v>790742</v>
      </c>
      <c r="F10" s="240" t="s">
        <v>745</v>
      </c>
      <c r="G10" s="236">
        <f>+'5. mell. Önk.össz kiadás'!D19</f>
        <v>364685</v>
      </c>
      <c r="H10" s="236">
        <f>+'5. mell. Önk.össz kiadás'!E19</f>
        <v>3796</v>
      </c>
      <c r="I10" s="236">
        <f>+'5. mell. Önk.össz kiadás'!F19</f>
        <v>368481</v>
      </c>
      <c r="J10" s="199"/>
      <c r="K10" s="162"/>
    </row>
    <row r="11" spans="2:11" ht="15" customHeight="1" x14ac:dyDescent="0.25">
      <c r="B11" s="201" t="s">
        <v>382</v>
      </c>
      <c r="C11" s="202">
        <f>+'1.mell. Mérleg'!C23</f>
        <v>531720</v>
      </c>
      <c r="D11" s="236">
        <f>+'1.mell. Mérleg'!D23</f>
        <v>259022</v>
      </c>
      <c r="E11" s="236">
        <f>+'1.mell. Mérleg'!E23</f>
        <v>790742</v>
      </c>
      <c r="F11" s="698" t="s">
        <v>746</v>
      </c>
      <c r="G11" s="236">
        <f>+'5.g. mell. Egyéb tev.'!AE64</f>
        <v>5000</v>
      </c>
      <c r="H11" s="236">
        <f>+'5.g. mell. Egyéb tev.'!AF64</f>
        <v>-4896</v>
      </c>
      <c r="I11" s="236">
        <f>+'5.g. mell. Egyéb tev.'!AG64</f>
        <v>104</v>
      </c>
      <c r="J11" s="199"/>
      <c r="K11" s="162"/>
    </row>
    <row r="12" spans="2:11" ht="15" customHeight="1" x14ac:dyDescent="0.25">
      <c r="B12" s="233"/>
      <c r="C12" s="234"/>
      <c r="D12" s="234"/>
      <c r="E12" s="234"/>
      <c r="F12" s="698" t="s">
        <v>731</v>
      </c>
      <c r="G12" s="236">
        <f>+'5.g. mell. Egyéb tev.'!AE68</f>
        <v>239565</v>
      </c>
      <c r="H12" s="236">
        <f>+'5.g. mell. Egyéb tev.'!AF68</f>
        <v>0</v>
      </c>
      <c r="I12" s="236">
        <f>+'5.g. mell. Egyéb tev.'!AG68</f>
        <v>239565</v>
      </c>
      <c r="J12" s="199"/>
      <c r="K12" s="162"/>
    </row>
    <row r="13" spans="2:11" ht="15" customHeight="1" x14ac:dyDescent="0.25">
      <c r="B13" s="201"/>
      <c r="C13" s="202"/>
      <c r="D13" s="236"/>
      <c r="E13" s="236"/>
      <c r="F13" s="698" t="s">
        <v>748</v>
      </c>
      <c r="G13" s="236">
        <f>+'5.g. mell. Egyéb tev.'!AE70</f>
        <v>1050</v>
      </c>
      <c r="H13" s="236">
        <f>+'5.g. mell. Egyéb tev.'!AF70</f>
        <v>0</v>
      </c>
      <c r="I13" s="236">
        <f>+'5.g. mell. Egyéb tev.'!AG70</f>
        <v>1050</v>
      </c>
      <c r="J13" s="199"/>
      <c r="K13" s="162"/>
    </row>
    <row r="14" spans="2:11" s="210" customFormat="1" ht="15" customHeight="1" x14ac:dyDescent="0.25">
      <c r="B14" s="201"/>
      <c r="C14" s="202"/>
      <c r="D14" s="202"/>
      <c r="E14" s="340"/>
      <c r="F14" s="698" t="s">
        <v>627</v>
      </c>
      <c r="G14" s="236">
        <f>+'5.g. mell. Egyéb tev.'!AE73</f>
        <v>18242</v>
      </c>
      <c r="H14" s="236">
        <f>+'5.g. mell. Egyéb tev.'!AF73</f>
        <v>-3154</v>
      </c>
      <c r="I14" s="236">
        <f>+'5.g. mell. Egyéb tev.'!AG73</f>
        <v>15088</v>
      </c>
      <c r="J14" s="199"/>
      <c r="K14" s="162"/>
    </row>
    <row r="15" spans="2:11" s="213" customFormat="1" ht="15.75" thickBot="1" x14ac:dyDescent="0.3">
      <c r="B15" s="208"/>
      <c r="C15" s="209"/>
      <c r="D15" s="209"/>
      <c r="E15" s="341"/>
      <c r="F15" s="698" t="s">
        <v>606</v>
      </c>
      <c r="G15" s="236">
        <f>+'5.g. mell. Egyéb tev.'!AE74</f>
        <v>69566</v>
      </c>
      <c r="H15" s="236">
        <f>+'5.g. mell. Egyéb tev.'!AF74</f>
        <v>0</v>
      </c>
      <c r="I15" s="236">
        <f>+'5.g. mell. Egyéb tev.'!AG74</f>
        <v>69566</v>
      </c>
      <c r="J15" s="199"/>
      <c r="K15" s="162"/>
    </row>
    <row r="16" spans="2:11" ht="15.75" thickBot="1" x14ac:dyDescent="0.3">
      <c r="B16" s="211" t="s">
        <v>344</v>
      </c>
      <c r="C16" s="212">
        <f>+C10+C3</f>
        <v>1534871</v>
      </c>
      <c r="D16" s="212">
        <f t="shared" ref="D16:E16" si="3">+D10+D3</f>
        <v>279418</v>
      </c>
      <c r="E16" s="212">
        <f t="shared" si="3"/>
        <v>1814289</v>
      </c>
      <c r="F16" s="507" t="s">
        <v>344</v>
      </c>
      <c r="G16" s="212">
        <f>+G3</f>
        <v>1614931</v>
      </c>
      <c r="H16" s="212">
        <f t="shared" ref="H16:I16" si="4">+H3</f>
        <v>72318</v>
      </c>
      <c r="I16" s="212">
        <f t="shared" si="4"/>
        <v>1687249.3399999999</v>
      </c>
      <c r="J16" s="162"/>
      <c r="K16" s="702"/>
    </row>
    <row r="17" spans="2:11" ht="13.5" customHeight="1" x14ac:dyDescent="0.25">
      <c r="B17" s="214"/>
      <c r="C17" s="214"/>
      <c r="D17" s="214"/>
      <c r="E17" s="215"/>
      <c r="F17" s="216"/>
      <c r="G17" s="499"/>
      <c r="H17" s="216"/>
      <c r="I17" s="215"/>
      <c r="J17" s="162"/>
      <c r="K17" s="162"/>
    </row>
    <row r="18" spans="2:11" s="195" customFormat="1" ht="25.5" customHeight="1" thickBot="1" x14ac:dyDescent="0.3">
      <c r="B18" s="243"/>
      <c r="C18" s="499"/>
      <c r="D18" s="499"/>
      <c r="E18" s="700"/>
      <c r="F18" s="217"/>
      <c r="G18" s="217"/>
      <c r="H18" s="217"/>
      <c r="I18" s="218"/>
      <c r="J18" s="243"/>
      <c r="K18" s="162"/>
    </row>
    <row r="19" spans="2:11" s="195" customFormat="1" ht="26.25" thickBot="1" x14ac:dyDescent="0.3">
      <c r="B19" s="237" t="s">
        <v>337</v>
      </c>
      <c r="C19" s="235" t="s">
        <v>943</v>
      </c>
      <c r="D19" s="235" t="s">
        <v>786</v>
      </c>
      <c r="E19" s="235" t="s">
        <v>942</v>
      </c>
      <c r="F19" s="699" t="s">
        <v>338</v>
      </c>
      <c r="G19" s="235" t="s">
        <v>943</v>
      </c>
      <c r="H19" s="235" t="s">
        <v>786</v>
      </c>
      <c r="I19" s="235" t="s">
        <v>942</v>
      </c>
      <c r="J19" s="199"/>
      <c r="K19" s="162"/>
    </row>
    <row r="20" spans="2:11" s="195" customFormat="1" ht="15" x14ac:dyDescent="0.25">
      <c r="B20" s="241" t="s">
        <v>454</v>
      </c>
      <c r="C20" s="701">
        <f>+C21+C22+C23</f>
        <v>664949</v>
      </c>
      <c r="D20" s="701">
        <f t="shared" ref="D20:E20" si="5">+D21+D22+D23</f>
        <v>-169813</v>
      </c>
      <c r="E20" s="701">
        <f t="shared" si="5"/>
        <v>495136</v>
      </c>
      <c r="F20" s="242" t="s">
        <v>412</v>
      </c>
      <c r="G20" s="505">
        <f>(+G21+G22)+G23</f>
        <v>1571643</v>
      </c>
      <c r="H20" s="505">
        <f t="shared" ref="H20:I20" si="6">(+H21+H22)+H23</f>
        <v>37287</v>
      </c>
      <c r="I20" s="505">
        <f t="shared" si="6"/>
        <v>1608930</v>
      </c>
      <c r="J20" s="199"/>
      <c r="K20" s="220"/>
    </row>
    <row r="21" spans="2:11" s="195" customFormat="1" ht="15" x14ac:dyDescent="0.25">
      <c r="B21" s="240" t="s">
        <v>747</v>
      </c>
      <c r="C21" s="358">
        <f>+'1.mell. Mérleg'!C16</f>
        <v>664949</v>
      </c>
      <c r="D21" s="358">
        <f>+'1.mell. Mérleg'!D16</f>
        <v>-169813</v>
      </c>
      <c r="E21" s="358">
        <f>+'1.mell. Mérleg'!E16</f>
        <v>495136</v>
      </c>
      <c r="F21" s="201" t="s">
        <v>161</v>
      </c>
      <c r="G21" s="219">
        <f>+'1.mell. Mérleg'!C38</f>
        <v>1462316</v>
      </c>
      <c r="H21" s="219">
        <f>+'1.mell. Mérleg'!D38</f>
        <v>19418</v>
      </c>
      <c r="I21" s="219">
        <f>+'1.mell. Mérleg'!E38</f>
        <v>1481734</v>
      </c>
      <c r="J21" s="199"/>
      <c r="K21" s="162"/>
    </row>
    <row r="22" spans="2:11" s="195" customFormat="1" ht="15" x14ac:dyDescent="0.25">
      <c r="B22" s="240" t="s">
        <v>345</v>
      </c>
      <c r="C22" s="358">
        <f>+'3.mell. Bevétel'!C70</f>
        <v>0</v>
      </c>
      <c r="D22" s="358">
        <f>+'3.mell. Bevétel'!D70</f>
        <v>0</v>
      </c>
      <c r="E22" s="358">
        <f>+'3.mell. Bevétel'!E70</f>
        <v>0</v>
      </c>
      <c r="F22" s="201" t="s">
        <v>313</v>
      </c>
      <c r="G22" s="219">
        <f>+'5. mell. Önk.össz kiadás'!D23</f>
        <v>109327</v>
      </c>
      <c r="H22" s="219">
        <f>+'5. mell. Önk.össz kiadás'!E23</f>
        <v>17869</v>
      </c>
      <c r="I22" s="219">
        <f>+'5. mell. Önk.össz kiadás'!F23</f>
        <v>127196</v>
      </c>
      <c r="J22" s="199"/>
      <c r="K22" s="162"/>
    </row>
    <row r="23" spans="2:11" s="195" customFormat="1" ht="15" x14ac:dyDescent="0.25">
      <c r="B23" s="240" t="s">
        <v>656</v>
      </c>
      <c r="C23" s="233">
        <f>+'3.mell. Bevétel'!C66</f>
        <v>0</v>
      </c>
      <c r="D23" s="233">
        <f>+'3.mell. Bevétel'!D66</f>
        <v>0</v>
      </c>
      <c r="E23" s="233">
        <f>+'3.mell. Bevétel'!E66</f>
        <v>0</v>
      </c>
      <c r="F23" s="201" t="s">
        <v>419</v>
      </c>
      <c r="G23" s="219">
        <f>+'5. mell. Önk.össz kiadás'!D25</f>
        <v>0</v>
      </c>
      <c r="H23" s="219">
        <f>+'5. mell. Önk.össz kiadás'!E25</f>
        <v>0</v>
      </c>
      <c r="I23" s="219">
        <f>+'5. mell. Önk.össz kiadás'!F25</f>
        <v>0</v>
      </c>
      <c r="J23" s="199"/>
      <c r="K23" s="162"/>
    </row>
    <row r="24" spans="2:11" s="195" customFormat="1" ht="15" x14ac:dyDescent="0.25">
      <c r="B24" s="238" t="s">
        <v>286</v>
      </c>
      <c r="C24" s="411">
        <f>+C25+C26</f>
        <v>1852908</v>
      </c>
      <c r="D24" s="411">
        <f t="shared" ref="D24:E24" si="7">+D25+D26</f>
        <v>0</v>
      </c>
      <c r="E24" s="411">
        <f t="shared" si="7"/>
        <v>1852908</v>
      </c>
      <c r="F24" s="201"/>
      <c r="G24" s="201"/>
      <c r="H24" s="221"/>
      <c r="I24" s="203"/>
      <c r="J24" s="199"/>
      <c r="K24" s="162"/>
    </row>
    <row r="25" spans="2:11" s="195" customFormat="1" ht="15" x14ac:dyDescent="0.25">
      <c r="B25" s="240" t="s">
        <v>383</v>
      </c>
      <c r="C25" s="236">
        <f>+'3.mell. Bevétel'!C77</f>
        <v>622908</v>
      </c>
      <c r="D25" s="236">
        <f>+'3.mell. Bevétel'!D77</f>
        <v>0</v>
      </c>
      <c r="E25" s="236">
        <f>+'3.mell. Bevétel'!E77</f>
        <v>622908</v>
      </c>
      <c r="F25" s="207" t="s">
        <v>277</v>
      </c>
      <c r="G25" s="222">
        <f>+'1.mell. Mérleg'!C42</f>
        <v>866154</v>
      </c>
      <c r="H25" s="222">
        <f>+'1.mell. Mérleg'!D42</f>
        <v>0</v>
      </c>
      <c r="I25" s="222">
        <f>+'1.mell. Mérleg'!E42</f>
        <v>866154</v>
      </c>
      <c r="J25" s="199"/>
      <c r="K25" s="162"/>
    </row>
    <row r="26" spans="2:11" s="213" customFormat="1" ht="18.75" customHeight="1" x14ac:dyDescent="0.25">
      <c r="B26" s="693" t="s">
        <v>744</v>
      </c>
      <c r="C26" s="236">
        <f>+'3.mell. Bevétel'!C74</f>
        <v>1230000</v>
      </c>
      <c r="D26" s="236">
        <f>+'3.mell. Bevétel'!D74</f>
        <v>0</v>
      </c>
      <c r="E26" s="236">
        <f>+'3.mell. Bevétel'!E74</f>
        <v>1230000</v>
      </c>
      <c r="F26" s="201"/>
      <c r="G26" s="221"/>
      <c r="H26" s="219"/>
      <c r="I26" s="203"/>
      <c r="J26" s="199"/>
      <c r="K26" s="162"/>
    </row>
    <row r="27" spans="2:11" s="213" customFormat="1" ht="15.75" thickBot="1" x14ac:dyDescent="0.3">
      <c r="B27" s="501" t="s">
        <v>346</v>
      </c>
      <c r="C27" s="502">
        <f>+C20+C24</f>
        <v>2517857</v>
      </c>
      <c r="D27" s="502">
        <f t="shared" ref="D27:E27" si="8">+D20+D24</f>
        <v>-169813</v>
      </c>
      <c r="E27" s="502">
        <f t="shared" si="8"/>
        <v>2348044</v>
      </c>
      <c r="F27" s="223" t="s">
        <v>346</v>
      </c>
      <c r="G27" s="224">
        <f>+G25+G20</f>
        <v>2437797</v>
      </c>
      <c r="H27" s="224">
        <f t="shared" ref="H27:I27" si="9">+H25+H20</f>
        <v>37287</v>
      </c>
      <c r="I27" s="224">
        <f t="shared" si="9"/>
        <v>2475084</v>
      </c>
      <c r="J27" s="199"/>
      <c r="K27" s="162"/>
    </row>
    <row r="28" spans="2:11" ht="15.75" thickBot="1" x14ac:dyDescent="0.3">
      <c r="B28" s="503" t="s">
        <v>281</v>
      </c>
      <c r="C28" s="504">
        <f>C16+C27</f>
        <v>4052728</v>
      </c>
      <c r="D28" s="504">
        <f t="shared" ref="D28:E28" si="10">D16+D27</f>
        <v>109605</v>
      </c>
      <c r="E28" s="504">
        <f t="shared" si="10"/>
        <v>4162333</v>
      </c>
      <c r="F28" s="225" t="s">
        <v>281</v>
      </c>
      <c r="G28" s="514">
        <f>G16+G27</f>
        <v>4052728</v>
      </c>
      <c r="H28" s="514">
        <f t="shared" ref="H28:I28" si="11">H16+H27</f>
        <v>109605</v>
      </c>
      <c r="I28" s="514">
        <f t="shared" si="11"/>
        <v>4162333.34</v>
      </c>
      <c r="J28" s="162"/>
      <c r="K28" s="703"/>
    </row>
    <row r="29" spans="2:11" ht="15" x14ac:dyDescent="0.25">
      <c r="B29" s="226"/>
      <c r="C29" s="500"/>
      <c r="D29" s="227"/>
      <c r="E29" s="227"/>
      <c r="F29" s="226"/>
      <c r="G29" s="226"/>
      <c r="H29" s="226"/>
      <c r="I29" s="226"/>
      <c r="J29" s="162"/>
      <c r="K29" s="162"/>
    </row>
    <row r="30" spans="2:11" ht="15" x14ac:dyDescent="0.25">
      <c r="B30" s="232"/>
      <c r="C30" s="228"/>
      <c r="D30" s="228"/>
      <c r="E30" s="228"/>
      <c r="F30" s="228"/>
      <c r="G30" s="228"/>
      <c r="H30" s="228"/>
      <c r="I30" s="228"/>
      <c r="J30" s="162"/>
      <c r="K30" s="162"/>
    </row>
    <row r="31" spans="2:11" ht="15" x14ac:dyDescent="0.25">
      <c r="B31" s="162"/>
      <c r="C31" s="228"/>
      <c r="D31" s="228"/>
      <c r="E31" s="228"/>
      <c r="F31" s="228"/>
      <c r="G31" s="228"/>
      <c r="H31" s="228"/>
      <c r="I31" s="162"/>
      <c r="J31" s="162"/>
      <c r="K31" s="162"/>
    </row>
    <row r="32" spans="2:11" ht="15" x14ac:dyDescent="0.25">
      <c r="B32" s="162"/>
      <c r="C32" s="162"/>
      <c r="D32" s="162"/>
      <c r="E32" s="162"/>
      <c r="F32" s="162"/>
      <c r="G32" s="162"/>
      <c r="H32" s="162"/>
      <c r="I32" s="162"/>
      <c r="J32" s="162"/>
      <c r="K32" s="162"/>
    </row>
    <row r="33" spans="2:9" ht="12.75" customHeight="1" x14ac:dyDescent="0.25">
      <c r="B33" s="162"/>
      <c r="C33" s="228"/>
      <c r="D33" s="228"/>
      <c r="E33" s="228"/>
      <c r="F33" s="162"/>
      <c r="G33" s="162"/>
      <c r="H33" s="162"/>
      <c r="I33" s="228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headerFooter>
    <oddHeader>&amp;C&amp;"Times New Roman,Félkövér"&amp;14Martonvásár Város Önkormányzata 2018. évi költségvetésének pénzügyi mérlege&amp;R&amp;"Times New Roman,Félkövér"&amp;12 2. melléklet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"/>
  <sheetViews>
    <sheetView zoomScaleNormal="100" workbookViewId="0">
      <selection activeCell="G36" sqref="G36"/>
    </sheetView>
  </sheetViews>
  <sheetFormatPr defaultColWidth="9.140625" defaultRowHeight="12.75" x14ac:dyDescent="0.2"/>
  <cols>
    <col min="1" max="1" width="5.7109375" style="774" customWidth="1"/>
    <col min="2" max="2" width="21" style="774" customWidth="1"/>
    <col min="3" max="3" width="9.5703125" style="774" bestFit="1" customWidth="1"/>
    <col min="4" max="4" width="8.5703125" style="774" bestFit="1" customWidth="1"/>
    <col min="5" max="5" width="9.5703125" style="774" bestFit="1" customWidth="1"/>
    <col min="6" max="6" width="7.42578125" style="774" customWidth="1"/>
    <col min="7" max="8" width="8.5703125" style="774" bestFit="1" customWidth="1"/>
    <col min="9" max="9" width="12" style="774" bestFit="1" customWidth="1"/>
    <col min="10" max="10" width="9.5703125" style="774" bestFit="1" customWidth="1"/>
    <col min="11" max="11" width="8" style="774" hidden="1" customWidth="1"/>
    <col min="12" max="12" width="8.85546875" style="774" hidden="1" customWidth="1"/>
    <col min="13" max="13" width="9" style="774" bestFit="1" customWidth="1"/>
    <col min="14" max="14" width="8.5703125" style="774" hidden="1" customWidth="1"/>
    <col min="15" max="16" width="8.5703125" style="774" bestFit="1" customWidth="1"/>
    <col min="17" max="17" width="8.140625" style="774" hidden="1" customWidth="1"/>
    <col min="18" max="18" width="8.140625" style="774" customWidth="1"/>
    <col min="19" max="19" width="10" style="774" hidden="1" customWidth="1"/>
    <col min="20" max="20" width="8.140625" style="774" hidden="1" customWidth="1"/>
    <col min="21" max="21" width="8.85546875" style="774" customWidth="1"/>
    <col min="22" max="22" width="12.5703125" style="774" customWidth="1"/>
    <col min="23" max="23" width="9.42578125" style="774" customWidth="1"/>
    <col min="24" max="24" width="8.5703125" style="774" bestFit="1" customWidth="1"/>
    <col min="25" max="25" width="9" style="774" bestFit="1" customWidth="1"/>
    <col min="26" max="26" width="11.7109375" style="774" bestFit="1" customWidth="1"/>
    <col min="27" max="27" width="8.140625" style="774" customWidth="1"/>
    <col min="28" max="28" width="7.28515625" style="774" customWidth="1"/>
    <col min="29" max="29" width="10.5703125" style="774" bestFit="1" customWidth="1"/>
    <col min="30" max="30" width="9.140625" style="774" customWidth="1"/>
    <col min="31" max="31" width="12.7109375" style="774" bestFit="1" customWidth="1"/>
    <col min="32" max="32" width="7.7109375" style="774" customWidth="1"/>
    <col min="33" max="33" width="7.5703125" style="774" customWidth="1"/>
    <col min="34" max="35" width="10.5703125" style="774" bestFit="1" customWidth="1"/>
    <col min="36" max="16384" width="9.140625" style="774"/>
  </cols>
  <sheetData>
    <row r="1" spans="1:40" ht="13.5" thickBot="1" x14ac:dyDescent="0.25">
      <c r="AG1" s="1319" t="s">
        <v>390</v>
      </c>
      <c r="AH1" s="1319"/>
      <c r="AI1" s="1319"/>
    </row>
    <row r="2" spans="1:40" ht="31.5" customHeight="1" x14ac:dyDescent="0.2">
      <c r="A2" s="1320" t="s">
        <v>347</v>
      </c>
      <c r="B2" s="1325" t="s">
        <v>790</v>
      </c>
      <c r="C2" s="1327" t="s">
        <v>308</v>
      </c>
      <c r="D2" s="1327"/>
      <c r="E2" s="1327"/>
      <c r="F2" s="1327"/>
      <c r="G2" s="1327"/>
      <c r="H2" s="1327"/>
      <c r="I2" s="1327"/>
      <c r="J2" s="1327"/>
      <c r="K2" s="1327"/>
      <c r="L2" s="1327"/>
      <c r="M2" s="1327"/>
      <c r="N2" s="1327"/>
      <c r="O2" s="1327"/>
      <c r="P2" s="1327"/>
      <c r="Q2" s="1327"/>
      <c r="R2" s="1327"/>
      <c r="S2" s="1327"/>
      <c r="T2" s="1327"/>
      <c r="U2" s="1327"/>
      <c r="V2" s="1347" t="s">
        <v>287</v>
      </c>
      <c r="W2" s="1331" t="s">
        <v>301</v>
      </c>
      <c r="X2" s="1349"/>
      <c r="Y2" s="1349"/>
      <c r="Z2" s="1349"/>
      <c r="AA2" s="1349"/>
      <c r="AB2" s="1349"/>
      <c r="AC2" s="1349"/>
      <c r="AD2" s="1349"/>
      <c r="AE2" s="1349"/>
      <c r="AF2" s="1349"/>
      <c r="AG2" s="1349"/>
      <c r="AH2" s="1349"/>
      <c r="AI2" s="1347" t="s">
        <v>791</v>
      </c>
      <c r="AN2" s="775"/>
    </row>
    <row r="3" spans="1:40" ht="25.5" customHeight="1" x14ac:dyDescent="0.2">
      <c r="A3" s="1321"/>
      <c r="B3" s="1326"/>
      <c r="C3" s="1326" t="s">
        <v>820</v>
      </c>
      <c r="D3" s="1326" t="s">
        <v>821</v>
      </c>
      <c r="E3" s="1326" t="s">
        <v>151</v>
      </c>
      <c r="F3" s="1326" t="s">
        <v>835</v>
      </c>
      <c r="G3" s="1326" t="s">
        <v>163</v>
      </c>
      <c r="H3" s="1335"/>
      <c r="I3" s="1326" t="s">
        <v>795</v>
      </c>
      <c r="J3" s="1326" t="s">
        <v>683</v>
      </c>
      <c r="K3" s="1326" t="s">
        <v>836</v>
      </c>
      <c r="L3" s="1326" t="s">
        <v>837</v>
      </c>
      <c r="M3" s="1326" t="s">
        <v>799</v>
      </c>
      <c r="N3" s="1326" t="s">
        <v>800</v>
      </c>
      <c r="O3" s="1326" t="s">
        <v>627</v>
      </c>
      <c r="P3" s="1326" t="s">
        <v>838</v>
      </c>
      <c r="Q3" s="1326" t="s">
        <v>802</v>
      </c>
      <c r="R3" s="1326" t="s">
        <v>803</v>
      </c>
      <c r="S3" s="1337" t="s">
        <v>804</v>
      </c>
      <c r="T3" s="1326" t="s">
        <v>805</v>
      </c>
      <c r="U3" s="1326" t="s">
        <v>839</v>
      </c>
      <c r="V3" s="1348"/>
      <c r="W3" s="1334" t="s">
        <v>807</v>
      </c>
      <c r="X3" s="1326" t="s">
        <v>808</v>
      </c>
      <c r="Y3" s="1337" t="s">
        <v>799</v>
      </c>
      <c r="Z3" s="1326" t="s">
        <v>809</v>
      </c>
      <c r="AA3" s="1326" t="s">
        <v>810</v>
      </c>
      <c r="AB3" s="1326" t="s">
        <v>811</v>
      </c>
      <c r="AC3" s="1326" t="s">
        <v>656</v>
      </c>
      <c r="AD3" s="1326" t="s">
        <v>812</v>
      </c>
      <c r="AE3" s="1326" t="s">
        <v>813</v>
      </c>
      <c r="AF3" s="1326" t="s">
        <v>814</v>
      </c>
      <c r="AG3" s="1326" t="s">
        <v>815</v>
      </c>
      <c r="AH3" s="1326" t="s">
        <v>841</v>
      </c>
      <c r="AI3" s="1348"/>
    </row>
    <row r="4" spans="1:40" ht="27" customHeight="1" x14ac:dyDescent="0.2">
      <c r="A4" s="1321"/>
      <c r="B4" s="1326"/>
      <c r="C4" s="1326"/>
      <c r="D4" s="1326"/>
      <c r="E4" s="1326"/>
      <c r="F4" s="1326"/>
      <c r="G4" s="841" t="s">
        <v>816</v>
      </c>
      <c r="H4" s="841" t="s">
        <v>817</v>
      </c>
      <c r="I4" s="1326"/>
      <c r="J4" s="1326"/>
      <c r="K4" s="1326"/>
      <c r="L4" s="1326"/>
      <c r="M4" s="1326"/>
      <c r="N4" s="1326"/>
      <c r="O4" s="1326"/>
      <c r="P4" s="1326"/>
      <c r="Q4" s="1326"/>
      <c r="R4" s="1326"/>
      <c r="S4" s="1338"/>
      <c r="T4" s="1335"/>
      <c r="U4" s="1335"/>
      <c r="V4" s="1348"/>
      <c r="W4" s="1334"/>
      <c r="X4" s="1326"/>
      <c r="Y4" s="1338"/>
      <c r="Z4" s="1333"/>
      <c r="AA4" s="1333"/>
      <c r="AB4" s="1326"/>
      <c r="AC4" s="1333"/>
      <c r="AD4" s="1333"/>
      <c r="AE4" s="1333"/>
      <c r="AF4" s="1326"/>
      <c r="AG4" s="1326"/>
      <c r="AH4" s="1326"/>
      <c r="AI4" s="1348"/>
    </row>
    <row r="5" spans="1:40" x14ac:dyDescent="0.2">
      <c r="A5" s="801">
        <v>1</v>
      </c>
      <c r="B5" s="813" t="s">
        <v>840</v>
      </c>
      <c r="C5" s="1025">
        <f>+'12.a Tételes mód ÖNK'!D50</f>
        <v>10395</v>
      </c>
      <c r="D5" s="1025">
        <f>+'12.a Tételes mód ÖNK'!E50</f>
        <v>2106</v>
      </c>
      <c r="E5" s="1025">
        <f>+'12.a Tételes mód ÖNK'!F50</f>
        <v>16847</v>
      </c>
      <c r="F5" s="1025">
        <f>+'12.a Tételes mód ÖNK'!G50</f>
        <v>0</v>
      </c>
      <c r="G5" s="1025">
        <f>+'12.a Tételes mód ÖNK'!H50</f>
        <v>9934</v>
      </c>
      <c r="H5" s="1025">
        <f>+'12.a Tételes mód ÖNK'!I50</f>
        <v>1100</v>
      </c>
      <c r="I5" s="1025">
        <f>+'12.a Tételes mód ÖNK'!J50</f>
        <v>19390</v>
      </c>
      <c r="J5" s="1025">
        <f>+'12.a Tételes mód ÖNK'!K50</f>
        <v>17869</v>
      </c>
      <c r="K5" s="1025">
        <f>+'12.a Tételes mód ÖNK'!L50</f>
        <v>0</v>
      </c>
      <c r="L5" s="1025">
        <f>+'12.a Tételes mód ÖNK'!M50</f>
        <v>0</v>
      </c>
      <c r="M5" s="1025">
        <f>+'12.a Tételes mód ÖNK'!N50</f>
        <v>5504</v>
      </c>
      <c r="N5" s="1025">
        <f>+'12.a Tételes mód ÖNK'!O50</f>
        <v>0</v>
      </c>
      <c r="O5" s="1025">
        <f>+'12.a Tételes mód ÖNK'!P50</f>
        <v>-3154</v>
      </c>
      <c r="P5" s="1025">
        <f>+'12.a Tételes mód ÖNK'!Q50</f>
        <v>-4896</v>
      </c>
      <c r="Q5" s="1025">
        <f>+'12.a Tételes mód ÖNK'!R50</f>
        <v>0</v>
      </c>
      <c r="R5" s="1025">
        <f>+'12.a Tételes mód ÖNK'!S50</f>
        <v>0</v>
      </c>
      <c r="S5" s="1025">
        <f>+'12.a Tételes mód ÖNK'!T50</f>
        <v>0</v>
      </c>
      <c r="T5" s="1025">
        <f>+'12.a Tételes mód ÖNK'!U50</f>
        <v>11846</v>
      </c>
      <c r="U5" s="1025">
        <f>+'12.a Tételes mód ÖNK'!V50</f>
        <v>0</v>
      </c>
      <c r="V5" s="1032">
        <f>SUM(C5:U5)</f>
        <v>86941</v>
      </c>
      <c r="W5" s="1033">
        <f>+'12.a Tételes mód ÖNK'!X50</f>
        <v>0</v>
      </c>
      <c r="X5" s="1034">
        <f>+'12.a Tételes mód ÖNK'!Y50</f>
        <v>0</v>
      </c>
      <c r="Y5" s="1034"/>
      <c r="Z5" s="1034">
        <f>+'12.a Tételes mód ÖNK'!Z50</f>
        <v>11393</v>
      </c>
      <c r="AA5" s="1034">
        <f>+'12.a Tételes mód ÖNK'!AA50</f>
        <v>615</v>
      </c>
      <c r="AB5" s="1034">
        <f>+'12.a Tételes mód ÖNK'!AB50</f>
        <v>0</v>
      </c>
      <c r="AC5" s="1034">
        <f>+'12.a Tételes mód ÖNK'!AD50</f>
        <v>0</v>
      </c>
      <c r="AD5" s="1034"/>
      <c r="AE5" s="1034">
        <f>+'12.a Tételes mód ÖNK'!AE50</f>
        <v>-184090</v>
      </c>
      <c r="AF5" s="1034"/>
      <c r="AG5" s="1034">
        <f>+'12.a Tételes mód ÖNK'!AG50</f>
        <v>0</v>
      </c>
      <c r="AH5" s="1034">
        <f>+'12.a Tételes mód ÖNK'!AH50</f>
        <v>259023</v>
      </c>
      <c r="AI5" s="1032">
        <f>SUM(W5:AH5)</f>
        <v>86941</v>
      </c>
    </row>
    <row r="6" spans="1:40" x14ac:dyDescent="0.2">
      <c r="A6" s="801">
        <v>2</v>
      </c>
      <c r="B6" s="802"/>
      <c r="C6" s="1024"/>
      <c r="D6" s="1024"/>
      <c r="E6" s="1024"/>
      <c r="F6" s="1024"/>
      <c r="G6" s="1024"/>
      <c r="H6" s="1024"/>
      <c r="I6" s="1024"/>
      <c r="J6" s="1024"/>
      <c r="K6" s="1024"/>
      <c r="L6" s="1024"/>
      <c r="M6" s="1024"/>
      <c r="N6" s="1024"/>
      <c r="O6" s="1024"/>
      <c r="P6" s="1024"/>
      <c r="Q6" s="1024"/>
      <c r="R6" s="1024"/>
      <c r="S6" s="1024"/>
      <c r="T6" s="1024"/>
      <c r="U6" s="1024"/>
      <c r="V6" s="1032">
        <f t="shared" ref="V6:V9" si="0">SUM(C6:U6)</f>
        <v>0</v>
      </c>
      <c r="W6" s="1035"/>
      <c r="X6" s="1024"/>
      <c r="Y6" s="1024"/>
      <c r="Z6" s="1024"/>
      <c r="AA6" s="1024"/>
      <c r="AB6" s="1024"/>
      <c r="AC6" s="1024"/>
      <c r="AD6" s="1024"/>
      <c r="AE6" s="1024"/>
      <c r="AF6" s="1024"/>
      <c r="AG6" s="1024"/>
      <c r="AH6" s="1024"/>
      <c r="AI6" s="1036"/>
    </row>
    <row r="7" spans="1:40" x14ac:dyDescent="0.2">
      <c r="A7" s="801">
        <v>3</v>
      </c>
      <c r="B7" s="802" t="s">
        <v>290</v>
      </c>
      <c r="C7" s="1024">
        <f>+'12.b Tételes mód PH'!E19</f>
        <v>65</v>
      </c>
      <c r="D7" s="1024">
        <f>+'12.b Tételes mód PH'!F19</f>
        <v>3</v>
      </c>
      <c r="E7" s="1024">
        <f>+'12.b Tételes mód PH'!M19</f>
        <v>23</v>
      </c>
      <c r="F7" s="1024"/>
      <c r="G7" s="1024">
        <f>+'12.b Tételes mód PH'!N19</f>
        <v>0</v>
      </c>
      <c r="H7" s="1024"/>
      <c r="I7" s="1024"/>
      <c r="J7" s="1024"/>
      <c r="K7" s="1024"/>
      <c r="L7" s="1024"/>
      <c r="M7" s="1024"/>
      <c r="N7" s="1024"/>
      <c r="O7" s="1024"/>
      <c r="P7" s="1024"/>
      <c r="Q7" s="1024"/>
      <c r="R7" s="1024"/>
      <c r="S7" s="1024"/>
      <c r="T7" s="1024"/>
      <c r="U7" s="1024"/>
      <c r="V7" s="1032">
        <f t="shared" si="0"/>
        <v>91</v>
      </c>
      <c r="W7" s="1035"/>
      <c r="X7" s="1024">
        <f>+'12.b Tételes mód PH'!U19</f>
        <v>0</v>
      </c>
      <c r="Y7" s="1024">
        <f>+'12.b Tételes mód PH'!V19</f>
        <v>54</v>
      </c>
      <c r="Z7" s="1024">
        <f>+'12.b Tételes mód PH'!W19</f>
        <v>37</v>
      </c>
      <c r="AA7" s="1024"/>
      <c r="AB7" s="1024"/>
      <c r="AC7" s="1024"/>
      <c r="AD7" s="1024"/>
      <c r="AE7" s="1024"/>
      <c r="AF7" s="1024"/>
      <c r="AG7" s="1024"/>
      <c r="AH7" s="1024">
        <f>+'12.b Tételes mód PH'!AB19</f>
        <v>0</v>
      </c>
      <c r="AI7" s="1037">
        <f>SUM(W7:AH7)</f>
        <v>91</v>
      </c>
    </row>
    <row r="8" spans="1:40" x14ac:dyDescent="0.2">
      <c r="A8" s="801">
        <v>4</v>
      </c>
      <c r="B8" s="802" t="s">
        <v>291</v>
      </c>
      <c r="C8" s="1024">
        <f>+'12.c Tételes mód Óvoda'!C21</f>
        <v>24</v>
      </c>
      <c r="D8" s="1024">
        <f>+'12.c Tételes mód Óvoda'!D21</f>
        <v>5</v>
      </c>
      <c r="E8" s="1024">
        <f>+'12.c Tételes mód Óvoda'!E21</f>
        <v>240</v>
      </c>
      <c r="F8" s="1024"/>
      <c r="G8" s="1024">
        <f>+'12.c Tételes mód Óvoda'!F21</f>
        <v>0</v>
      </c>
      <c r="H8" s="1024">
        <f>+'12.c Tételes mód Óvoda'!G21</f>
        <v>0</v>
      </c>
      <c r="I8" s="1024">
        <f>+'12.c Tételes mód Óvoda'!H21</f>
        <v>0</v>
      </c>
      <c r="J8" s="1024"/>
      <c r="K8" s="1024"/>
      <c r="L8" s="1024"/>
      <c r="M8" s="1024"/>
      <c r="N8" s="1024"/>
      <c r="O8" s="1024"/>
      <c r="P8" s="1024"/>
      <c r="Q8" s="1024"/>
      <c r="R8" s="1024"/>
      <c r="S8" s="1024"/>
      <c r="T8" s="1024"/>
      <c r="U8" s="1024"/>
      <c r="V8" s="1032">
        <f t="shared" si="0"/>
        <v>269</v>
      </c>
      <c r="W8" s="1035"/>
      <c r="X8" s="1024">
        <f>+'12.c Tételes mód Óvoda'!M21</f>
        <v>240</v>
      </c>
      <c r="Y8" s="1024">
        <f>+'12.c Tételes mód Óvoda'!N21</f>
        <v>29</v>
      </c>
      <c r="Z8" s="1024"/>
      <c r="AA8" s="1024"/>
      <c r="AB8" s="1024"/>
      <c r="AC8" s="1024"/>
      <c r="AD8" s="1024"/>
      <c r="AE8" s="1024"/>
      <c r="AF8" s="1024"/>
      <c r="AG8" s="1024"/>
      <c r="AH8" s="1024">
        <f>+'12.c Tételes mód Óvoda'!T21</f>
        <v>0</v>
      </c>
      <c r="AI8" s="1037">
        <f>SUM(W8:AH8)</f>
        <v>269</v>
      </c>
    </row>
    <row r="9" spans="1:40" x14ac:dyDescent="0.2">
      <c r="A9" s="801">
        <v>5</v>
      </c>
      <c r="B9" s="802" t="s">
        <v>363</v>
      </c>
      <c r="C9" s="1024">
        <f>+'12.d Tételes mód BBK'!D15</f>
        <v>8567</v>
      </c>
      <c r="D9" s="1024">
        <f>+'12.d Tételes mód BBK'!E15</f>
        <v>1756</v>
      </c>
      <c r="E9" s="1024">
        <f>+'12.d Tételes mód BBK'!L15</f>
        <v>17457</v>
      </c>
      <c r="F9" s="1024">
        <f>+'12.d Tételes mód BBK'!G15</f>
        <v>0</v>
      </c>
      <c r="G9" s="1024">
        <f>+'12.d Tételes mód BBK'!M15</f>
        <v>0</v>
      </c>
      <c r="H9" s="1024">
        <f>+'12.d Tételes mód BBK'!I15</f>
        <v>0</v>
      </c>
      <c r="I9" s="1024">
        <f>+'12.d Tételes mód BBK'!O15</f>
        <v>28</v>
      </c>
      <c r="J9" s="1024"/>
      <c r="K9" s="1024"/>
      <c r="L9" s="1024"/>
      <c r="M9" s="1024"/>
      <c r="N9" s="1024"/>
      <c r="O9" s="1024"/>
      <c r="P9" s="1024"/>
      <c r="Q9" s="1024"/>
      <c r="R9" s="1024"/>
      <c r="S9" s="1024"/>
      <c r="T9" s="1024"/>
      <c r="U9" s="1024"/>
      <c r="V9" s="1032">
        <f t="shared" si="0"/>
        <v>27808</v>
      </c>
      <c r="W9" s="1035"/>
      <c r="X9" s="1024">
        <f>+'12.d Tételes mód BBK'!T15</f>
        <v>8110</v>
      </c>
      <c r="Y9" s="1024">
        <f>+'12.d Tételes mód BBK'!U15</f>
        <v>5421</v>
      </c>
      <c r="Z9" s="1024"/>
      <c r="AA9" s="1024"/>
      <c r="AB9" s="1024"/>
      <c r="AC9" s="1024"/>
      <c r="AD9" s="1024"/>
      <c r="AE9" s="1024">
        <f>+'12.d Tételes mód BBK'!Y15</f>
        <v>14277</v>
      </c>
      <c r="AF9" s="1024"/>
      <c r="AG9" s="1024"/>
      <c r="AH9" s="1024">
        <f>+'12.d Tételes mód BBK'!AA15</f>
        <v>0</v>
      </c>
      <c r="AI9" s="1037">
        <f>SUM(X9:AH9)</f>
        <v>27808</v>
      </c>
    </row>
    <row r="10" spans="1:40" x14ac:dyDescent="0.2">
      <c r="A10" s="801">
        <v>6</v>
      </c>
      <c r="B10" s="813" t="s">
        <v>299</v>
      </c>
      <c r="C10" s="1025">
        <f t="shared" ref="C10:K10" si="1">SUM(C7:C9)</f>
        <v>8656</v>
      </c>
      <c r="D10" s="1025">
        <f t="shared" si="1"/>
        <v>1764</v>
      </c>
      <c r="E10" s="1025">
        <f t="shared" si="1"/>
        <v>17720</v>
      </c>
      <c r="F10" s="1025">
        <f t="shared" si="1"/>
        <v>0</v>
      </c>
      <c r="G10" s="1025">
        <f t="shared" si="1"/>
        <v>0</v>
      </c>
      <c r="H10" s="1025">
        <f t="shared" si="1"/>
        <v>0</v>
      </c>
      <c r="I10" s="1025">
        <f t="shared" si="1"/>
        <v>28</v>
      </c>
      <c r="J10" s="1025">
        <f t="shared" si="1"/>
        <v>0</v>
      </c>
      <c r="K10" s="1025">
        <f t="shared" si="1"/>
        <v>0</v>
      </c>
      <c r="L10" s="1025"/>
      <c r="M10" s="1025">
        <f>SUM(M7:M9)</f>
        <v>0</v>
      </c>
      <c r="N10" s="1025">
        <f>SUM(N7:N9)</f>
        <v>0</v>
      </c>
      <c r="O10" s="1025">
        <f>SUM(O7:O9)</f>
        <v>0</v>
      </c>
      <c r="P10" s="1025"/>
      <c r="Q10" s="1025"/>
      <c r="R10" s="1025"/>
      <c r="S10" s="1025">
        <f t="shared" ref="S10:AF10" si="2">SUM(S7:S9)</f>
        <v>0</v>
      </c>
      <c r="T10" s="1025"/>
      <c r="U10" s="1025">
        <f t="shared" si="2"/>
        <v>0</v>
      </c>
      <c r="V10" s="1037">
        <f t="shared" si="2"/>
        <v>28168</v>
      </c>
      <c r="W10" s="1038">
        <f t="shared" si="2"/>
        <v>0</v>
      </c>
      <c r="X10" s="1025">
        <f>SUM(X7:X9)</f>
        <v>8350</v>
      </c>
      <c r="Y10" s="1025">
        <f>SUM(Y7:Y9)</f>
        <v>5504</v>
      </c>
      <c r="Z10" s="1025">
        <f t="shared" si="2"/>
        <v>37</v>
      </c>
      <c r="AA10" s="1025">
        <f t="shared" si="2"/>
        <v>0</v>
      </c>
      <c r="AB10" s="1025">
        <f t="shared" si="2"/>
        <v>0</v>
      </c>
      <c r="AC10" s="1025">
        <f t="shared" si="2"/>
        <v>0</v>
      </c>
      <c r="AD10" s="1025">
        <f t="shared" si="2"/>
        <v>0</v>
      </c>
      <c r="AE10" s="1025">
        <f t="shared" si="2"/>
        <v>14277</v>
      </c>
      <c r="AF10" s="1025">
        <f t="shared" si="2"/>
        <v>0</v>
      </c>
      <c r="AG10" s="1025">
        <f>SUM(AG7:AG9)</f>
        <v>0</v>
      </c>
      <c r="AH10" s="1025">
        <f>SUM(AH7:AH9)</f>
        <v>0</v>
      </c>
      <c r="AI10" s="1037">
        <f>SUM(AI7:AI9)</f>
        <v>28168</v>
      </c>
    </row>
    <row r="11" spans="1:40" x14ac:dyDescent="0.2">
      <c r="A11" s="801">
        <v>7</v>
      </c>
      <c r="B11" s="802"/>
      <c r="C11" s="1024"/>
      <c r="D11" s="1024"/>
      <c r="E11" s="1024"/>
      <c r="F11" s="1024"/>
      <c r="G11" s="1024"/>
      <c r="H11" s="1024"/>
      <c r="I11" s="1024"/>
      <c r="J11" s="1024"/>
      <c r="K11" s="1024"/>
      <c r="L11" s="1024"/>
      <c r="M11" s="1024"/>
      <c r="N11" s="1024"/>
      <c r="O11" s="1024"/>
      <c r="P11" s="1024"/>
      <c r="Q11" s="1024"/>
      <c r="R11" s="1024"/>
      <c r="S11" s="1024"/>
      <c r="T11" s="1024"/>
      <c r="U11" s="1024"/>
      <c r="V11" s="1036">
        <f>SUM(C11:U11)</f>
        <v>0</v>
      </c>
      <c r="W11" s="1035"/>
      <c r="X11" s="1024"/>
      <c r="Y11" s="1024"/>
      <c r="Z11" s="1024"/>
      <c r="AA11" s="1024"/>
      <c r="AB11" s="1024"/>
      <c r="AC11" s="1024"/>
      <c r="AD11" s="1024"/>
      <c r="AE11" s="1024"/>
      <c r="AF11" s="1024"/>
      <c r="AG11" s="1024"/>
      <c r="AH11" s="1024"/>
      <c r="AI11" s="1037">
        <f>SUM(X11:AH11)</f>
        <v>0</v>
      </c>
    </row>
    <row r="12" spans="1:40" ht="13.5" thickBot="1" x14ac:dyDescent="0.25">
      <c r="A12" s="807">
        <v>8</v>
      </c>
      <c r="B12" s="814" t="s">
        <v>281</v>
      </c>
      <c r="C12" s="1039">
        <f t="shared" ref="C12:L12" si="3">C5+C10</f>
        <v>19051</v>
      </c>
      <c r="D12" s="1039">
        <f t="shared" si="3"/>
        <v>3870</v>
      </c>
      <c r="E12" s="1039">
        <f t="shared" si="3"/>
        <v>34567</v>
      </c>
      <c r="F12" s="1039">
        <f t="shared" si="3"/>
        <v>0</v>
      </c>
      <c r="G12" s="1039">
        <f t="shared" si="3"/>
        <v>9934</v>
      </c>
      <c r="H12" s="1039">
        <f t="shared" si="3"/>
        <v>1100</v>
      </c>
      <c r="I12" s="1039">
        <f t="shared" si="3"/>
        <v>19418</v>
      </c>
      <c r="J12" s="1039">
        <f t="shared" si="3"/>
        <v>17869</v>
      </c>
      <c r="K12" s="1039">
        <f t="shared" si="3"/>
        <v>0</v>
      </c>
      <c r="L12" s="1039">
        <f t="shared" si="3"/>
        <v>0</v>
      </c>
      <c r="M12" s="1039"/>
      <c r="N12" s="1039">
        <f t="shared" ref="N12:U12" si="4">N5+N10</f>
        <v>0</v>
      </c>
      <c r="O12" s="1039">
        <f t="shared" si="4"/>
        <v>-3154</v>
      </c>
      <c r="P12" s="1039">
        <f t="shared" si="4"/>
        <v>-4896</v>
      </c>
      <c r="Q12" s="1039">
        <f t="shared" si="4"/>
        <v>0</v>
      </c>
      <c r="R12" s="1039">
        <f t="shared" si="4"/>
        <v>0</v>
      </c>
      <c r="S12" s="1039">
        <f t="shared" si="4"/>
        <v>0</v>
      </c>
      <c r="T12" s="1039">
        <f t="shared" si="4"/>
        <v>11846</v>
      </c>
      <c r="U12" s="1039">
        <f t="shared" si="4"/>
        <v>0</v>
      </c>
      <c r="V12" s="1040">
        <f>SUM(C12:U12)</f>
        <v>109605</v>
      </c>
      <c r="W12" s="1041">
        <f>W5+W10</f>
        <v>0</v>
      </c>
      <c r="X12" s="1039">
        <f>X5+X10</f>
        <v>8350</v>
      </c>
      <c r="Y12" s="1039"/>
      <c r="Z12" s="1039">
        <f>SUM(Z5+Z10)</f>
        <v>11430</v>
      </c>
      <c r="AA12" s="1039">
        <f t="shared" ref="AA12:AH12" si="5">AA5+AA10</f>
        <v>615</v>
      </c>
      <c r="AB12" s="1039">
        <f t="shared" si="5"/>
        <v>0</v>
      </c>
      <c r="AC12" s="1039">
        <f t="shared" si="5"/>
        <v>0</v>
      </c>
      <c r="AD12" s="1039">
        <f t="shared" si="5"/>
        <v>0</v>
      </c>
      <c r="AE12" s="1039">
        <f t="shared" si="5"/>
        <v>-169813</v>
      </c>
      <c r="AF12" s="1039">
        <f t="shared" si="5"/>
        <v>0</v>
      </c>
      <c r="AG12" s="1039">
        <f t="shared" si="5"/>
        <v>0</v>
      </c>
      <c r="AH12" s="1039">
        <f t="shared" si="5"/>
        <v>259023</v>
      </c>
      <c r="AI12" s="1040">
        <f>SUM(W12:AH12)</f>
        <v>109605</v>
      </c>
    </row>
  </sheetData>
  <mergeCells count="37">
    <mergeCell ref="AF3:AF4"/>
    <mergeCell ref="AG3:AG4"/>
    <mergeCell ref="AH3:AH4"/>
    <mergeCell ref="Z3:Z4"/>
    <mergeCell ref="AA3:AA4"/>
    <mergeCell ref="AB3:AB4"/>
    <mergeCell ref="AC3:AC4"/>
    <mergeCell ref="AD3:AD4"/>
    <mergeCell ref="AE3:AE4"/>
    <mergeCell ref="Y3:Y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W3:W4"/>
    <mergeCell ref="X3:X4"/>
    <mergeCell ref="L3:L4"/>
    <mergeCell ref="AG1:AI1"/>
    <mergeCell ref="A2:A4"/>
    <mergeCell ref="B2:B4"/>
    <mergeCell ref="C2:U2"/>
    <mergeCell ref="V2:V4"/>
    <mergeCell ref="W2:AH2"/>
    <mergeCell ref="AI2:AI4"/>
    <mergeCell ref="C3:C4"/>
    <mergeCell ref="D3:D4"/>
    <mergeCell ref="E3:E4"/>
    <mergeCell ref="F3:F4"/>
    <mergeCell ref="G3:H3"/>
    <mergeCell ref="I3:I4"/>
    <mergeCell ref="J3:J4"/>
    <mergeCell ref="K3:K4"/>
  </mergeCells>
  <printOptions horizontalCentered="1"/>
  <pageMargins left="0.70866141732283472" right="0.70866141732283472" top="0.74803149606299213" bottom="0.74803149606299213" header="0.31496062992125984" footer="0.31496062992125984"/>
  <pageSetup paperSize="8" fitToWidth="2" orientation="landscape" r:id="rId1"/>
  <headerFooter>
    <oddHeader>&amp;C&amp;"Times New Roman,Félkövér"&amp;12Martonvásár Város Önkormányzatának 2018. évi költségvetés módosításainak részletezése
&amp;"Times New Roman,Normál"(Intézményekkel együtt)&amp;R&amp;"Times New Roman,Félkövér"&amp;12 12.e. melléklet</oddHeader>
  </headerFooter>
  <colBreaks count="1" manualBreakCount="1">
    <brk id="22" max="1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79"/>
  <sheetViews>
    <sheetView topLeftCell="A40" zoomScaleNormal="100" workbookViewId="0">
      <selection activeCell="D33" sqref="D33"/>
    </sheetView>
  </sheetViews>
  <sheetFormatPr defaultColWidth="9.140625" defaultRowHeight="12.75" x14ac:dyDescent="0.2"/>
  <cols>
    <col min="1" max="1" width="6.28515625" style="81" customWidth="1"/>
    <col min="2" max="2" width="57" style="78" customWidth="1"/>
    <col min="3" max="3" width="12.85546875" style="78" customWidth="1"/>
    <col min="4" max="4" width="12.7109375" style="78" bestFit="1" customWidth="1"/>
    <col min="5" max="5" width="14.28515625" style="78" customWidth="1"/>
    <col min="6" max="16384" width="9.140625" style="78"/>
  </cols>
  <sheetData>
    <row r="1" spans="1:7" ht="15.75" x14ac:dyDescent="0.25">
      <c r="A1" s="1071"/>
      <c r="B1" s="1071"/>
      <c r="C1" s="1071"/>
      <c r="D1" s="1071"/>
      <c r="E1" s="1071"/>
      <c r="G1" s="456"/>
    </row>
    <row r="2" spans="1:7" ht="11.25" customHeight="1" x14ac:dyDescent="0.2">
      <c r="B2" s="342"/>
      <c r="C2" s="1074" t="s">
        <v>387</v>
      </c>
      <c r="D2" s="1074"/>
      <c r="E2" s="1074"/>
    </row>
    <row r="3" spans="1:7" s="74" customFormat="1" ht="15" customHeight="1" x14ac:dyDescent="0.25">
      <c r="A3" s="1072" t="s">
        <v>0</v>
      </c>
      <c r="B3" s="1072" t="s">
        <v>182</v>
      </c>
      <c r="C3" s="1073" t="s">
        <v>699</v>
      </c>
      <c r="D3" s="1073"/>
      <c r="E3" s="1073"/>
    </row>
    <row r="4" spans="1:7" s="75" customFormat="1" x14ac:dyDescent="0.25">
      <c r="A4" s="1072"/>
      <c r="B4" s="1072"/>
      <c r="C4" s="974" t="s">
        <v>943</v>
      </c>
      <c r="D4" s="3" t="s">
        <v>786</v>
      </c>
      <c r="E4" s="974" t="s">
        <v>942</v>
      </c>
    </row>
    <row r="5" spans="1:7" s="77" customFormat="1" ht="12.75" customHeight="1" x14ac:dyDescent="0.2">
      <c r="A5" s="63" t="s">
        <v>195</v>
      </c>
      <c r="B5" s="14" t="s">
        <v>194</v>
      </c>
      <c r="C5" s="363">
        <v>128756</v>
      </c>
      <c r="D5" s="363">
        <v>190</v>
      </c>
      <c r="E5" s="363">
        <f>+C5+D5</f>
        <v>128946</v>
      </c>
    </row>
    <row r="6" spans="1:7" s="77" customFormat="1" ht="12.75" customHeight="1" x14ac:dyDescent="0.2">
      <c r="A6" s="63" t="s">
        <v>197</v>
      </c>
      <c r="B6" s="58" t="s">
        <v>196</v>
      </c>
      <c r="C6" s="363">
        <v>146671</v>
      </c>
      <c r="D6" s="363"/>
      <c r="E6" s="363">
        <f t="shared" ref="E6:E68" si="0">+C6+D6</f>
        <v>146671</v>
      </c>
    </row>
    <row r="7" spans="1:7" s="77" customFormat="1" ht="12.75" customHeight="1" x14ac:dyDescent="0.2">
      <c r="A7" s="63" t="s">
        <v>199</v>
      </c>
      <c r="B7" s="58" t="s">
        <v>198</v>
      </c>
      <c r="C7" s="363">
        <v>170614</v>
      </c>
      <c r="D7" s="363">
        <v>9698</v>
      </c>
      <c r="E7" s="363">
        <f t="shared" si="0"/>
        <v>180312</v>
      </c>
    </row>
    <row r="8" spans="1:7" ht="12.75" customHeight="1" x14ac:dyDescent="0.2">
      <c r="A8" s="63" t="s">
        <v>201</v>
      </c>
      <c r="B8" s="58" t="s">
        <v>200</v>
      </c>
      <c r="C8" s="363">
        <v>7659</v>
      </c>
      <c r="D8" s="363">
        <f>197+197</f>
        <v>394</v>
      </c>
      <c r="E8" s="363">
        <f t="shared" si="0"/>
        <v>8053</v>
      </c>
    </row>
    <row r="9" spans="1:7" s="79" customFormat="1" ht="12.75" customHeight="1" x14ac:dyDescent="0.2">
      <c r="A9" s="63" t="s">
        <v>202</v>
      </c>
      <c r="B9" s="58" t="s">
        <v>632</v>
      </c>
      <c r="C9" s="364">
        <v>673</v>
      </c>
      <c r="D9" s="364">
        <v>1112</v>
      </c>
      <c r="E9" s="363">
        <f t="shared" si="0"/>
        <v>1785</v>
      </c>
    </row>
    <row r="10" spans="1:7" s="79" customFormat="1" ht="12.75" customHeight="1" x14ac:dyDescent="0.2">
      <c r="A10" s="63" t="s">
        <v>203</v>
      </c>
      <c r="B10" s="58" t="s">
        <v>633</v>
      </c>
      <c r="C10" s="364">
        <v>0</v>
      </c>
      <c r="D10" s="364"/>
      <c r="E10" s="363">
        <f t="shared" si="0"/>
        <v>0</v>
      </c>
    </row>
    <row r="11" spans="1:7" ht="12.75" customHeight="1" x14ac:dyDescent="0.2">
      <c r="A11" s="70" t="s">
        <v>204</v>
      </c>
      <c r="B11" s="59" t="s">
        <v>330</v>
      </c>
      <c r="C11" s="365">
        <v>454373</v>
      </c>
      <c r="D11" s="365">
        <f t="shared" ref="D11:E11" si="1">SUM(D5:D10)</f>
        <v>11394</v>
      </c>
      <c r="E11" s="365">
        <f t="shared" si="1"/>
        <v>465767</v>
      </c>
    </row>
    <row r="12" spans="1:7" ht="12.75" customHeight="1" x14ac:dyDescent="0.2">
      <c r="A12" s="498" t="s">
        <v>206</v>
      </c>
      <c r="B12" s="59" t="s">
        <v>205</v>
      </c>
      <c r="C12" s="365">
        <v>31087</v>
      </c>
      <c r="D12" s="365">
        <f t="shared" ref="D12:E12" si="2">SUM(D13:D22)</f>
        <v>615</v>
      </c>
      <c r="E12" s="365">
        <f t="shared" si="2"/>
        <v>31702</v>
      </c>
    </row>
    <row r="13" spans="1:7" s="93" customFormat="1" ht="12.75" customHeight="1" x14ac:dyDescent="0.2">
      <c r="A13" s="90"/>
      <c r="B13" s="91" t="s">
        <v>331</v>
      </c>
      <c r="C13" s="366">
        <v>600</v>
      </c>
      <c r="D13" s="366"/>
      <c r="E13" s="363">
        <f t="shared" si="0"/>
        <v>600</v>
      </c>
    </row>
    <row r="14" spans="1:7" s="93" customFormat="1" ht="12.75" customHeight="1" x14ac:dyDescent="0.2">
      <c r="A14" s="90"/>
      <c r="B14" s="91" t="s">
        <v>321</v>
      </c>
      <c r="C14" s="366">
        <v>0</v>
      </c>
      <c r="D14" s="366"/>
      <c r="E14" s="363">
        <f t="shared" si="0"/>
        <v>0</v>
      </c>
    </row>
    <row r="15" spans="1:7" s="93" customFormat="1" ht="12.75" customHeight="1" x14ac:dyDescent="0.2">
      <c r="A15" s="90"/>
      <c r="B15" s="91" t="s">
        <v>322</v>
      </c>
      <c r="C15" s="366">
        <v>0</v>
      </c>
      <c r="D15" s="366"/>
      <c r="E15" s="363">
        <f t="shared" si="0"/>
        <v>0</v>
      </c>
    </row>
    <row r="16" spans="1:7" s="93" customFormat="1" ht="12.75" customHeight="1" x14ac:dyDescent="0.2">
      <c r="A16" s="90"/>
      <c r="B16" s="91" t="s">
        <v>323</v>
      </c>
      <c r="C16" s="366">
        <v>10330</v>
      </c>
      <c r="D16" s="366"/>
      <c r="E16" s="363">
        <f t="shared" si="0"/>
        <v>10330</v>
      </c>
    </row>
    <row r="17" spans="1:5" s="93" customFormat="1" ht="12.75" customHeight="1" x14ac:dyDescent="0.2">
      <c r="A17" s="90"/>
      <c r="B17" s="91" t="s">
        <v>324</v>
      </c>
      <c r="C17" s="366">
        <v>13070</v>
      </c>
      <c r="D17" s="366"/>
      <c r="E17" s="363">
        <f t="shared" si="0"/>
        <v>13070</v>
      </c>
    </row>
    <row r="18" spans="1:5" s="93" customFormat="1" ht="12.75" customHeight="1" x14ac:dyDescent="0.2">
      <c r="A18" s="90"/>
      <c r="B18" s="91" t="s">
        <v>325</v>
      </c>
      <c r="C18" s="366">
        <v>0</v>
      </c>
      <c r="D18" s="366"/>
      <c r="E18" s="363">
        <f t="shared" si="0"/>
        <v>0</v>
      </c>
    </row>
    <row r="19" spans="1:5" s="93" customFormat="1" ht="12.75" customHeight="1" x14ac:dyDescent="0.2">
      <c r="A19" s="90"/>
      <c r="B19" s="91" t="s">
        <v>99</v>
      </c>
      <c r="C19" s="366">
        <v>0</v>
      </c>
      <c r="D19" s="366">
        <v>615</v>
      </c>
      <c r="E19" s="363">
        <f t="shared" si="0"/>
        <v>615</v>
      </c>
    </row>
    <row r="20" spans="1:5" s="93" customFormat="1" ht="12.75" customHeight="1" x14ac:dyDescent="0.2">
      <c r="A20" s="90"/>
      <c r="B20" s="91" t="s">
        <v>100</v>
      </c>
      <c r="C20" s="366">
        <v>7087</v>
      </c>
      <c r="D20" s="366"/>
      <c r="E20" s="363">
        <f t="shared" si="0"/>
        <v>7087</v>
      </c>
    </row>
    <row r="21" spans="1:5" s="93" customFormat="1" ht="12.75" customHeight="1" x14ac:dyDescent="0.2">
      <c r="A21" s="90"/>
      <c r="B21" s="91" t="s">
        <v>326</v>
      </c>
      <c r="C21" s="366">
        <v>0</v>
      </c>
      <c r="D21" s="366"/>
      <c r="E21" s="363">
        <f t="shared" si="0"/>
        <v>0</v>
      </c>
    </row>
    <row r="22" spans="1:5" s="93" customFormat="1" ht="12.75" customHeight="1" x14ac:dyDescent="0.2">
      <c r="A22" s="90"/>
      <c r="B22" s="91" t="s">
        <v>327</v>
      </c>
      <c r="C22" s="366">
        <v>0</v>
      </c>
      <c r="D22" s="366"/>
      <c r="E22" s="363">
        <f t="shared" si="0"/>
        <v>0</v>
      </c>
    </row>
    <row r="23" spans="1:5" ht="12.75" customHeight="1" x14ac:dyDescent="0.2">
      <c r="A23" s="70" t="s">
        <v>207</v>
      </c>
      <c r="B23" s="59" t="s">
        <v>328</v>
      </c>
      <c r="C23" s="365">
        <v>485460</v>
      </c>
      <c r="D23" s="365">
        <f t="shared" ref="D23:E23" si="3">+D11+D12</f>
        <v>12009</v>
      </c>
      <c r="E23" s="365">
        <f t="shared" si="3"/>
        <v>497469</v>
      </c>
    </row>
    <row r="24" spans="1:5" ht="12.75" customHeight="1" x14ac:dyDescent="0.2">
      <c r="A24" s="63" t="s">
        <v>388</v>
      </c>
      <c r="B24" s="58" t="s">
        <v>389</v>
      </c>
      <c r="C24" s="363">
        <v>24745</v>
      </c>
      <c r="D24" s="363"/>
      <c r="E24" s="363">
        <f t="shared" si="0"/>
        <v>24745</v>
      </c>
    </row>
    <row r="25" spans="1:5" ht="12.75" customHeight="1" x14ac:dyDescent="0.2">
      <c r="A25" s="63" t="s">
        <v>380</v>
      </c>
      <c r="B25" s="58" t="s">
        <v>381</v>
      </c>
      <c r="C25" s="363">
        <v>0</v>
      </c>
      <c r="D25" s="363"/>
      <c r="E25" s="363">
        <f t="shared" si="0"/>
        <v>0</v>
      </c>
    </row>
    <row r="26" spans="1:5" ht="12.75" customHeight="1" x14ac:dyDescent="0.2">
      <c r="A26" s="63" t="s">
        <v>209</v>
      </c>
      <c r="B26" s="58" t="s">
        <v>208</v>
      </c>
      <c r="C26" s="363">
        <v>640204</v>
      </c>
      <c r="D26" s="363">
        <f>SUM(D27:D36)</f>
        <v>-184090</v>
      </c>
      <c r="E26" s="363">
        <f t="shared" si="0"/>
        <v>456114</v>
      </c>
    </row>
    <row r="27" spans="1:5" s="93" customFormat="1" ht="12.75" customHeight="1" x14ac:dyDescent="0.2">
      <c r="A27" s="90"/>
      <c r="B27" s="91" t="s">
        <v>320</v>
      </c>
      <c r="C27" s="366">
        <v>0</v>
      </c>
      <c r="D27" s="366"/>
      <c r="E27" s="363">
        <f t="shared" si="0"/>
        <v>0</v>
      </c>
    </row>
    <row r="28" spans="1:5" s="93" customFormat="1" ht="12.75" customHeight="1" x14ac:dyDescent="0.2">
      <c r="A28" s="90"/>
      <c r="B28" s="91" t="s">
        <v>321</v>
      </c>
      <c r="C28" s="366">
        <v>0</v>
      </c>
      <c r="D28" s="366"/>
      <c r="E28" s="363">
        <f t="shared" si="0"/>
        <v>0</v>
      </c>
    </row>
    <row r="29" spans="1:5" s="93" customFormat="1" ht="30.75" customHeight="1" x14ac:dyDescent="0.2">
      <c r="A29" s="90"/>
      <c r="B29" s="91" t="s">
        <v>322</v>
      </c>
      <c r="C29" s="366">
        <v>640204</v>
      </c>
      <c r="D29" s="366">
        <f>27806-234619+22723</f>
        <v>-184090</v>
      </c>
      <c r="E29" s="363">
        <f t="shared" si="0"/>
        <v>456114</v>
      </c>
    </row>
    <row r="30" spans="1:5" s="93" customFormat="1" ht="12.75" customHeight="1" x14ac:dyDescent="0.2">
      <c r="A30" s="90"/>
      <c r="B30" s="91" t="s">
        <v>323</v>
      </c>
      <c r="C30" s="366">
        <v>0</v>
      </c>
      <c r="D30" s="366"/>
      <c r="E30" s="363">
        <f t="shared" si="0"/>
        <v>0</v>
      </c>
    </row>
    <row r="31" spans="1:5" s="93" customFormat="1" ht="12.75" customHeight="1" x14ac:dyDescent="0.2">
      <c r="A31" s="90"/>
      <c r="B31" s="91" t="s">
        <v>324</v>
      </c>
      <c r="C31" s="366">
        <v>0</v>
      </c>
      <c r="D31" s="366"/>
      <c r="E31" s="363">
        <f t="shared" si="0"/>
        <v>0</v>
      </c>
    </row>
    <row r="32" spans="1:5" s="93" customFormat="1" ht="12.75" customHeight="1" x14ac:dyDescent="0.2">
      <c r="A32" s="90"/>
      <c r="B32" s="91" t="s">
        <v>325</v>
      </c>
      <c r="C32" s="366">
        <v>0</v>
      </c>
      <c r="D32" s="366"/>
      <c r="E32" s="363">
        <f t="shared" si="0"/>
        <v>0</v>
      </c>
    </row>
    <row r="33" spans="1:5" s="93" customFormat="1" ht="12.75" customHeight="1" x14ac:dyDescent="0.2">
      <c r="A33" s="90"/>
      <c r="B33" s="91" t="s">
        <v>99</v>
      </c>
      <c r="C33" s="366">
        <v>0</v>
      </c>
      <c r="D33" s="366"/>
      <c r="E33" s="363">
        <f t="shared" si="0"/>
        <v>0</v>
      </c>
    </row>
    <row r="34" spans="1:5" s="93" customFormat="1" ht="12.75" customHeight="1" x14ac:dyDescent="0.2">
      <c r="A34" s="90"/>
      <c r="B34" s="91" t="s">
        <v>100</v>
      </c>
      <c r="C34" s="366">
        <v>0</v>
      </c>
      <c r="D34" s="366"/>
      <c r="E34" s="363">
        <f t="shared" si="0"/>
        <v>0</v>
      </c>
    </row>
    <row r="35" spans="1:5" s="93" customFormat="1" ht="12.75" customHeight="1" x14ac:dyDescent="0.2">
      <c r="A35" s="90"/>
      <c r="B35" s="91" t="s">
        <v>326</v>
      </c>
      <c r="C35" s="366">
        <v>0</v>
      </c>
      <c r="D35" s="366"/>
      <c r="E35" s="363">
        <f t="shared" si="0"/>
        <v>0</v>
      </c>
    </row>
    <row r="36" spans="1:5" s="93" customFormat="1" ht="12.75" customHeight="1" x14ac:dyDescent="0.2">
      <c r="A36" s="90"/>
      <c r="B36" s="91" t="s">
        <v>327</v>
      </c>
      <c r="C36" s="366">
        <v>0</v>
      </c>
      <c r="D36" s="366"/>
      <c r="E36" s="363">
        <f t="shared" si="0"/>
        <v>0</v>
      </c>
    </row>
    <row r="37" spans="1:5" ht="12.75" customHeight="1" x14ac:dyDescent="0.2">
      <c r="A37" s="70" t="s">
        <v>210</v>
      </c>
      <c r="B37" s="59" t="s">
        <v>329</v>
      </c>
      <c r="C37" s="365">
        <v>664949</v>
      </c>
      <c r="D37" s="365">
        <f t="shared" ref="D37:E37" si="4">+D26+D25+D24</f>
        <v>-184090</v>
      </c>
      <c r="E37" s="365">
        <f t="shared" si="4"/>
        <v>480859</v>
      </c>
    </row>
    <row r="38" spans="1:5" ht="12.75" customHeight="1" x14ac:dyDescent="0.2">
      <c r="A38" s="63" t="s">
        <v>212</v>
      </c>
      <c r="B38" s="58" t="s">
        <v>211</v>
      </c>
      <c r="C38" s="363">
        <v>0</v>
      </c>
      <c r="D38" s="363"/>
      <c r="E38" s="363">
        <f t="shared" si="0"/>
        <v>0</v>
      </c>
    </row>
    <row r="39" spans="1:5" ht="12.75" customHeight="1" x14ac:dyDescent="0.2">
      <c r="A39" s="63" t="s">
        <v>214</v>
      </c>
      <c r="B39" s="58" t="s">
        <v>213</v>
      </c>
      <c r="C39" s="363">
        <v>0</v>
      </c>
      <c r="D39" s="363"/>
      <c r="E39" s="363">
        <f t="shared" si="0"/>
        <v>0</v>
      </c>
    </row>
    <row r="40" spans="1:5" s="81" customFormat="1" ht="12.75" customHeight="1" x14ac:dyDescent="0.2">
      <c r="A40" s="70" t="s">
        <v>215</v>
      </c>
      <c r="B40" s="59" t="s">
        <v>332</v>
      </c>
      <c r="C40" s="365">
        <v>0</v>
      </c>
      <c r="D40" s="363"/>
      <c r="E40" s="363">
        <f t="shared" si="0"/>
        <v>0</v>
      </c>
    </row>
    <row r="41" spans="1:5" ht="12.75" customHeight="1" x14ac:dyDescent="0.2">
      <c r="A41" s="63" t="s">
        <v>217</v>
      </c>
      <c r="B41" s="58" t="s">
        <v>216</v>
      </c>
      <c r="C41" s="363">
        <v>0</v>
      </c>
      <c r="D41" s="363"/>
      <c r="E41" s="363">
        <f t="shared" si="0"/>
        <v>0</v>
      </c>
    </row>
    <row r="42" spans="1:5" ht="12.75" customHeight="1" x14ac:dyDescent="0.2">
      <c r="A42" s="63" t="s">
        <v>219</v>
      </c>
      <c r="B42" s="58" t="s">
        <v>218</v>
      </c>
      <c r="C42" s="363">
        <v>0</v>
      </c>
      <c r="D42" s="363"/>
      <c r="E42" s="363">
        <f t="shared" si="0"/>
        <v>0</v>
      </c>
    </row>
    <row r="43" spans="1:5" ht="12.75" customHeight="1" x14ac:dyDescent="0.2">
      <c r="A43" s="70" t="s">
        <v>221</v>
      </c>
      <c r="B43" s="59" t="s">
        <v>220</v>
      </c>
      <c r="C43" s="365">
        <v>129000</v>
      </c>
      <c r="D43" s="365">
        <f>+D44+D45+D46</f>
        <v>0</v>
      </c>
      <c r="E43" s="365">
        <f t="shared" si="0"/>
        <v>129000</v>
      </c>
    </row>
    <row r="44" spans="1:5" ht="12.75" customHeight="1" x14ac:dyDescent="0.2">
      <c r="A44" s="63"/>
      <c r="B44" s="91" t="s">
        <v>368</v>
      </c>
      <c r="C44" s="366">
        <v>20000</v>
      </c>
      <c r="D44" s="363"/>
      <c r="E44" s="363">
        <f t="shared" si="0"/>
        <v>20000</v>
      </c>
    </row>
    <row r="45" spans="1:5" ht="12.75" customHeight="1" x14ac:dyDescent="0.2">
      <c r="A45" s="63"/>
      <c r="B45" s="91" t="s">
        <v>369</v>
      </c>
      <c r="C45" s="366">
        <v>54000</v>
      </c>
      <c r="D45" s="363"/>
      <c r="E45" s="363">
        <f t="shared" si="0"/>
        <v>54000</v>
      </c>
    </row>
    <row r="46" spans="1:5" ht="12.75" customHeight="1" x14ac:dyDescent="0.2">
      <c r="A46" s="63"/>
      <c r="B46" s="91" t="s">
        <v>370</v>
      </c>
      <c r="C46" s="366">
        <v>55000</v>
      </c>
      <c r="D46" s="363"/>
      <c r="E46" s="363">
        <f t="shared" si="0"/>
        <v>55000</v>
      </c>
    </row>
    <row r="47" spans="1:5" s="77" customFormat="1" ht="12.75" customHeight="1" x14ac:dyDescent="0.2">
      <c r="A47" s="537" t="s">
        <v>223</v>
      </c>
      <c r="B47" s="59" t="s">
        <v>222</v>
      </c>
      <c r="C47" s="365">
        <v>136000</v>
      </c>
      <c r="D47" s="365"/>
      <c r="E47" s="365">
        <f t="shared" si="0"/>
        <v>136000</v>
      </c>
    </row>
    <row r="48" spans="1:5" ht="12.75" customHeight="1" x14ac:dyDescent="0.2">
      <c r="A48" s="63" t="s">
        <v>225</v>
      </c>
      <c r="B48" s="58" t="s">
        <v>224</v>
      </c>
      <c r="C48" s="363">
        <v>0</v>
      </c>
      <c r="D48" s="363"/>
      <c r="E48" s="363">
        <f t="shared" si="0"/>
        <v>0</v>
      </c>
    </row>
    <row r="49" spans="1:5" ht="12.75" customHeight="1" x14ac:dyDescent="0.2">
      <c r="A49" s="63" t="s">
        <v>227</v>
      </c>
      <c r="B49" s="58" t="s">
        <v>226</v>
      </c>
      <c r="C49" s="363">
        <v>0</v>
      </c>
      <c r="D49" s="363"/>
      <c r="E49" s="363">
        <f t="shared" si="0"/>
        <v>0</v>
      </c>
    </row>
    <row r="50" spans="1:5" ht="12.75" customHeight="1" x14ac:dyDescent="0.2">
      <c r="A50" s="63" t="s">
        <v>229</v>
      </c>
      <c r="B50" s="58" t="s">
        <v>228</v>
      </c>
      <c r="C50" s="363">
        <v>18000</v>
      </c>
      <c r="D50" s="363"/>
      <c r="E50" s="363">
        <f t="shared" si="0"/>
        <v>18000</v>
      </c>
    </row>
    <row r="51" spans="1:5" ht="12.75" customHeight="1" x14ac:dyDescent="0.2">
      <c r="A51" s="63" t="s">
        <v>231</v>
      </c>
      <c r="B51" s="58" t="s">
        <v>230</v>
      </c>
      <c r="C51" s="363">
        <v>0</v>
      </c>
      <c r="D51" s="363"/>
      <c r="E51" s="363">
        <f t="shared" si="0"/>
        <v>0</v>
      </c>
    </row>
    <row r="52" spans="1:5" ht="12.75" customHeight="1" x14ac:dyDescent="0.2">
      <c r="A52" s="70" t="s">
        <v>232</v>
      </c>
      <c r="B52" s="59" t="s">
        <v>333</v>
      </c>
      <c r="C52" s="365">
        <v>154000</v>
      </c>
      <c r="D52" s="365">
        <f>+D51+D50+D49+D48+D47</f>
        <v>0</v>
      </c>
      <c r="E52" s="365">
        <f t="shared" si="0"/>
        <v>154000</v>
      </c>
    </row>
    <row r="53" spans="1:5" ht="12.75" customHeight="1" x14ac:dyDescent="0.2">
      <c r="A53" s="70" t="s">
        <v>234</v>
      </c>
      <c r="B53" s="59" t="s">
        <v>233</v>
      </c>
      <c r="C53" s="365">
        <v>5500</v>
      </c>
      <c r="D53" s="365"/>
      <c r="E53" s="365">
        <f t="shared" si="0"/>
        <v>5500</v>
      </c>
    </row>
    <row r="54" spans="1:5" ht="12.75" customHeight="1" x14ac:dyDescent="0.2">
      <c r="A54" s="70" t="s">
        <v>235</v>
      </c>
      <c r="B54" s="59" t="s">
        <v>334</v>
      </c>
      <c r="C54" s="365">
        <v>288500</v>
      </c>
      <c r="D54" s="365">
        <f t="shared" ref="D54:E54" si="5">+D53+D52+D40+D41+D42+D43</f>
        <v>0</v>
      </c>
      <c r="E54" s="365">
        <f t="shared" si="5"/>
        <v>288500</v>
      </c>
    </row>
    <row r="55" spans="1:5" ht="12.75" customHeight="1" x14ac:dyDescent="0.2">
      <c r="A55" s="63" t="s">
        <v>237</v>
      </c>
      <c r="B55" s="58" t="s">
        <v>236</v>
      </c>
      <c r="C55" s="363">
        <v>0</v>
      </c>
      <c r="D55" s="363"/>
      <c r="E55" s="363">
        <f t="shared" si="0"/>
        <v>0</v>
      </c>
    </row>
    <row r="56" spans="1:5" ht="12.75" customHeight="1" x14ac:dyDescent="0.2">
      <c r="A56" s="63" t="s">
        <v>239</v>
      </c>
      <c r="B56" s="58" t="s">
        <v>238</v>
      </c>
      <c r="C56" s="363">
        <v>18715</v>
      </c>
      <c r="D56" s="363"/>
      <c r="E56" s="363">
        <f t="shared" si="0"/>
        <v>18715</v>
      </c>
    </row>
    <row r="57" spans="1:5" ht="12.75" customHeight="1" x14ac:dyDescent="0.2">
      <c r="A57" s="63" t="s">
        <v>241</v>
      </c>
      <c r="B57" s="58" t="s">
        <v>240</v>
      </c>
      <c r="C57" s="363">
        <v>1500</v>
      </c>
      <c r="D57" s="363"/>
      <c r="E57" s="363">
        <f t="shared" si="0"/>
        <v>1500</v>
      </c>
    </row>
    <row r="58" spans="1:5" ht="12.75" customHeight="1" x14ac:dyDescent="0.2">
      <c r="A58" s="63" t="s">
        <v>243</v>
      </c>
      <c r="B58" s="58" t="s">
        <v>242</v>
      </c>
      <c r="C58" s="363">
        <v>16755</v>
      </c>
      <c r="D58" s="363"/>
      <c r="E58" s="363">
        <f t="shared" si="0"/>
        <v>16755</v>
      </c>
    </row>
    <row r="59" spans="1:5" ht="12.75" customHeight="1" x14ac:dyDescent="0.2">
      <c r="A59" s="63" t="s">
        <v>245</v>
      </c>
      <c r="B59" s="58" t="s">
        <v>244</v>
      </c>
      <c r="C59" s="363">
        <v>0</v>
      </c>
      <c r="D59" s="363"/>
      <c r="E59" s="363">
        <f t="shared" si="0"/>
        <v>0</v>
      </c>
    </row>
    <row r="60" spans="1:5" ht="12.75" customHeight="1" x14ac:dyDescent="0.2">
      <c r="A60" s="63" t="s">
        <v>247</v>
      </c>
      <c r="B60" s="58" t="s">
        <v>246</v>
      </c>
      <c r="C60" s="363">
        <v>9617</v>
      </c>
      <c r="D60" s="363"/>
      <c r="E60" s="363">
        <f t="shared" si="0"/>
        <v>9617</v>
      </c>
    </row>
    <row r="61" spans="1:5" ht="12.75" customHeight="1" x14ac:dyDescent="0.2">
      <c r="A61" s="63" t="s">
        <v>249</v>
      </c>
      <c r="B61" s="58" t="s">
        <v>248</v>
      </c>
      <c r="C61" s="363">
        <v>164188</v>
      </c>
      <c r="D61" s="363"/>
      <c r="E61" s="363">
        <f t="shared" si="0"/>
        <v>164188</v>
      </c>
    </row>
    <row r="62" spans="1:5" ht="12.75" customHeight="1" x14ac:dyDescent="0.2">
      <c r="A62" s="63" t="s">
        <v>251</v>
      </c>
      <c r="B62" s="58" t="s">
        <v>250</v>
      </c>
      <c r="C62" s="363">
        <v>4350</v>
      </c>
      <c r="D62" s="363"/>
      <c r="E62" s="363">
        <f t="shared" si="0"/>
        <v>4350</v>
      </c>
    </row>
    <row r="63" spans="1:5" ht="12.75" customHeight="1" x14ac:dyDescent="0.2">
      <c r="A63" s="63" t="s">
        <v>253</v>
      </c>
      <c r="B63" s="58" t="s">
        <v>252</v>
      </c>
      <c r="C63" s="363">
        <v>0</v>
      </c>
      <c r="D63" s="363"/>
      <c r="E63" s="363">
        <f t="shared" si="0"/>
        <v>0</v>
      </c>
    </row>
    <row r="64" spans="1:5" ht="12.75" customHeight="1" x14ac:dyDescent="0.2">
      <c r="A64" s="63" t="s">
        <v>631</v>
      </c>
      <c r="B64" s="58" t="s">
        <v>254</v>
      </c>
      <c r="C64" s="363">
        <v>0</v>
      </c>
      <c r="D64" s="363"/>
      <c r="E64" s="363">
        <f t="shared" si="0"/>
        <v>0</v>
      </c>
    </row>
    <row r="65" spans="1:5" ht="12.75" customHeight="1" x14ac:dyDescent="0.2">
      <c r="A65" s="70" t="s">
        <v>255</v>
      </c>
      <c r="B65" s="59" t="s">
        <v>280</v>
      </c>
      <c r="C65" s="365">
        <v>215125</v>
      </c>
      <c r="D65" s="365">
        <f t="shared" ref="D65:E65" si="6">SUM(D55:D64)</f>
        <v>0</v>
      </c>
      <c r="E65" s="365">
        <f t="shared" si="6"/>
        <v>215125</v>
      </c>
    </row>
    <row r="66" spans="1:5" ht="12.75" customHeight="1" x14ac:dyDescent="0.2">
      <c r="A66" s="70" t="s">
        <v>256</v>
      </c>
      <c r="B66" s="59" t="s">
        <v>279</v>
      </c>
      <c r="C66" s="365">
        <v>0</v>
      </c>
      <c r="D66" s="363"/>
      <c r="E66" s="363">
        <f t="shared" si="0"/>
        <v>0</v>
      </c>
    </row>
    <row r="67" spans="1:5" ht="12.75" customHeight="1" x14ac:dyDescent="0.2">
      <c r="A67" s="63" t="s">
        <v>635</v>
      </c>
      <c r="B67" s="58" t="s">
        <v>506</v>
      </c>
      <c r="C67" s="363">
        <v>700</v>
      </c>
      <c r="D67" s="363"/>
      <c r="E67" s="363">
        <f t="shared" si="0"/>
        <v>700</v>
      </c>
    </row>
    <row r="68" spans="1:5" ht="12.75" customHeight="1" x14ac:dyDescent="0.2">
      <c r="A68" s="63" t="s">
        <v>634</v>
      </c>
      <c r="B68" s="58" t="s">
        <v>257</v>
      </c>
      <c r="C68" s="363">
        <v>693</v>
      </c>
      <c r="D68" s="363"/>
      <c r="E68" s="363">
        <f t="shared" si="0"/>
        <v>693</v>
      </c>
    </row>
    <row r="69" spans="1:5" ht="12.75" customHeight="1" x14ac:dyDescent="0.2">
      <c r="A69" s="70" t="s">
        <v>259</v>
      </c>
      <c r="B69" s="59" t="s">
        <v>278</v>
      </c>
      <c r="C69" s="365">
        <v>1393</v>
      </c>
      <c r="D69" s="365">
        <f t="shared" ref="D69:E69" si="7">+D68+D67</f>
        <v>0</v>
      </c>
      <c r="E69" s="365">
        <f t="shared" si="7"/>
        <v>1393</v>
      </c>
    </row>
    <row r="70" spans="1:5" ht="12.75" customHeight="1" x14ac:dyDescent="0.2">
      <c r="A70" s="63" t="s">
        <v>636</v>
      </c>
      <c r="B70" s="58" t="s">
        <v>260</v>
      </c>
      <c r="C70" s="363">
        <v>0</v>
      </c>
      <c r="D70" s="363"/>
      <c r="E70" s="363">
        <f t="shared" ref="E70:E78" si="8">+C70+D70</f>
        <v>0</v>
      </c>
    </row>
    <row r="71" spans="1:5" ht="12.75" customHeight="1" x14ac:dyDescent="0.2">
      <c r="A71" s="70" t="s">
        <v>262</v>
      </c>
      <c r="B71" s="59" t="s">
        <v>283</v>
      </c>
      <c r="C71" s="365">
        <v>0</v>
      </c>
      <c r="D71" s="365"/>
      <c r="E71" s="363">
        <f t="shared" si="8"/>
        <v>0</v>
      </c>
    </row>
    <row r="72" spans="1:5" ht="12.75" customHeight="1" x14ac:dyDescent="0.2">
      <c r="A72" s="70" t="s">
        <v>263</v>
      </c>
      <c r="B72" s="59" t="s">
        <v>276</v>
      </c>
      <c r="C72" s="365">
        <v>1655427</v>
      </c>
      <c r="D72" s="365">
        <f t="shared" ref="D72:E72" si="9">+D71+D69+D66+D65+D54+D37+D23</f>
        <v>-172081</v>
      </c>
      <c r="E72" s="365">
        <f t="shared" si="9"/>
        <v>1483346</v>
      </c>
    </row>
    <row r="73" spans="1:5" ht="12.75" customHeight="1" x14ac:dyDescent="0.2">
      <c r="A73" s="62" t="s">
        <v>569</v>
      </c>
      <c r="B73" s="694" t="s">
        <v>568</v>
      </c>
      <c r="C73" s="365">
        <v>0</v>
      </c>
      <c r="D73" s="365"/>
      <c r="E73" s="365">
        <f t="shared" si="8"/>
        <v>0</v>
      </c>
    </row>
    <row r="74" spans="1:5" s="77" customFormat="1" ht="12.75" customHeight="1" x14ac:dyDescent="0.2">
      <c r="A74" s="62" t="s">
        <v>743</v>
      </c>
      <c r="B74" s="694" t="s">
        <v>742</v>
      </c>
      <c r="C74" s="365">
        <v>1230000</v>
      </c>
      <c r="D74" s="365"/>
      <c r="E74" s="365">
        <f t="shared" si="8"/>
        <v>1230000</v>
      </c>
    </row>
    <row r="75" spans="1:5" x14ac:dyDescent="0.2">
      <c r="A75" s="68" t="s">
        <v>273</v>
      </c>
      <c r="B75" s="58" t="s">
        <v>272</v>
      </c>
      <c r="C75" s="367">
        <v>1154013</v>
      </c>
      <c r="D75" s="367">
        <f>+D76+D77</f>
        <v>259022</v>
      </c>
      <c r="E75" s="363">
        <f t="shared" si="8"/>
        <v>1413035</v>
      </c>
    </row>
    <row r="76" spans="1:5" s="93" customFormat="1" x14ac:dyDescent="0.2">
      <c r="A76" s="141"/>
      <c r="B76" s="119" t="s">
        <v>394</v>
      </c>
      <c r="C76" s="366">
        <v>531105</v>
      </c>
      <c r="D76" s="366">
        <v>259022</v>
      </c>
      <c r="E76" s="363">
        <f t="shared" si="8"/>
        <v>790127</v>
      </c>
    </row>
    <row r="77" spans="1:5" s="93" customFormat="1" x14ac:dyDescent="0.2">
      <c r="A77" s="141"/>
      <c r="B77" s="119" t="s">
        <v>395</v>
      </c>
      <c r="C77" s="366">
        <v>622908</v>
      </c>
      <c r="D77" s="366"/>
      <c r="E77" s="363">
        <f t="shared" si="8"/>
        <v>622908</v>
      </c>
    </row>
    <row r="78" spans="1:5" x14ac:dyDescent="0.2">
      <c r="A78" s="69" t="s">
        <v>274</v>
      </c>
      <c r="B78" s="69" t="s">
        <v>335</v>
      </c>
      <c r="C78" s="365">
        <v>1154013</v>
      </c>
      <c r="D78" s="365">
        <f>+D75</f>
        <v>259022</v>
      </c>
      <c r="E78" s="365">
        <f t="shared" si="8"/>
        <v>1413035</v>
      </c>
    </row>
    <row r="79" spans="1:5" x14ac:dyDescent="0.2">
      <c r="A79" s="69" t="s">
        <v>275</v>
      </c>
      <c r="B79" s="62" t="s">
        <v>336</v>
      </c>
      <c r="C79" s="365">
        <v>2384013</v>
      </c>
      <c r="D79" s="365">
        <f t="shared" ref="D79:E79" si="10">+D78+D74</f>
        <v>259022</v>
      </c>
      <c r="E79" s="365">
        <f t="shared" si="10"/>
        <v>2643035</v>
      </c>
    </row>
  </sheetData>
  <mergeCells count="5">
    <mergeCell ref="A1:E1"/>
    <mergeCell ref="A3:A4"/>
    <mergeCell ref="B3:B4"/>
    <mergeCell ref="C3:E3"/>
    <mergeCell ref="C2:E2"/>
  </mergeCells>
  <pageMargins left="0.70866141732283472" right="0.70866141732283472" top="0.74803149606299213" bottom="0.74803149606299213" header="0.31496062992125984" footer="0.31496062992125984"/>
  <pageSetup paperSize="9" scale="74" orientation="portrait" cellComments="asDisplayed" errors="blank" r:id="rId1"/>
  <headerFooter>
    <oddHeader>&amp;C&amp;"Times New Roman,Félkövér"&amp;12Martonvásár Város Önkormányzatának bevételei 2018.
&amp;"Times New Roman,Dőlt"(intézmények nélkül)&amp;R&amp;"Times New Roman,Félkövér"&amp;10 3. melléklet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7"/>
  <sheetViews>
    <sheetView topLeftCell="A10" zoomScaleNormal="100" workbookViewId="0">
      <selection activeCell="H31" sqref="H31"/>
    </sheetView>
  </sheetViews>
  <sheetFormatPr defaultColWidth="9.140625" defaultRowHeight="15" x14ac:dyDescent="0.25"/>
  <cols>
    <col min="1" max="1" width="43.42578125" style="421" customWidth="1"/>
    <col min="2" max="2" width="15.42578125" style="421" customWidth="1"/>
    <col min="3" max="3" width="13" style="421" customWidth="1"/>
    <col min="4" max="4" width="14.42578125" style="421" customWidth="1"/>
    <col min="5" max="16384" width="9.140625" style="421"/>
  </cols>
  <sheetData>
    <row r="1" spans="1:4" ht="15.75" thickBot="1" x14ac:dyDescent="0.3">
      <c r="D1" s="749" t="s">
        <v>387</v>
      </c>
    </row>
    <row r="2" spans="1:4" x14ac:dyDescent="0.25">
      <c r="A2" s="1075" t="s">
        <v>524</v>
      </c>
      <c r="B2" s="1076"/>
      <c r="C2" s="1077"/>
      <c r="D2" s="1078"/>
    </row>
    <row r="3" spans="1:4" ht="15.75" thickBot="1" x14ac:dyDescent="0.3">
      <c r="A3" s="615"/>
      <c r="B3" s="616"/>
      <c r="C3" s="617"/>
      <c r="D3" s="618"/>
    </row>
    <row r="4" spans="1:4" s="457" customFormat="1" ht="27.75" customHeight="1" x14ac:dyDescent="0.25">
      <c r="A4" s="619" t="s">
        <v>282</v>
      </c>
      <c r="B4" s="625" t="s">
        <v>948</v>
      </c>
      <c r="C4" s="751" t="s">
        <v>786</v>
      </c>
      <c r="D4" s="752" t="s">
        <v>949</v>
      </c>
    </row>
    <row r="5" spans="1:4" x14ac:dyDescent="0.25">
      <c r="A5" s="422" t="s">
        <v>641</v>
      </c>
      <c r="B5" s="423">
        <v>1080</v>
      </c>
      <c r="C5" s="547"/>
      <c r="D5" s="548">
        <f>+C5+B5</f>
        <v>1080</v>
      </c>
    </row>
    <row r="6" spans="1:4" x14ac:dyDescent="0.25">
      <c r="A6" s="422" t="s">
        <v>642</v>
      </c>
      <c r="B6" s="423">
        <v>9000</v>
      </c>
      <c r="C6" s="547"/>
      <c r="D6" s="548">
        <f t="shared" ref="D6:D12" si="0">+C6+B6</f>
        <v>9000</v>
      </c>
    </row>
    <row r="7" spans="1:4" x14ac:dyDescent="0.25">
      <c r="A7" s="422" t="s">
        <v>643</v>
      </c>
      <c r="B7" s="423">
        <v>7087</v>
      </c>
      <c r="C7" s="547"/>
      <c r="D7" s="548">
        <f t="shared" si="0"/>
        <v>7087</v>
      </c>
    </row>
    <row r="8" spans="1:4" x14ac:dyDescent="0.25">
      <c r="A8" s="422" t="s">
        <v>644</v>
      </c>
      <c r="B8" s="423">
        <v>13070</v>
      </c>
      <c r="C8" s="551"/>
      <c r="D8" s="552">
        <f t="shared" si="0"/>
        <v>13070</v>
      </c>
    </row>
    <row r="9" spans="1:4" x14ac:dyDescent="0.25">
      <c r="A9" s="555" t="s">
        <v>645</v>
      </c>
      <c r="B9" s="556">
        <v>250</v>
      </c>
      <c r="C9" s="551"/>
      <c r="D9" s="552">
        <f t="shared" si="0"/>
        <v>250</v>
      </c>
    </row>
    <row r="10" spans="1:4" x14ac:dyDescent="0.25">
      <c r="A10" s="623" t="s">
        <v>659</v>
      </c>
      <c r="B10" s="547">
        <v>600</v>
      </c>
      <c r="C10" s="551"/>
      <c r="D10" s="552">
        <f t="shared" si="0"/>
        <v>600</v>
      </c>
    </row>
    <row r="11" spans="1:4" x14ac:dyDescent="0.25">
      <c r="A11" s="624" t="s">
        <v>944</v>
      </c>
      <c r="B11" s="559"/>
      <c r="C11" s="551">
        <v>615</v>
      </c>
      <c r="D11" s="552">
        <f t="shared" si="0"/>
        <v>615</v>
      </c>
    </row>
    <row r="12" spans="1:4" x14ac:dyDescent="0.25">
      <c r="A12" s="549" t="s">
        <v>947</v>
      </c>
      <c r="B12" s="550">
        <v>1174</v>
      </c>
      <c r="C12" s="550">
        <v>37</v>
      </c>
      <c r="D12" s="552">
        <f t="shared" si="0"/>
        <v>1211</v>
      </c>
    </row>
    <row r="13" spans="1:4" ht="15.75" thickBot="1" x14ac:dyDescent="0.3">
      <c r="A13" s="553" t="s">
        <v>180</v>
      </c>
      <c r="B13" s="554">
        <f>SUM(B5:B12)</f>
        <v>32261</v>
      </c>
      <c r="C13" s="554">
        <f>SUM(C5:C12)</f>
        <v>652</v>
      </c>
      <c r="D13" s="554">
        <f>SUM(D5:D12)</f>
        <v>32913</v>
      </c>
    </row>
    <row r="14" spans="1:4" x14ac:dyDescent="0.25">
      <c r="A14" s="428"/>
      <c r="B14" s="428"/>
      <c r="C14" s="429"/>
      <c r="D14" s="429"/>
    </row>
    <row r="15" spans="1:4" ht="15.75" thickBot="1" x14ac:dyDescent="0.3">
      <c r="A15" s="430"/>
      <c r="B15" s="430"/>
      <c r="C15" s="430"/>
      <c r="D15" s="431"/>
    </row>
    <row r="16" spans="1:4" x14ac:dyDescent="0.25">
      <c r="A16" s="1075" t="s">
        <v>525</v>
      </c>
      <c r="B16" s="1076"/>
      <c r="C16" s="1077"/>
      <c r="D16" s="1078"/>
    </row>
    <row r="17" spans="1:4" ht="15.75" thickBot="1" x14ac:dyDescent="0.3">
      <c r="A17" s="615"/>
      <c r="B17" s="616"/>
      <c r="C17" s="617"/>
      <c r="D17" s="618"/>
    </row>
    <row r="18" spans="1:4" ht="26.25" x14ac:dyDescent="0.25">
      <c r="A18" s="614" t="s">
        <v>282</v>
      </c>
      <c r="B18" s="625" t="s">
        <v>948</v>
      </c>
      <c r="C18" s="751" t="s">
        <v>786</v>
      </c>
      <c r="D18" s="752" t="s">
        <v>949</v>
      </c>
    </row>
    <row r="19" spans="1:4" x14ac:dyDescent="0.25">
      <c r="A19" s="422" t="s">
        <v>732</v>
      </c>
      <c r="B19" s="423">
        <v>451823</v>
      </c>
      <c r="C19" s="424">
        <v>-234618</v>
      </c>
      <c r="D19" s="425">
        <f>+C19+B19</f>
        <v>217205</v>
      </c>
    </row>
    <row r="20" spans="1:4" s="457" customFormat="1" ht="15.75" customHeight="1" x14ac:dyDescent="0.25">
      <c r="A20" s="422" t="s">
        <v>733</v>
      </c>
      <c r="B20" s="423">
        <v>122820</v>
      </c>
      <c r="C20" s="424"/>
      <c r="D20" s="425">
        <f>+C20+B20</f>
        <v>122820</v>
      </c>
    </row>
    <row r="21" spans="1:4" x14ac:dyDescent="0.25">
      <c r="A21" s="422" t="s">
        <v>870</v>
      </c>
      <c r="B21" s="423">
        <v>65561</v>
      </c>
      <c r="C21" s="424"/>
      <c r="D21" s="425">
        <f t="shared" ref="D21:D25" si="1">+C21+B21</f>
        <v>65561</v>
      </c>
    </row>
    <row r="22" spans="1:4" x14ac:dyDescent="0.25">
      <c r="A22" s="422" t="s">
        <v>871</v>
      </c>
      <c r="B22" s="423">
        <v>24745</v>
      </c>
      <c r="C22" s="424"/>
      <c r="D22" s="425">
        <f t="shared" si="1"/>
        <v>24745</v>
      </c>
    </row>
    <row r="23" spans="1:4" x14ac:dyDescent="0.25">
      <c r="A23" s="422" t="s">
        <v>936</v>
      </c>
      <c r="B23" s="556"/>
      <c r="C23" s="556">
        <v>22722</v>
      </c>
      <c r="D23" s="425">
        <f t="shared" si="1"/>
        <v>22722</v>
      </c>
    </row>
    <row r="24" spans="1:4" x14ac:dyDescent="0.25">
      <c r="A24" s="422" t="s">
        <v>936</v>
      </c>
      <c r="B24" s="556"/>
      <c r="C24" s="556">
        <v>14277</v>
      </c>
      <c r="D24" s="425">
        <f t="shared" si="1"/>
        <v>14277</v>
      </c>
    </row>
    <row r="25" spans="1:4" x14ac:dyDescent="0.25">
      <c r="A25" s="422" t="s">
        <v>935</v>
      </c>
      <c r="B25" s="556"/>
      <c r="C25" s="556">
        <v>27806</v>
      </c>
      <c r="D25" s="425">
        <f t="shared" si="1"/>
        <v>27806</v>
      </c>
    </row>
    <row r="26" spans="1:4" ht="15.75" thickBot="1" x14ac:dyDescent="0.3">
      <c r="A26" s="426" t="s">
        <v>180</v>
      </c>
      <c r="B26" s="427">
        <f>SUM(B19:B25)</f>
        <v>664949</v>
      </c>
      <c r="C26" s="427">
        <f t="shared" ref="C26:D26" si="2">SUM(C19:C25)</f>
        <v>-169813</v>
      </c>
      <c r="D26" s="427">
        <f t="shared" si="2"/>
        <v>495136</v>
      </c>
    </row>
    <row r="27" spans="1:4" x14ac:dyDescent="0.25">
      <c r="A27" s="432"/>
      <c r="B27" s="432"/>
      <c r="C27" s="433"/>
      <c r="D27" s="433"/>
    </row>
    <row r="28" spans="1:4" ht="15.75" thickBot="1" x14ac:dyDescent="0.3">
      <c r="A28" s="430"/>
      <c r="B28" s="430"/>
      <c r="C28" s="430"/>
      <c r="D28" s="431"/>
    </row>
    <row r="29" spans="1:4" x14ac:dyDescent="0.25">
      <c r="A29" s="1079" t="s">
        <v>526</v>
      </c>
      <c r="B29" s="1080"/>
      <c r="C29" s="1080"/>
      <c r="D29" s="1081"/>
    </row>
    <row r="30" spans="1:4" ht="15.75" thickBot="1" x14ac:dyDescent="0.3">
      <c r="A30" s="620"/>
      <c r="B30" s="621"/>
      <c r="C30" s="621"/>
      <c r="D30" s="622"/>
    </row>
    <row r="31" spans="1:4" ht="26.25" x14ac:dyDescent="0.25">
      <c r="A31" s="614" t="s">
        <v>282</v>
      </c>
      <c r="B31" s="625" t="s">
        <v>948</v>
      </c>
      <c r="C31" s="751" t="s">
        <v>786</v>
      </c>
      <c r="D31" s="752" t="s">
        <v>949</v>
      </c>
    </row>
    <row r="32" spans="1:4" x14ac:dyDescent="0.25">
      <c r="A32" s="422" t="s">
        <v>507</v>
      </c>
      <c r="B32" s="435">
        <v>43</v>
      </c>
      <c r="C32" s="436"/>
      <c r="D32" s="753">
        <f>+C32+B32</f>
        <v>43</v>
      </c>
    </row>
    <row r="33" spans="1:4" s="457" customFormat="1" ht="20.25" customHeight="1" x14ac:dyDescent="0.25">
      <c r="A33" s="732" t="s">
        <v>730</v>
      </c>
      <c r="B33" s="550">
        <v>700</v>
      </c>
      <c r="C33" s="436"/>
      <c r="D33" s="753">
        <f>+C33+B33</f>
        <v>700</v>
      </c>
    </row>
    <row r="34" spans="1:4" s="457" customFormat="1" ht="20.25" customHeight="1" x14ac:dyDescent="0.25">
      <c r="A34" s="963" t="s">
        <v>872</v>
      </c>
      <c r="B34" s="550">
        <v>650</v>
      </c>
      <c r="C34" s="964"/>
      <c r="D34" s="965">
        <f>+C34+B34</f>
        <v>650</v>
      </c>
    </row>
    <row r="35" spans="1:4" s="457" customFormat="1" ht="20.25" customHeight="1" x14ac:dyDescent="0.25">
      <c r="A35" s="963" t="s">
        <v>961</v>
      </c>
      <c r="B35" s="550">
        <v>300</v>
      </c>
      <c r="C35" s="964"/>
      <c r="D35" s="965">
        <f t="shared" ref="D35" si="3">+C35+B35</f>
        <v>300</v>
      </c>
    </row>
    <row r="36" spans="1:4" ht="15.75" thickBot="1" x14ac:dyDescent="0.3">
      <c r="A36" s="426" t="s">
        <v>180</v>
      </c>
      <c r="B36" s="437">
        <f>SUM(B32:B35)</f>
        <v>1693</v>
      </c>
      <c r="C36" s="437">
        <f t="shared" ref="C36:D36" si="4">SUM(C32:C35)</f>
        <v>0</v>
      </c>
      <c r="D36" s="754">
        <f t="shared" si="4"/>
        <v>1693</v>
      </c>
    </row>
    <row r="37" spans="1:4" ht="15.75" thickBot="1" x14ac:dyDescent="0.3">
      <c r="A37" s="430"/>
      <c r="B37" s="430"/>
      <c r="C37" s="430"/>
      <c r="D37" s="430"/>
    </row>
    <row r="38" spans="1:4" x14ac:dyDescent="0.25">
      <c r="A38" s="1079" t="s">
        <v>527</v>
      </c>
      <c r="B38" s="1080"/>
      <c r="C38" s="1080"/>
      <c r="D38" s="1081"/>
    </row>
    <row r="39" spans="1:4" ht="15.75" thickBot="1" x14ac:dyDescent="0.3">
      <c r="A39" s="620"/>
      <c r="B39" s="621"/>
      <c r="C39" s="621"/>
      <c r="D39" s="622"/>
    </row>
    <row r="40" spans="1:4" ht="26.25" x14ac:dyDescent="0.25">
      <c r="A40" s="613" t="s">
        <v>282</v>
      </c>
      <c r="B40" s="625" t="s">
        <v>948</v>
      </c>
      <c r="C40" s="751" t="s">
        <v>786</v>
      </c>
      <c r="D40" s="752" t="s">
        <v>949</v>
      </c>
    </row>
    <row r="41" spans="1:4" x14ac:dyDescent="0.25">
      <c r="A41" s="434"/>
      <c r="B41" s="435"/>
      <c r="C41" s="436"/>
      <c r="D41" s="753"/>
    </row>
    <row r="42" spans="1:4" s="457" customFormat="1" ht="16.5" customHeight="1" x14ac:dyDescent="0.25">
      <c r="A42" s="422"/>
      <c r="B42" s="435"/>
      <c r="C42" s="436"/>
      <c r="D42" s="753"/>
    </row>
    <row r="43" spans="1:4" x14ac:dyDescent="0.25">
      <c r="A43" s="422"/>
      <c r="B43" s="435"/>
      <c r="C43" s="436"/>
      <c r="D43" s="753"/>
    </row>
    <row r="44" spans="1:4" x14ac:dyDescent="0.25">
      <c r="A44" s="422"/>
      <c r="B44" s="435"/>
      <c r="C44" s="436"/>
      <c r="D44" s="753"/>
    </row>
    <row r="45" spans="1:4" ht="15.75" thickBot="1" x14ac:dyDescent="0.3">
      <c r="A45" s="426" t="s">
        <v>180</v>
      </c>
      <c r="B45" s="437">
        <f>SUM(B41:B44)</f>
        <v>0</v>
      </c>
      <c r="C45" s="437">
        <f t="shared" ref="C45:D45" si="5">SUM(C41:C44)</f>
        <v>0</v>
      </c>
      <c r="D45" s="754">
        <f t="shared" si="5"/>
        <v>0</v>
      </c>
    </row>
    <row r="46" spans="1:4" x14ac:dyDescent="0.25">
      <c r="A46" s="430"/>
      <c r="B46" s="430"/>
      <c r="C46" s="430"/>
      <c r="D46" s="430"/>
    </row>
    <row r="47" spans="1:4" x14ac:dyDescent="0.25">
      <c r="A47" s="430"/>
      <c r="B47" s="430"/>
      <c r="C47" s="430"/>
      <c r="D47" s="430"/>
    </row>
  </sheetData>
  <mergeCells count="4">
    <mergeCell ref="A2:D2"/>
    <mergeCell ref="A16:D16"/>
    <mergeCell ref="A29:D29"/>
    <mergeCell ref="A38:D3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>
    <oddHeader>&amp;C&amp;"Times New Roman,Félkövér"&amp;12Martonvásár Város Önkormányzat 
átvett pénzeszközeinek, támogatásainak részletezése    &amp;R&amp;"Times New Roman,Félkövér"&amp;12 3/a.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zoomScaleNormal="100" workbookViewId="0">
      <selection activeCell="B2" sqref="B2:D2"/>
    </sheetView>
  </sheetViews>
  <sheetFormatPr defaultColWidth="9.140625" defaultRowHeight="12.75" x14ac:dyDescent="0.2"/>
  <cols>
    <col min="1" max="1" width="39.85546875" style="438" customWidth="1"/>
    <col min="2" max="2" width="13.140625" style="438" customWidth="1"/>
    <col min="3" max="3" width="14.7109375" style="438" customWidth="1"/>
    <col min="4" max="4" width="13.140625" style="438" customWidth="1"/>
    <col min="5" max="16384" width="9.140625" style="438"/>
  </cols>
  <sheetData>
    <row r="1" spans="1:4" ht="13.5" customHeight="1" thickBot="1" x14ac:dyDescent="0.3">
      <c r="A1" s="494"/>
      <c r="B1" s="494"/>
      <c r="C1" s="1082" t="s">
        <v>387</v>
      </c>
      <c r="D1" s="1082"/>
    </row>
    <row r="2" spans="1:4" s="458" customFormat="1" ht="25.5" x14ac:dyDescent="0.2">
      <c r="A2" s="459" t="s">
        <v>282</v>
      </c>
      <c r="B2" s="625" t="s">
        <v>948</v>
      </c>
      <c r="C2" s="751" t="s">
        <v>786</v>
      </c>
      <c r="D2" s="752" t="s">
        <v>949</v>
      </c>
    </row>
    <row r="3" spans="1:4" x14ac:dyDescent="0.2">
      <c r="A3" s="439" t="s">
        <v>528</v>
      </c>
      <c r="B3" s="440">
        <v>1500</v>
      </c>
      <c r="C3" s="441"/>
      <c r="D3" s="441">
        <f>+C3+B3</f>
        <v>1500</v>
      </c>
    </row>
    <row r="4" spans="1:4" x14ac:dyDescent="0.2">
      <c r="A4" s="439" t="s">
        <v>582</v>
      </c>
      <c r="B4" s="440">
        <v>250</v>
      </c>
      <c r="C4" s="441"/>
      <c r="D4" s="441">
        <f t="shared" ref="D4:D21" si="0">+C4+B4</f>
        <v>250</v>
      </c>
    </row>
    <row r="5" spans="1:4" x14ac:dyDescent="0.2">
      <c r="A5" s="439" t="s">
        <v>761</v>
      </c>
      <c r="B5" s="440">
        <f>14444+2521</f>
        <v>16965</v>
      </c>
      <c r="C5" s="441"/>
      <c r="D5" s="441">
        <f t="shared" si="0"/>
        <v>16965</v>
      </c>
    </row>
    <row r="6" spans="1:4" x14ac:dyDescent="0.2">
      <c r="A6" s="439" t="s">
        <v>529</v>
      </c>
      <c r="B6" s="440">
        <f>15000+400</f>
        <v>15400</v>
      </c>
      <c r="C6" s="441"/>
      <c r="D6" s="441">
        <f t="shared" si="0"/>
        <v>15400</v>
      </c>
    </row>
    <row r="7" spans="1:4" x14ac:dyDescent="0.2">
      <c r="A7" s="439" t="s">
        <v>576</v>
      </c>
      <c r="B7" s="440">
        <f>4050+405+32416+121992+5325</f>
        <v>164188</v>
      </c>
      <c r="C7" s="441"/>
      <c r="D7" s="441">
        <f t="shared" si="0"/>
        <v>164188</v>
      </c>
    </row>
    <row r="8" spans="1:4" ht="15" customHeight="1" x14ac:dyDescent="0.2">
      <c r="A8" s="439" t="s">
        <v>508</v>
      </c>
      <c r="B8" s="440">
        <v>1500</v>
      </c>
      <c r="C8" s="441"/>
      <c r="D8" s="441">
        <f t="shared" si="0"/>
        <v>1500</v>
      </c>
    </row>
    <row r="9" spans="1:4" x14ac:dyDescent="0.2">
      <c r="A9" s="439" t="s">
        <v>509</v>
      </c>
      <c r="B9" s="512">
        <v>4350</v>
      </c>
      <c r="C9" s="441"/>
      <c r="D9" s="441">
        <f t="shared" si="0"/>
        <v>4350</v>
      </c>
    </row>
    <row r="10" spans="1:4" x14ac:dyDescent="0.2">
      <c r="A10" s="439" t="s">
        <v>572</v>
      </c>
      <c r="B10" s="440">
        <f>960+395</f>
        <v>1355</v>
      </c>
      <c r="C10" s="441"/>
      <c r="D10" s="441">
        <f t="shared" si="0"/>
        <v>1355</v>
      </c>
    </row>
    <row r="11" spans="1:4" x14ac:dyDescent="0.2">
      <c r="A11" s="439" t="s">
        <v>533</v>
      </c>
      <c r="B11" s="440">
        <f>68+405+405+4050+108+4581</f>
        <v>9617</v>
      </c>
      <c r="C11" s="441"/>
      <c r="D11" s="441">
        <f t="shared" si="0"/>
        <v>9617</v>
      </c>
    </row>
    <row r="12" spans="1:4" x14ac:dyDescent="0.2">
      <c r="A12" s="439" t="s">
        <v>586</v>
      </c>
      <c r="B12" s="440"/>
      <c r="C12" s="441"/>
      <c r="D12" s="441">
        <f t="shared" si="0"/>
        <v>0</v>
      </c>
    </row>
    <row r="13" spans="1:4" x14ac:dyDescent="0.2">
      <c r="A13" s="439" t="s">
        <v>660</v>
      </c>
      <c r="B13" s="440"/>
      <c r="C13" s="441"/>
      <c r="D13" s="441">
        <f t="shared" si="0"/>
        <v>0</v>
      </c>
    </row>
    <row r="14" spans="1:4" x14ac:dyDescent="0.2">
      <c r="A14" s="439" t="s">
        <v>950</v>
      </c>
      <c r="B14" s="440">
        <v>500</v>
      </c>
      <c r="C14" s="441"/>
      <c r="D14" s="441">
        <f t="shared" si="0"/>
        <v>500</v>
      </c>
    </row>
    <row r="15" spans="1:4" x14ac:dyDescent="0.2">
      <c r="A15" s="439" t="s">
        <v>530</v>
      </c>
      <c r="B15" s="512">
        <v>200</v>
      </c>
      <c r="C15" s="441"/>
      <c r="D15" s="441">
        <f t="shared" si="0"/>
        <v>200</v>
      </c>
    </row>
    <row r="16" spans="1:4" x14ac:dyDescent="0.2">
      <c r="A16" s="439" t="s">
        <v>531</v>
      </c>
      <c r="B16" s="512">
        <v>1600</v>
      </c>
      <c r="C16" s="442"/>
      <c r="D16" s="441">
        <f t="shared" si="0"/>
        <v>1600</v>
      </c>
    </row>
    <row r="17" spans="1:4" x14ac:dyDescent="0.2">
      <c r="A17" s="439" t="s">
        <v>532</v>
      </c>
      <c r="B17" s="512">
        <v>300</v>
      </c>
      <c r="C17" s="442">
        <v>8110</v>
      </c>
      <c r="D17" s="441">
        <f t="shared" si="0"/>
        <v>8410</v>
      </c>
    </row>
    <row r="18" spans="1:4" x14ac:dyDescent="0.2">
      <c r="A18" s="439" t="s">
        <v>585</v>
      </c>
      <c r="B18" s="512">
        <f>1806+16</f>
        <v>1822</v>
      </c>
      <c r="C18" s="442"/>
      <c r="D18" s="441">
        <f t="shared" si="0"/>
        <v>1822</v>
      </c>
    </row>
    <row r="19" spans="1:4" x14ac:dyDescent="0.2">
      <c r="A19" s="439" t="s">
        <v>533</v>
      </c>
      <c r="B19" s="512">
        <f>54+432+81</f>
        <v>567</v>
      </c>
      <c r="C19" s="442"/>
      <c r="D19" s="441">
        <f t="shared" si="0"/>
        <v>567</v>
      </c>
    </row>
    <row r="20" spans="1:4" x14ac:dyDescent="0.2">
      <c r="A20" s="439" t="s">
        <v>573</v>
      </c>
      <c r="B20" s="512">
        <v>567</v>
      </c>
      <c r="C20" s="442"/>
      <c r="D20" s="441">
        <f t="shared" si="0"/>
        <v>567</v>
      </c>
    </row>
    <row r="21" spans="1:4" x14ac:dyDescent="0.2">
      <c r="A21" s="439" t="s">
        <v>946</v>
      </c>
      <c r="B21" s="443">
        <f>5639+4</f>
        <v>5643</v>
      </c>
      <c r="C21" s="442">
        <v>240</v>
      </c>
      <c r="D21" s="441">
        <f t="shared" si="0"/>
        <v>5883</v>
      </c>
    </row>
    <row r="22" spans="1:4" ht="13.5" thickBot="1" x14ac:dyDescent="0.25">
      <c r="A22" s="444" t="s">
        <v>510</v>
      </c>
      <c r="B22" s="445">
        <f>SUM(B3:B21)</f>
        <v>226324</v>
      </c>
      <c r="C22" s="446">
        <f>SUM(C3:C21)</f>
        <v>8350</v>
      </c>
      <c r="D22" s="446">
        <f>SUM(D3:D21)</f>
        <v>234674</v>
      </c>
    </row>
    <row r="24" spans="1:4" ht="13.5" thickBot="1" x14ac:dyDescent="0.25"/>
    <row r="25" spans="1:4" x14ac:dyDescent="0.2">
      <c r="A25" s="626"/>
      <c r="B25" s="627"/>
      <c r="C25" s="628"/>
      <c r="D25" s="629"/>
    </row>
    <row r="26" spans="1:4" x14ac:dyDescent="0.2">
      <c r="A26" s="447"/>
      <c r="B26" s="448"/>
      <c r="C26" s="449"/>
      <c r="D26" s="450"/>
    </row>
    <row r="27" spans="1:4" ht="13.5" thickBot="1" x14ac:dyDescent="0.25">
      <c r="A27" s="444" t="s">
        <v>511</v>
      </c>
      <c r="B27" s="451">
        <f>SUM(B25:B26)</f>
        <v>0</v>
      </c>
      <c r="C27" s="452"/>
      <c r="D27" s="446">
        <f>SUM(D25:D26)</f>
        <v>0</v>
      </c>
    </row>
    <row r="33" spans="1:1" x14ac:dyDescent="0.2">
      <c r="A33" s="438" t="s">
        <v>512</v>
      </c>
    </row>
  </sheetData>
  <mergeCells count="1">
    <mergeCell ref="C1:D1"/>
  </mergeCells>
  <printOptions horizontalCentered="1"/>
  <pageMargins left="0.78740157480314965" right="0.78740157480314965" top="0.98425196850393704" bottom="0.98425196850393704" header="0.51181102362204722" footer="0.51181102362204722"/>
  <pageSetup orientation="portrait" r:id="rId1"/>
  <headerFooter alignWithMargins="0">
    <oddHeader>&amp;C&amp;"Times New Roman,Félkövér"&amp;12Martonvásár Város Önkormányzat 
működési bevételeinek részletezése    &amp;R&amp;"Times New Roman,Félkövér"&amp;12 3/b. melléklet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zoomScaleNormal="100" workbookViewId="0">
      <selection activeCell="B2" sqref="B2:D2"/>
    </sheetView>
  </sheetViews>
  <sheetFormatPr defaultColWidth="9.140625" defaultRowHeight="12.75" x14ac:dyDescent="0.2"/>
  <cols>
    <col min="1" max="1" width="39.28515625" style="438" customWidth="1"/>
    <col min="2" max="2" width="15.140625" style="438" customWidth="1"/>
    <col min="3" max="3" width="16.7109375" style="438" customWidth="1"/>
    <col min="4" max="4" width="15.7109375" style="438" customWidth="1"/>
    <col min="5" max="16384" width="9.140625" style="438"/>
  </cols>
  <sheetData>
    <row r="1" spans="1:4" ht="15.75" customHeight="1" thickBot="1" x14ac:dyDescent="0.25">
      <c r="D1" s="750" t="s">
        <v>387</v>
      </c>
    </row>
    <row r="2" spans="1:4" s="458" customFormat="1" ht="25.5" x14ac:dyDescent="0.2">
      <c r="A2" s="630" t="s">
        <v>282</v>
      </c>
      <c r="B2" s="625" t="s">
        <v>948</v>
      </c>
      <c r="C2" s="751" t="s">
        <v>786</v>
      </c>
      <c r="D2" s="752" t="s">
        <v>949</v>
      </c>
    </row>
    <row r="3" spans="1:4" x14ac:dyDescent="0.2">
      <c r="A3" s="631" t="s">
        <v>513</v>
      </c>
      <c r="B3" s="442">
        <v>20000</v>
      </c>
      <c r="C3" s="442"/>
      <c r="D3" s="755">
        <f>+C3+B3</f>
        <v>20000</v>
      </c>
    </row>
    <row r="4" spans="1:4" x14ac:dyDescent="0.2">
      <c r="A4" s="631" t="s">
        <v>514</v>
      </c>
      <c r="B4" s="442">
        <v>54000</v>
      </c>
      <c r="C4" s="442"/>
      <c r="D4" s="755">
        <f t="shared" ref="D4:D23" si="0">+C4+B4</f>
        <v>54000</v>
      </c>
    </row>
    <row r="5" spans="1:4" x14ac:dyDescent="0.2">
      <c r="A5" s="631" t="s">
        <v>515</v>
      </c>
      <c r="B5" s="442">
        <v>55000</v>
      </c>
      <c r="C5" s="442"/>
      <c r="D5" s="755">
        <f t="shared" si="0"/>
        <v>55000</v>
      </c>
    </row>
    <row r="6" spans="1:4" x14ac:dyDescent="0.2">
      <c r="A6" s="631" t="s">
        <v>516</v>
      </c>
      <c r="B6" s="442">
        <f>120000</f>
        <v>120000</v>
      </c>
      <c r="C6" s="442"/>
      <c r="D6" s="755">
        <f t="shared" si="0"/>
        <v>120000</v>
      </c>
    </row>
    <row r="7" spans="1:4" x14ac:dyDescent="0.2">
      <c r="A7" s="632" t="s">
        <v>517</v>
      </c>
      <c r="B7" s="453">
        <f>SUM(B3:B6)</f>
        <v>249000</v>
      </c>
      <c r="C7" s="453">
        <f>SUM(C3:C6)</f>
        <v>0</v>
      </c>
      <c r="D7" s="756">
        <f t="shared" si="0"/>
        <v>249000</v>
      </c>
    </row>
    <row r="8" spans="1:4" x14ac:dyDescent="0.2">
      <c r="A8" s="631"/>
      <c r="B8" s="440"/>
      <c r="C8" s="442"/>
      <c r="D8" s="755">
        <f t="shared" si="0"/>
        <v>0</v>
      </c>
    </row>
    <row r="9" spans="1:4" x14ac:dyDescent="0.2">
      <c r="A9" s="631" t="s">
        <v>518</v>
      </c>
      <c r="B9" s="440">
        <v>18000</v>
      </c>
      <c r="C9" s="442"/>
      <c r="D9" s="755">
        <f t="shared" si="0"/>
        <v>18000</v>
      </c>
    </row>
    <row r="10" spans="1:4" x14ac:dyDescent="0.2">
      <c r="A10" s="632" t="s">
        <v>519</v>
      </c>
      <c r="B10" s="453">
        <f>+B9</f>
        <v>18000</v>
      </c>
      <c r="C10" s="453">
        <f>+C9</f>
        <v>0</v>
      </c>
      <c r="D10" s="756">
        <f t="shared" si="0"/>
        <v>18000</v>
      </c>
    </row>
    <row r="11" spans="1:4" x14ac:dyDescent="0.2">
      <c r="A11" s="631"/>
      <c r="B11" s="440"/>
      <c r="C11" s="442"/>
      <c r="D11" s="755">
        <f t="shared" si="0"/>
        <v>0</v>
      </c>
    </row>
    <row r="12" spans="1:4" x14ac:dyDescent="0.2">
      <c r="A12" s="631" t="s">
        <v>534</v>
      </c>
      <c r="B12" s="512">
        <v>3500</v>
      </c>
      <c r="C12" s="442"/>
      <c r="D12" s="755">
        <f t="shared" si="0"/>
        <v>3500</v>
      </c>
    </row>
    <row r="13" spans="1:4" ht="13.5" customHeight="1" x14ac:dyDescent="0.2">
      <c r="A13" s="631" t="s">
        <v>520</v>
      </c>
      <c r="B13" s="440">
        <v>2000</v>
      </c>
      <c r="C13" s="442"/>
      <c r="D13" s="755">
        <f t="shared" si="0"/>
        <v>2000</v>
      </c>
    </row>
    <row r="14" spans="1:4" ht="13.5" customHeight="1" x14ac:dyDescent="0.2">
      <c r="A14" s="631" t="s">
        <v>521</v>
      </c>
      <c r="B14" s="440"/>
      <c r="C14" s="442"/>
      <c r="D14" s="755">
        <f t="shared" si="0"/>
        <v>0</v>
      </c>
    </row>
    <row r="15" spans="1:4" x14ac:dyDescent="0.2">
      <c r="A15" s="632" t="s">
        <v>522</v>
      </c>
      <c r="B15" s="453">
        <f>SUM(B12:B14)</f>
        <v>5500</v>
      </c>
      <c r="C15" s="453">
        <f>SUM(C12:C14)</f>
        <v>0</v>
      </c>
      <c r="D15" s="756">
        <f t="shared" si="0"/>
        <v>5500</v>
      </c>
    </row>
    <row r="16" spans="1:4" x14ac:dyDescent="0.2">
      <c r="A16" s="631"/>
      <c r="B16" s="443"/>
      <c r="C16" s="442"/>
      <c r="D16" s="755">
        <f t="shared" si="0"/>
        <v>0</v>
      </c>
    </row>
    <row r="17" spans="1:4" x14ac:dyDescent="0.2">
      <c r="A17" s="631" t="s">
        <v>669</v>
      </c>
      <c r="B17" s="442"/>
      <c r="C17" s="442"/>
      <c r="D17" s="755">
        <f t="shared" si="0"/>
        <v>0</v>
      </c>
    </row>
    <row r="18" spans="1:4" x14ac:dyDescent="0.2">
      <c r="A18" s="631" t="s">
        <v>729</v>
      </c>
      <c r="B18" s="442"/>
      <c r="C18" s="442"/>
      <c r="D18" s="755">
        <f t="shared" si="0"/>
        <v>0</v>
      </c>
    </row>
    <row r="19" spans="1:4" x14ac:dyDescent="0.2">
      <c r="A19" s="631" t="s">
        <v>670</v>
      </c>
      <c r="B19" s="442"/>
      <c r="C19" s="442"/>
      <c r="D19" s="755">
        <f t="shared" si="0"/>
        <v>0</v>
      </c>
    </row>
    <row r="20" spans="1:4" x14ac:dyDescent="0.2">
      <c r="A20" s="631" t="s">
        <v>674</v>
      </c>
      <c r="B20" s="442">
        <v>16000</v>
      </c>
      <c r="C20" s="442"/>
      <c r="D20" s="755">
        <f t="shared" si="0"/>
        <v>16000</v>
      </c>
    </row>
    <row r="21" spans="1:4" x14ac:dyDescent="0.2">
      <c r="A21" s="632" t="s">
        <v>668</v>
      </c>
      <c r="B21" s="453">
        <f>SUM(B17:B20)</f>
        <v>16000</v>
      </c>
      <c r="C21" s="453">
        <f>SUM(C17:C20)</f>
        <v>0</v>
      </c>
      <c r="D21" s="756">
        <f t="shared" si="0"/>
        <v>16000</v>
      </c>
    </row>
    <row r="22" spans="1:4" x14ac:dyDescent="0.2">
      <c r="A22" s="631"/>
      <c r="B22" s="453"/>
      <c r="C22" s="454"/>
      <c r="D22" s="756">
        <f t="shared" si="0"/>
        <v>0</v>
      </c>
    </row>
    <row r="23" spans="1:4" ht="13.5" thickBot="1" x14ac:dyDescent="0.25">
      <c r="A23" s="633" t="s">
        <v>523</v>
      </c>
      <c r="B23" s="445">
        <f>+B15+B10+B7+B21</f>
        <v>288500</v>
      </c>
      <c r="C23" s="445">
        <f>+C15+C10+C7+C21</f>
        <v>0</v>
      </c>
      <c r="D23" s="757">
        <f t="shared" si="0"/>
        <v>288500</v>
      </c>
    </row>
    <row r="24" spans="1:4" x14ac:dyDescent="0.2">
      <c r="D24" s="455"/>
    </row>
    <row r="25" spans="1:4" x14ac:dyDescent="0.2">
      <c r="D25" s="455"/>
    </row>
    <row r="26" spans="1:4" x14ac:dyDescent="0.2">
      <c r="D26" s="455"/>
    </row>
  </sheetData>
  <printOptions horizontalCentered="1"/>
  <pageMargins left="0.78740157480314965" right="0.78740157480314965" top="0.98425196850393704" bottom="0.98425196850393704" header="0.51181102362204722" footer="0.51181102362204722"/>
  <pageSetup orientation="portrait" r:id="rId1"/>
  <headerFooter alignWithMargins="0">
    <oddHeader>&amp;C&amp;"Times New Roman,Félkövér"&amp;12Martonvásár Város Önkormányzat 
közhatalmi bevételeinek részletezése    &amp;R&amp;"Times New Roman,Félkövér"&amp;12 3/c .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topLeftCell="A16" zoomScale="90" zoomScaleNormal="90" zoomScalePageLayoutView="70" workbookViewId="0">
      <selection activeCell="J1" sqref="J1:J2"/>
    </sheetView>
  </sheetViews>
  <sheetFormatPr defaultColWidth="9.140625" defaultRowHeight="12.75" x14ac:dyDescent="0.25"/>
  <cols>
    <col min="1" max="1" width="36.7109375" style="371" customWidth="1"/>
    <col min="2" max="3" width="12.7109375" style="373" customWidth="1"/>
    <col min="4" max="4" width="13.85546875" style="373" customWidth="1"/>
    <col min="5" max="7" width="14.28515625" style="371" customWidth="1"/>
    <col min="8" max="10" width="14.28515625" style="372" customWidth="1"/>
    <col min="11" max="16384" width="9.140625" style="371"/>
  </cols>
  <sheetData>
    <row r="1" spans="1:10" ht="53.25" customHeight="1" x14ac:dyDescent="0.25">
      <c r="A1" s="1083" t="s">
        <v>535</v>
      </c>
      <c r="B1" s="1085" t="s">
        <v>604</v>
      </c>
      <c r="C1" s="1085"/>
      <c r="D1" s="1086"/>
      <c r="E1" s="1085" t="s">
        <v>605</v>
      </c>
      <c r="F1" s="1085"/>
      <c r="G1" s="1085"/>
      <c r="H1" s="1087" t="s">
        <v>953</v>
      </c>
      <c r="I1" s="1087" t="s">
        <v>788</v>
      </c>
      <c r="J1" s="1087" t="s">
        <v>952</v>
      </c>
    </row>
    <row r="2" spans="1:10" s="372" customFormat="1" ht="56.25" customHeight="1" x14ac:dyDescent="0.25">
      <c r="A2" s="1084"/>
      <c r="B2" s="377" t="s">
        <v>951</v>
      </c>
      <c r="C2" s="377" t="s">
        <v>788</v>
      </c>
      <c r="D2" s="377" t="s">
        <v>952</v>
      </c>
      <c r="E2" s="377" t="s">
        <v>951</v>
      </c>
      <c r="F2" s="377" t="s">
        <v>788</v>
      </c>
      <c r="G2" s="377" t="s">
        <v>952</v>
      </c>
      <c r="H2" s="1088"/>
      <c r="I2" s="1088"/>
      <c r="J2" s="1088"/>
    </row>
    <row r="3" spans="1:10" ht="16.5" customHeight="1" x14ac:dyDescent="0.25">
      <c r="A3" s="378" t="s">
        <v>536</v>
      </c>
      <c r="B3" s="708">
        <v>100714200</v>
      </c>
      <c r="C3" s="708"/>
      <c r="D3" s="708">
        <f>+C3+B3</f>
        <v>100714200</v>
      </c>
      <c r="E3" s="380">
        <v>0</v>
      </c>
      <c r="F3" s="380"/>
      <c r="G3" s="380">
        <f>+F3+E3</f>
        <v>0</v>
      </c>
      <c r="H3" s="518">
        <f>+B3+E3</f>
        <v>100714200</v>
      </c>
      <c r="I3" s="518">
        <f t="shared" ref="I3:J3" si="0">+C3+F3</f>
        <v>0</v>
      </c>
      <c r="J3" s="518">
        <f t="shared" si="0"/>
        <v>100714200</v>
      </c>
    </row>
    <row r="4" spans="1:10" ht="16.5" customHeight="1" x14ac:dyDescent="0.25">
      <c r="A4" s="381" t="s">
        <v>537</v>
      </c>
      <c r="B4" s="382">
        <v>25387472</v>
      </c>
      <c r="C4" s="382"/>
      <c r="D4" s="382">
        <f t="shared" ref="D4:D45" si="1">+C4+B4</f>
        <v>25387472</v>
      </c>
      <c r="E4" s="383">
        <v>0</v>
      </c>
      <c r="F4" s="383"/>
      <c r="G4" s="383">
        <f t="shared" ref="G4:G45" si="2">+F4+E4</f>
        <v>0</v>
      </c>
      <c r="H4" s="518">
        <f t="shared" ref="H4:H46" si="3">+B4+E4</f>
        <v>25387472</v>
      </c>
      <c r="I4" s="518">
        <f t="shared" ref="I4:I45" si="4">+C4+F4</f>
        <v>0</v>
      </c>
      <c r="J4" s="518">
        <f t="shared" ref="J4:J46" si="5">+D4+G4</f>
        <v>25387472</v>
      </c>
    </row>
    <row r="5" spans="1:10" s="409" customFormat="1" ht="16.5" customHeight="1" x14ac:dyDescent="0.25">
      <c r="A5" s="406" t="s">
        <v>564</v>
      </c>
      <c r="B5" s="407">
        <v>7900890</v>
      </c>
      <c r="C5" s="407"/>
      <c r="D5" s="407">
        <f t="shared" si="1"/>
        <v>7900890</v>
      </c>
      <c r="E5" s="408">
        <v>0</v>
      </c>
      <c r="F5" s="408"/>
      <c r="G5" s="408">
        <f t="shared" si="2"/>
        <v>0</v>
      </c>
      <c r="H5" s="518">
        <f t="shared" si="3"/>
        <v>7900890</v>
      </c>
      <c r="I5" s="518">
        <f t="shared" si="4"/>
        <v>0</v>
      </c>
      <c r="J5" s="518">
        <f t="shared" si="5"/>
        <v>7900890</v>
      </c>
    </row>
    <row r="6" spans="1:10" s="409" customFormat="1" ht="16.5" customHeight="1" x14ac:dyDescent="0.25">
      <c r="A6" s="406" t="s">
        <v>566</v>
      </c>
      <c r="B6" s="407">
        <v>10880000</v>
      </c>
      <c r="C6" s="407"/>
      <c r="D6" s="407">
        <f t="shared" si="1"/>
        <v>10880000</v>
      </c>
      <c r="E6" s="408">
        <v>0</v>
      </c>
      <c r="F6" s="408"/>
      <c r="G6" s="408">
        <f t="shared" si="2"/>
        <v>0</v>
      </c>
      <c r="H6" s="518">
        <f t="shared" si="3"/>
        <v>10880000</v>
      </c>
      <c r="I6" s="518">
        <f t="shared" si="4"/>
        <v>0</v>
      </c>
      <c r="J6" s="518">
        <f t="shared" si="5"/>
        <v>10880000</v>
      </c>
    </row>
    <row r="7" spans="1:10" s="409" customFormat="1" ht="16.5" customHeight="1" x14ac:dyDescent="0.25">
      <c r="A7" s="406" t="s">
        <v>567</v>
      </c>
      <c r="B7" s="407">
        <v>1539942</v>
      </c>
      <c r="C7" s="407"/>
      <c r="D7" s="407">
        <f t="shared" si="1"/>
        <v>1539942</v>
      </c>
      <c r="E7" s="408">
        <v>0</v>
      </c>
      <c r="F7" s="408"/>
      <c r="G7" s="408">
        <f t="shared" si="2"/>
        <v>0</v>
      </c>
      <c r="H7" s="518">
        <f t="shared" si="3"/>
        <v>1539942</v>
      </c>
      <c r="I7" s="518">
        <f t="shared" si="4"/>
        <v>0</v>
      </c>
      <c r="J7" s="518">
        <f t="shared" si="5"/>
        <v>1539942</v>
      </c>
    </row>
    <row r="8" spans="1:10" s="409" customFormat="1" ht="16.5" customHeight="1" x14ac:dyDescent="0.25">
      <c r="A8" s="406" t="s">
        <v>565</v>
      </c>
      <c r="B8" s="407">
        <v>5066640</v>
      </c>
      <c r="C8" s="407"/>
      <c r="D8" s="407">
        <f t="shared" si="1"/>
        <v>5066640</v>
      </c>
      <c r="E8" s="408">
        <v>0</v>
      </c>
      <c r="F8" s="408"/>
      <c r="G8" s="408">
        <f t="shared" si="2"/>
        <v>0</v>
      </c>
      <c r="H8" s="518">
        <f t="shared" si="3"/>
        <v>5066640</v>
      </c>
      <c r="I8" s="518">
        <f t="shared" si="4"/>
        <v>0</v>
      </c>
      <c r="J8" s="518">
        <f t="shared" si="5"/>
        <v>5066640</v>
      </c>
    </row>
    <row r="9" spans="1:10" ht="26.25" customHeight="1" x14ac:dyDescent="0.25">
      <c r="A9" s="544" t="s">
        <v>538</v>
      </c>
      <c r="B9" s="545">
        <v>-15402975</v>
      </c>
      <c r="C9" s="545"/>
      <c r="D9" s="545">
        <f t="shared" si="1"/>
        <v>-15402975</v>
      </c>
      <c r="E9" s="546">
        <v>0</v>
      </c>
      <c r="F9" s="546"/>
      <c r="G9" s="546">
        <f t="shared" si="2"/>
        <v>0</v>
      </c>
      <c r="H9" s="641">
        <f t="shared" si="3"/>
        <v>-15402975</v>
      </c>
      <c r="I9" s="641">
        <f t="shared" si="4"/>
        <v>0</v>
      </c>
      <c r="J9" s="641">
        <f t="shared" si="5"/>
        <v>-15402975</v>
      </c>
    </row>
    <row r="10" spans="1:10" ht="16.5" customHeight="1" x14ac:dyDescent="0.25">
      <c r="A10" s="384" t="s">
        <v>539</v>
      </c>
      <c r="B10" s="385">
        <v>15403500</v>
      </c>
      <c r="C10" s="385"/>
      <c r="D10" s="385">
        <f t="shared" si="1"/>
        <v>15403500</v>
      </c>
      <c r="E10" s="386">
        <v>0</v>
      </c>
      <c r="F10" s="386"/>
      <c r="G10" s="386">
        <f t="shared" si="2"/>
        <v>0</v>
      </c>
      <c r="H10" s="642">
        <f t="shared" si="3"/>
        <v>15403500</v>
      </c>
      <c r="I10" s="642">
        <f t="shared" si="4"/>
        <v>0</v>
      </c>
      <c r="J10" s="642">
        <f t="shared" si="5"/>
        <v>15403500</v>
      </c>
    </row>
    <row r="11" spans="1:10" s="372" customFormat="1" ht="16.5" customHeight="1" x14ac:dyDescent="0.25">
      <c r="A11" s="387" t="s">
        <v>554</v>
      </c>
      <c r="B11" s="388">
        <v>0</v>
      </c>
      <c r="C11" s="388"/>
      <c r="D11" s="388">
        <f t="shared" si="1"/>
        <v>0</v>
      </c>
      <c r="E11" s="389">
        <v>0</v>
      </c>
      <c r="F11" s="389"/>
      <c r="G11" s="389">
        <f t="shared" si="2"/>
        <v>0</v>
      </c>
      <c r="H11" s="643">
        <f t="shared" si="3"/>
        <v>0</v>
      </c>
      <c r="I11" s="643">
        <f t="shared" si="4"/>
        <v>0</v>
      </c>
      <c r="J11" s="643">
        <f t="shared" si="5"/>
        <v>0</v>
      </c>
    </row>
    <row r="12" spans="1:10" s="372" customFormat="1" ht="16.5" customHeight="1" x14ac:dyDescent="0.25">
      <c r="A12" s="525" t="s">
        <v>556</v>
      </c>
      <c r="B12" s="526">
        <v>897600</v>
      </c>
      <c r="C12" s="526"/>
      <c r="D12" s="526">
        <f t="shared" si="1"/>
        <v>897600</v>
      </c>
      <c r="E12" s="527">
        <v>0</v>
      </c>
      <c r="F12" s="527"/>
      <c r="G12" s="527">
        <f t="shared" si="2"/>
        <v>0</v>
      </c>
      <c r="H12" s="519">
        <f t="shared" si="3"/>
        <v>897600</v>
      </c>
      <c r="I12" s="519">
        <f t="shared" si="4"/>
        <v>0</v>
      </c>
      <c r="J12" s="519">
        <f t="shared" si="5"/>
        <v>897600</v>
      </c>
    </row>
    <row r="13" spans="1:10" s="372" customFormat="1" ht="16.5" customHeight="1" thickBot="1" x14ac:dyDescent="0.3">
      <c r="A13" s="713" t="s">
        <v>759</v>
      </c>
      <c r="B13" s="714">
        <v>1756400</v>
      </c>
      <c r="C13" s="714"/>
      <c r="D13" s="714">
        <f t="shared" si="1"/>
        <v>1756400</v>
      </c>
      <c r="E13" s="715"/>
      <c r="F13" s="715"/>
      <c r="G13" s="715">
        <f t="shared" si="2"/>
        <v>0</v>
      </c>
      <c r="H13" s="644">
        <f t="shared" si="3"/>
        <v>1756400</v>
      </c>
      <c r="I13" s="644">
        <f t="shared" si="4"/>
        <v>0</v>
      </c>
      <c r="J13" s="644">
        <f t="shared" si="5"/>
        <v>1756400</v>
      </c>
    </row>
    <row r="14" spans="1:10" s="372" customFormat="1" ht="13.5" thickBot="1" x14ac:dyDescent="0.3">
      <c r="A14" s="520" t="s">
        <v>541</v>
      </c>
      <c r="B14" s="707">
        <v>128756197</v>
      </c>
      <c r="C14" s="707"/>
      <c r="D14" s="707">
        <f t="shared" si="1"/>
        <v>128756197</v>
      </c>
      <c r="E14" s="405">
        <f t="shared" ref="E14" si="6">+E3+E4+E9+E10+E11+E12</f>
        <v>0</v>
      </c>
      <c r="F14" s="405"/>
      <c r="G14" s="405">
        <f t="shared" si="2"/>
        <v>0</v>
      </c>
      <c r="H14" s="707">
        <f t="shared" si="3"/>
        <v>128756197</v>
      </c>
      <c r="I14" s="707">
        <f t="shared" si="4"/>
        <v>0</v>
      </c>
      <c r="J14" s="707">
        <f t="shared" si="5"/>
        <v>128756197</v>
      </c>
    </row>
    <row r="15" spans="1:10" ht="16.5" customHeight="1" x14ac:dyDescent="0.25">
      <c r="A15" s="393" t="s">
        <v>720</v>
      </c>
      <c r="B15" s="708">
        <v>63928200</v>
      </c>
      <c r="C15" s="708"/>
      <c r="D15" s="708">
        <f t="shared" si="1"/>
        <v>63928200</v>
      </c>
      <c r="E15" s="380"/>
      <c r="F15" s="380"/>
      <c r="G15" s="380">
        <f t="shared" si="2"/>
        <v>0</v>
      </c>
      <c r="H15" s="518">
        <f t="shared" si="3"/>
        <v>63928200</v>
      </c>
      <c r="I15" s="518">
        <f t="shared" si="4"/>
        <v>0</v>
      </c>
      <c r="J15" s="518">
        <f t="shared" si="5"/>
        <v>63928200</v>
      </c>
    </row>
    <row r="16" spans="1:10" ht="16.5" customHeight="1" x14ac:dyDescent="0.25">
      <c r="A16" s="394" t="s">
        <v>721</v>
      </c>
      <c r="B16" s="709">
        <v>30933000</v>
      </c>
      <c r="C16" s="709"/>
      <c r="D16" s="709">
        <f t="shared" si="1"/>
        <v>30933000</v>
      </c>
      <c r="E16" s="386"/>
      <c r="F16" s="386"/>
      <c r="G16" s="386">
        <f t="shared" si="2"/>
        <v>0</v>
      </c>
      <c r="H16" s="519">
        <f t="shared" si="3"/>
        <v>30933000</v>
      </c>
      <c r="I16" s="519">
        <f t="shared" si="4"/>
        <v>0</v>
      </c>
      <c r="J16" s="519">
        <f t="shared" si="5"/>
        <v>30933000</v>
      </c>
    </row>
    <row r="17" spans="1:10" s="372" customFormat="1" ht="16.5" customHeight="1" x14ac:dyDescent="0.25">
      <c r="A17" s="538" t="s">
        <v>542</v>
      </c>
      <c r="B17" s="640">
        <v>94861200</v>
      </c>
      <c r="C17" s="640"/>
      <c r="D17" s="640">
        <f t="shared" si="1"/>
        <v>94861200</v>
      </c>
      <c r="E17" s="391">
        <f t="shared" ref="E17" si="7">SUM(E15:E16)</f>
        <v>0</v>
      </c>
      <c r="F17" s="391"/>
      <c r="G17" s="391">
        <f t="shared" si="2"/>
        <v>0</v>
      </c>
      <c r="H17" s="642">
        <f t="shared" si="3"/>
        <v>94861200</v>
      </c>
      <c r="I17" s="642">
        <f t="shared" si="4"/>
        <v>0</v>
      </c>
      <c r="J17" s="642">
        <f t="shared" si="5"/>
        <v>94861200</v>
      </c>
    </row>
    <row r="18" spans="1:10" s="372" customFormat="1" ht="16.5" customHeight="1" x14ac:dyDescent="0.25">
      <c r="A18" s="538" t="s">
        <v>543</v>
      </c>
      <c r="B18" s="640">
        <v>0</v>
      </c>
      <c r="C18" s="640"/>
      <c r="D18" s="640">
        <f t="shared" si="1"/>
        <v>0</v>
      </c>
      <c r="E18" s="392"/>
      <c r="F18" s="392"/>
      <c r="G18" s="392">
        <f t="shared" si="2"/>
        <v>0</v>
      </c>
      <c r="H18" s="642">
        <f t="shared" si="3"/>
        <v>0</v>
      </c>
      <c r="I18" s="642">
        <f t="shared" si="4"/>
        <v>0</v>
      </c>
      <c r="J18" s="642">
        <f t="shared" si="5"/>
        <v>0</v>
      </c>
    </row>
    <row r="19" spans="1:10" s="372" customFormat="1" ht="33.75" customHeight="1" x14ac:dyDescent="0.25">
      <c r="A19" s="543" t="s">
        <v>560</v>
      </c>
      <c r="B19" s="640">
        <v>1604000</v>
      </c>
      <c r="C19" s="640"/>
      <c r="D19" s="640">
        <f t="shared" si="1"/>
        <v>1604000</v>
      </c>
      <c r="E19" s="392"/>
      <c r="F19" s="392"/>
      <c r="G19" s="392">
        <f t="shared" si="2"/>
        <v>0</v>
      </c>
      <c r="H19" s="642">
        <f t="shared" si="3"/>
        <v>1604000</v>
      </c>
      <c r="I19" s="642">
        <f t="shared" si="4"/>
        <v>0</v>
      </c>
      <c r="J19" s="642">
        <f t="shared" si="5"/>
        <v>1604000</v>
      </c>
    </row>
    <row r="20" spans="1:10" ht="16.5" customHeight="1" x14ac:dyDescent="0.25">
      <c r="A20" s="393" t="s">
        <v>722</v>
      </c>
      <c r="B20" s="708">
        <v>20580000</v>
      </c>
      <c r="C20" s="708"/>
      <c r="D20" s="708">
        <f t="shared" si="1"/>
        <v>20580000</v>
      </c>
      <c r="E20" s="380"/>
      <c r="F20" s="380"/>
      <c r="G20" s="380">
        <f t="shared" si="2"/>
        <v>0</v>
      </c>
      <c r="H20" s="518">
        <f t="shared" si="3"/>
        <v>20580000</v>
      </c>
      <c r="I20" s="518">
        <f t="shared" si="4"/>
        <v>0</v>
      </c>
      <c r="J20" s="518">
        <f t="shared" si="5"/>
        <v>20580000</v>
      </c>
    </row>
    <row r="21" spans="1:10" ht="16.5" customHeight="1" x14ac:dyDescent="0.25">
      <c r="A21" s="394" t="s">
        <v>721</v>
      </c>
      <c r="B21" s="709">
        <v>10290000</v>
      </c>
      <c r="C21" s="709"/>
      <c r="D21" s="709">
        <f t="shared" si="1"/>
        <v>10290000</v>
      </c>
      <c r="E21" s="386"/>
      <c r="F21" s="386"/>
      <c r="G21" s="386">
        <f t="shared" si="2"/>
        <v>0</v>
      </c>
      <c r="H21" s="519">
        <f t="shared" si="3"/>
        <v>10290000</v>
      </c>
      <c r="I21" s="519">
        <f t="shared" si="4"/>
        <v>0</v>
      </c>
      <c r="J21" s="519">
        <f t="shared" si="5"/>
        <v>10290000</v>
      </c>
    </row>
    <row r="22" spans="1:10" s="372" customFormat="1" ht="29.25" customHeight="1" x14ac:dyDescent="0.25">
      <c r="A22" s="539" t="s">
        <v>723</v>
      </c>
      <c r="B22" s="640">
        <v>30870000</v>
      </c>
      <c r="C22" s="640"/>
      <c r="D22" s="640">
        <f t="shared" si="1"/>
        <v>30870000</v>
      </c>
      <c r="E22" s="392">
        <f t="shared" ref="E22" si="8">SUM(E20:E21)</f>
        <v>0</v>
      </c>
      <c r="F22" s="392"/>
      <c r="G22" s="392">
        <f t="shared" si="2"/>
        <v>0</v>
      </c>
      <c r="H22" s="642">
        <f t="shared" si="3"/>
        <v>30870000</v>
      </c>
      <c r="I22" s="642">
        <f t="shared" si="4"/>
        <v>0</v>
      </c>
      <c r="J22" s="642">
        <f t="shared" si="5"/>
        <v>30870000</v>
      </c>
    </row>
    <row r="23" spans="1:10" ht="16.5" customHeight="1" x14ac:dyDescent="0.25">
      <c r="A23" s="393" t="s">
        <v>722</v>
      </c>
      <c r="B23" s="708">
        <v>13072000</v>
      </c>
      <c r="C23" s="708"/>
      <c r="D23" s="708">
        <f t="shared" si="1"/>
        <v>13072000</v>
      </c>
      <c r="E23" s="380"/>
      <c r="F23" s="380"/>
      <c r="G23" s="380">
        <f t="shared" si="2"/>
        <v>0</v>
      </c>
      <c r="H23" s="518">
        <f t="shared" si="3"/>
        <v>13072000</v>
      </c>
      <c r="I23" s="518">
        <f t="shared" si="4"/>
        <v>0</v>
      </c>
      <c r="J23" s="518">
        <f t="shared" si="5"/>
        <v>13072000</v>
      </c>
    </row>
    <row r="24" spans="1:10" ht="16.5" customHeight="1" x14ac:dyDescent="0.25">
      <c r="A24" s="394" t="s">
        <v>721</v>
      </c>
      <c r="B24" s="709">
        <v>6263667</v>
      </c>
      <c r="C24" s="709"/>
      <c r="D24" s="709">
        <f t="shared" si="1"/>
        <v>6263667</v>
      </c>
      <c r="E24" s="386"/>
      <c r="F24" s="386"/>
      <c r="G24" s="386">
        <f t="shared" si="2"/>
        <v>0</v>
      </c>
      <c r="H24" s="519">
        <f t="shared" si="3"/>
        <v>6263667</v>
      </c>
      <c r="I24" s="519">
        <f t="shared" si="4"/>
        <v>0</v>
      </c>
      <c r="J24" s="519">
        <f t="shared" si="5"/>
        <v>6263667</v>
      </c>
    </row>
    <row r="25" spans="1:10" s="372" customFormat="1" ht="16.5" customHeight="1" x14ac:dyDescent="0.25">
      <c r="A25" s="538" t="s">
        <v>544</v>
      </c>
      <c r="B25" s="640">
        <v>19335667</v>
      </c>
      <c r="C25" s="640"/>
      <c r="D25" s="640">
        <f t="shared" si="1"/>
        <v>19335667</v>
      </c>
      <c r="E25" s="392">
        <f t="shared" ref="E25" si="9">+E23+E24</f>
        <v>0</v>
      </c>
      <c r="F25" s="392"/>
      <c r="G25" s="392">
        <f t="shared" si="2"/>
        <v>0</v>
      </c>
      <c r="H25" s="642">
        <f t="shared" si="3"/>
        <v>19335667</v>
      </c>
      <c r="I25" s="642">
        <f t="shared" si="4"/>
        <v>0</v>
      </c>
      <c r="J25" s="642">
        <f t="shared" si="5"/>
        <v>19335667</v>
      </c>
    </row>
    <row r="26" spans="1:10" ht="16.5" customHeight="1" x14ac:dyDescent="0.25">
      <c r="A26" s="395" t="s">
        <v>545</v>
      </c>
      <c r="B26" s="710">
        <v>31654000</v>
      </c>
      <c r="C26" s="710"/>
      <c r="D26" s="710">
        <f t="shared" si="1"/>
        <v>31654000</v>
      </c>
      <c r="E26" s="396"/>
      <c r="F26" s="396"/>
      <c r="G26" s="396">
        <f t="shared" si="2"/>
        <v>0</v>
      </c>
      <c r="H26" s="518">
        <f t="shared" si="3"/>
        <v>31654000</v>
      </c>
      <c r="I26" s="518">
        <f t="shared" si="4"/>
        <v>0</v>
      </c>
      <c r="J26" s="518">
        <f t="shared" si="5"/>
        <v>31654000</v>
      </c>
    </row>
    <row r="27" spans="1:10" ht="16.5" customHeight="1" x14ac:dyDescent="0.25">
      <c r="A27" s="397" t="s">
        <v>546</v>
      </c>
      <c r="B27" s="712">
        <v>32530540</v>
      </c>
      <c r="C27" s="712"/>
      <c r="D27" s="712">
        <f t="shared" si="1"/>
        <v>32530540</v>
      </c>
      <c r="E27" s="398"/>
      <c r="F27" s="398"/>
      <c r="G27" s="398">
        <f t="shared" si="2"/>
        <v>0</v>
      </c>
      <c r="H27" s="519">
        <f t="shared" si="3"/>
        <v>32530540</v>
      </c>
      <c r="I27" s="519">
        <f t="shared" si="4"/>
        <v>0</v>
      </c>
      <c r="J27" s="519">
        <f t="shared" si="5"/>
        <v>32530540</v>
      </c>
    </row>
    <row r="28" spans="1:10" s="372" customFormat="1" ht="16.5" customHeight="1" thickBot="1" x14ac:dyDescent="0.3">
      <c r="A28" s="540" t="s">
        <v>547</v>
      </c>
      <c r="B28" s="711">
        <v>64184540</v>
      </c>
      <c r="C28" s="711"/>
      <c r="D28" s="711">
        <f t="shared" si="1"/>
        <v>64184540</v>
      </c>
      <c r="E28" s="541">
        <f t="shared" ref="E28" si="10">SUM(E26:E27)</f>
        <v>0</v>
      </c>
      <c r="F28" s="541"/>
      <c r="G28" s="541">
        <f t="shared" si="2"/>
        <v>0</v>
      </c>
      <c r="H28" s="644">
        <f t="shared" si="3"/>
        <v>64184540</v>
      </c>
      <c r="I28" s="644">
        <f t="shared" si="4"/>
        <v>0</v>
      </c>
      <c r="J28" s="644">
        <f t="shared" si="5"/>
        <v>64184540</v>
      </c>
    </row>
    <row r="29" spans="1:10" ht="16.5" customHeight="1" thickBot="1" x14ac:dyDescent="0.3">
      <c r="A29" s="520" t="s">
        <v>548</v>
      </c>
      <c r="B29" s="404">
        <v>210855407</v>
      </c>
      <c r="C29" s="404"/>
      <c r="D29" s="404">
        <f t="shared" si="1"/>
        <v>210855407</v>
      </c>
      <c r="E29" s="405">
        <f t="shared" ref="E29" si="11">+E28+E25+E22+E19+E18+E17</f>
        <v>0</v>
      </c>
      <c r="F29" s="405"/>
      <c r="G29" s="405">
        <f t="shared" si="2"/>
        <v>0</v>
      </c>
      <c r="H29" s="521">
        <f t="shared" si="3"/>
        <v>210855407</v>
      </c>
      <c r="I29" s="521">
        <f t="shared" si="4"/>
        <v>0</v>
      </c>
      <c r="J29" s="521">
        <f t="shared" si="5"/>
        <v>210855407</v>
      </c>
    </row>
    <row r="30" spans="1:10" ht="16.5" customHeight="1" x14ac:dyDescent="0.25">
      <c r="A30" s="401" t="s">
        <v>611</v>
      </c>
      <c r="B30" s="379">
        <v>0</v>
      </c>
      <c r="C30" s="379"/>
      <c r="D30" s="379">
        <f t="shared" si="1"/>
        <v>0</v>
      </c>
      <c r="E30" s="706">
        <v>17000000</v>
      </c>
      <c r="F30" s="706"/>
      <c r="G30" s="706">
        <f t="shared" si="2"/>
        <v>17000000</v>
      </c>
      <c r="H30" s="518">
        <f t="shared" si="3"/>
        <v>17000000</v>
      </c>
      <c r="I30" s="518">
        <f t="shared" si="4"/>
        <v>0</v>
      </c>
      <c r="J30" s="518">
        <f t="shared" si="5"/>
        <v>17000000</v>
      </c>
    </row>
    <row r="31" spans="1:10" ht="16.5" customHeight="1" x14ac:dyDescent="0.25">
      <c r="A31" s="401" t="s">
        <v>612</v>
      </c>
      <c r="B31" s="379">
        <v>0</v>
      </c>
      <c r="C31" s="379"/>
      <c r="D31" s="379">
        <f t="shared" si="1"/>
        <v>0</v>
      </c>
      <c r="E31" s="706">
        <v>10890000</v>
      </c>
      <c r="F31" s="706"/>
      <c r="G31" s="706">
        <f t="shared" si="2"/>
        <v>10890000</v>
      </c>
      <c r="H31" s="518">
        <f t="shared" si="3"/>
        <v>10890000</v>
      </c>
      <c r="I31" s="518">
        <f t="shared" si="4"/>
        <v>0</v>
      </c>
      <c r="J31" s="518">
        <f t="shared" si="5"/>
        <v>10890000</v>
      </c>
    </row>
    <row r="32" spans="1:10" ht="16.5" customHeight="1" x14ac:dyDescent="0.25">
      <c r="A32" s="401" t="s">
        <v>613</v>
      </c>
      <c r="B32" s="542">
        <v>0</v>
      </c>
      <c r="C32" s="542"/>
      <c r="D32" s="542">
        <f t="shared" si="1"/>
        <v>0</v>
      </c>
      <c r="E32" s="706">
        <v>387520</v>
      </c>
      <c r="F32" s="706"/>
      <c r="G32" s="706">
        <f t="shared" si="2"/>
        <v>387520</v>
      </c>
      <c r="H32" s="518">
        <f t="shared" si="3"/>
        <v>387520</v>
      </c>
      <c r="I32" s="518">
        <f t="shared" si="4"/>
        <v>0</v>
      </c>
      <c r="J32" s="518">
        <f t="shared" si="5"/>
        <v>387520</v>
      </c>
    </row>
    <row r="33" spans="1:10" ht="16.5" customHeight="1" x14ac:dyDescent="0.25">
      <c r="A33" s="381" t="s">
        <v>549</v>
      </c>
      <c r="B33" s="382">
        <v>0</v>
      </c>
      <c r="C33" s="382"/>
      <c r="D33" s="382">
        <f t="shared" si="1"/>
        <v>0</v>
      </c>
      <c r="E33" s="408">
        <f>50000+26598000</f>
        <v>26648000</v>
      </c>
      <c r="F33" s="408"/>
      <c r="G33" s="408">
        <f t="shared" si="2"/>
        <v>26648000</v>
      </c>
      <c r="H33" s="518">
        <f t="shared" si="3"/>
        <v>26648000</v>
      </c>
      <c r="I33" s="518">
        <f t="shared" si="4"/>
        <v>0</v>
      </c>
      <c r="J33" s="518">
        <f t="shared" si="5"/>
        <v>26648000</v>
      </c>
    </row>
    <row r="34" spans="1:10" ht="16.5" customHeight="1" x14ac:dyDescent="0.25">
      <c r="A34" s="381" t="s">
        <v>551</v>
      </c>
      <c r="B34" s="382">
        <v>0</v>
      </c>
      <c r="C34" s="382"/>
      <c r="D34" s="382">
        <f t="shared" si="1"/>
        <v>0</v>
      </c>
      <c r="E34" s="383">
        <v>163500</v>
      </c>
      <c r="F34" s="383"/>
      <c r="G34" s="383">
        <f t="shared" si="2"/>
        <v>163500</v>
      </c>
      <c r="H34" s="518">
        <f t="shared" si="3"/>
        <v>163500</v>
      </c>
      <c r="I34" s="518">
        <f t="shared" si="4"/>
        <v>0</v>
      </c>
      <c r="J34" s="518">
        <f t="shared" si="5"/>
        <v>163500</v>
      </c>
    </row>
    <row r="35" spans="1:10" ht="16.5" customHeight="1" x14ac:dyDescent="0.25">
      <c r="A35" s="381" t="s">
        <v>550</v>
      </c>
      <c r="B35" s="382">
        <v>0</v>
      </c>
      <c r="C35" s="382"/>
      <c r="D35" s="382">
        <f t="shared" si="1"/>
        <v>0</v>
      </c>
      <c r="E35" s="383">
        <v>3100000</v>
      </c>
      <c r="F35" s="383"/>
      <c r="G35" s="383">
        <f t="shared" si="2"/>
        <v>3100000</v>
      </c>
      <c r="H35" s="518">
        <f t="shared" si="3"/>
        <v>3100000</v>
      </c>
      <c r="I35" s="518">
        <f t="shared" si="4"/>
        <v>0</v>
      </c>
      <c r="J35" s="518">
        <f t="shared" si="5"/>
        <v>3100000</v>
      </c>
    </row>
    <row r="36" spans="1:10" ht="16.5" customHeight="1" x14ac:dyDescent="0.25">
      <c r="A36" s="381" t="s">
        <v>665</v>
      </c>
      <c r="B36" s="382">
        <v>0</v>
      </c>
      <c r="C36" s="382"/>
      <c r="D36" s="382">
        <f t="shared" si="1"/>
        <v>0</v>
      </c>
      <c r="E36" s="383">
        <v>4680000</v>
      </c>
      <c r="F36" s="383"/>
      <c r="G36" s="383">
        <f t="shared" si="2"/>
        <v>4680000</v>
      </c>
      <c r="H36" s="518">
        <f t="shared" si="3"/>
        <v>4680000</v>
      </c>
      <c r="I36" s="518">
        <f t="shared" si="4"/>
        <v>0</v>
      </c>
      <c r="J36" s="518">
        <f t="shared" si="5"/>
        <v>4680000</v>
      </c>
    </row>
    <row r="37" spans="1:10" ht="16.5" customHeight="1" x14ac:dyDescent="0.25">
      <c r="A37" s="528" t="s">
        <v>614</v>
      </c>
      <c r="B37" s="399">
        <v>0</v>
      </c>
      <c r="C37" s="399"/>
      <c r="D37" s="399">
        <f t="shared" si="1"/>
        <v>0</v>
      </c>
      <c r="E37" s="400">
        <f>4100000+5940000</f>
        <v>10040000</v>
      </c>
      <c r="F37" s="400"/>
      <c r="G37" s="400">
        <f t="shared" si="2"/>
        <v>10040000</v>
      </c>
      <c r="H37" s="519">
        <f t="shared" si="3"/>
        <v>10040000</v>
      </c>
      <c r="I37" s="519">
        <f t="shared" si="4"/>
        <v>0</v>
      </c>
      <c r="J37" s="519">
        <f t="shared" si="5"/>
        <v>10040000</v>
      </c>
    </row>
    <row r="38" spans="1:10" s="372" customFormat="1" ht="16.5" customHeight="1" x14ac:dyDescent="0.25">
      <c r="A38" s="402" t="s">
        <v>552</v>
      </c>
      <c r="B38" s="391">
        <v>0</v>
      </c>
      <c r="C38" s="391"/>
      <c r="D38" s="391">
        <f t="shared" si="1"/>
        <v>0</v>
      </c>
      <c r="E38" s="392">
        <f>SUM(E30:E37)</f>
        <v>72909020</v>
      </c>
      <c r="F38" s="392"/>
      <c r="G38" s="392">
        <f t="shared" si="2"/>
        <v>72909020</v>
      </c>
      <c r="H38" s="642">
        <f t="shared" si="3"/>
        <v>72909020</v>
      </c>
      <c r="I38" s="642">
        <f t="shared" si="4"/>
        <v>0</v>
      </c>
      <c r="J38" s="642">
        <f t="shared" si="5"/>
        <v>72909020</v>
      </c>
    </row>
    <row r="39" spans="1:10" s="372" customFormat="1" ht="16.5" customHeight="1" x14ac:dyDescent="0.25">
      <c r="A39" s="402" t="s">
        <v>610</v>
      </c>
      <c r="B39" s="640">
        <v>262200</v>
      </c>
      <c r="C39" s="640"/>
      <c r="D39" s="640">
        <f t="shared" si="1"/>
        <v>262200</v>
      </c>
      <c r="E39" s="392"/>
      <c r="F39" s="392"/>
      <c r="G39" s="392">
        <f t="shared" si="2"/>
        <v>0</v>
      </c>
      <c r="H39" s="642">
        <f t="shared" si="3"/>
        <v>262200</v>
      </c>
      <c r="I39" s="642">
        <f t="shared" si="4"/>
        <v>0</v>
      </c>
      <c r="J39" s="642">
        <f t="shared" si="5"/>
        <v>262200</v>
      </c>
    </row>
    <row r="40" spans="1:10" s="372" customFormat="1" ht="29.25" customHeight="1" x14ac:dyDescent="0.25">
      <c r="A40" s="390" t="s">
        <v>540</v>
      </c>
      <c r="B40" s="640">
        <v>33258000</v>
      </c>
      <c r="C40" s="640"/>
      <c r="D40" s="640">
        <f t="shared" si="1"/>
        <v>33258000</v>
      </c>
      <c r="E40" s="392"/>
      <c r="F40" s="392"/>
      <c r="G40" s="392">
        <f t="shared" si="2"/>
        <v>0</v>
      </c>
      <c r="H40" s="642">
        <f t="shared" si="3"/>
        <v>33258000</v>
      </c>
      <c r="I40" s="642">
        <f t="shared" si="4"/>
        <v>0</v>
      </c>
      <c r="J40" s="642">
        <f t="shared" si="5"/>
        <v>33258000</v>
      </c>
    </row>
    <row r="41" spans="1:10" s="372" customFormat="1" ht="30.75" customHeight="1" x14ac:dyDescent="0.25">
      <c r="A41" s="390" t="s">
        <v>553</v>
      </c>
      <c r="B41" s="640">
        <v>6903050</v>
      </c>
      <c r="C41" s="640"/>
      <c r="D41" s="640">
        <f t="shared" si="1"/>
        <v>6903050</v>
      </c>
      <c r="E41" s="392"/>
      <c r="F41" s="392"/>
      <c r="G41" s="392">
        <f t="shared" si="2"/>
        <v>0</v>
      </c>
      <c r="H41" s="642">
        <f t="shared" si="3"/>
        <v>6903050</v>
      </c>
      <c r="I41" s="642">
        <f t="shared" si="4"/>
        <v>0</v>
      </c>
      <c r="J41" s="642">
        <f t="shared" si="5"/>
        <v>6903050</v>
      </c>
    </row>
    <row r="42" spans="1:10" s="372" customFormat="1" ht="16.5" customHeight="1" x14ac:dyDescent="0.25">
      <c r="A42" s="390" t="s">
        <v>555</v>
      </c>
      <c r="B42" s="391">
        <v>0</v>
      </c>
      <c r="C42" s="391"/>
      <c r="D42" s="391">
        <f t="shared" si="1"/>
        <v>0</v>
      </c>
      <c r="E42" s="392"/>
      <c r="F42" s="392"/>
      <c r="G42" s="392">
        <f t="shared" si="2"/>
        <v>0</v>
      </c>
      <c r="H42" s="642">
        <f t="shared" si="3"/>
        <v>0</v>
      </c>
      <c r="I42" s="642">
        <f t="shared" si="4"/>
        <v>0</v>
      </c>
      <c r="J42" s="642">
        <f t="shared" si="5"/>
        <v>0</v>
      </c>
    </row>
    <row r="43" spans="1:10" s="372" customFormat="1" ht="16.5" customHeight="1" x14ac:dyDescent="0.25">
      <c r="A43" s="402" t="s">
        <v>937</v>
      </c>
      <c r="B43" s="391">
        <v>0</v>
      </c>
      <c r="C43" s="391"/>
      <c r="D43" s="391">
        <f t="shared" si="1"/>
        <v>0</v>
      </c>
      <c r="E43" s="392"/>
      <c r="F43" s="392">
        <v>9697555</v>
      </c>
      <c r="G43" s="392">
        <f t="shared" si="2"/>
        <v>9697555</v>
      </c>
      <c r="H43" s="642">
        <f t="shared" si="3"/>
        <v>0</v>
      </c>
      <c r="I43" s="642">
        <f t="shared" si="4"/>
        <v>9697555</v>
      </c>
      <c r="J43" s="642">
        <f t="shared" si="5"/>
        <v>9697555</v>
      </c>
    </row>
    <row r="44" spans="1:10" s="372" customFormat="1" ht="16.5" customHeight="1" x14ac:dyDescent="0.25">
      <c r="A44" s="522" t="s">
        <v>873</v>
      </c>
      <c r="B44" s="523">
        <v>756000</v>
      </c>
      <c r="C44" s="523">
        <v>394348</v>
      </c>
      <c r="D44" s="391">
        <f t="shared" si="1"/>
        <v>1150348</v>
      </c>
      <c r="E44" s="524"/>
      <c r="F44" s="524"/>
      <c r="G44" s="524"/>
      <c r="H44" s="642">
        <f t="shared" si="3"/>
        <v>756000</v>
      </c>
      <c r="I44" s="642">
        <f t="shared" si="4"/>
        <v>394348</v>
      </c>
      <c r="J44" s="642">
        <f t="shared" si="5"/>
        <v>1150348</v>
      </c>
    </row>
    <row r="45" spans="1:10" s="372" customFormat="1" ht="16.5" customHeight="1" thickBot="1" x14ac:dyDescent="0.3">
      <c r="A45" s="522" t="s">
        <v>557</v>
      </c>
      <c r="B45" s="523">
        <v>182000</v>
      </c>
      <c r="C45" s="523">
        <v>187000</v>
      </c>
      <c r="D45" s="523">
        <f t="shared" si="1"/>
        <v>369000</v>
      </c>
      <c r="E45" s="524">
        <v>491000</v>
      </c>
      <c r="F45" s="524">
        <v>236000</v>
      </c>
      <c r="G45" s="524">
        <f t="shared" si="2"/>
        <v>727000</v>
      </c>
      <c r="H45" s="642">
        <f t="shared" si="3"/>
        <v>673000</v>
      </c>
      <c r="I45" s="644">
        <f t="shared" si="4"/>
        <v>423000</v>
      </c>
      <c r="J45" s="644">
        <f t="shared" si="5"/>
        <v>1096000</v>
      </c>
    </row>
    <row r="46" spans="1:10" s="372" customFormat="1" ht="16.5" customHeight="1" thickBot="1" x14ac:dyDescent="0.3">
      <c r="A46" s="403" t="s">
        <v>558</v>
      </c>
      <c r="B46" s="404">
        <v>380972854</v>
      </c>
      <c r="C46" s="404">
        <f t="shared" ref="C46:D46" si="12">+C42+C41+C40+C29+C14+C39+C43+C44+C45</f>
        <v>581348</v>
      </c>
      <c r="D46" s="404">
        <f t="shared" si="12"/>
        <v>381554202</v>
      </c>
      <c r="E46" s="405">
        <f>+E38+E29+E45</f>
        <v>73400020</v>
      </c>
      <c r="F46" s="405">
        <f>+F38+F29+F45+F43</f>
        <v>9933555</v>
      </c>
      <c r="G46" s="405">
        <f t="shared" ref="G46" si="13">+G38+G29+G45</f>
        <v>73636020</v>
      </c>
      <c r="H46" s="521">
        <f t="shared" si="3"/>
        <v>454372874</v>
      </c>
      <c r="I46" s="521">
        <f>+C46+F46</f>
        <v>10514903</v>
      </c>
      <c r="J46" s="521">
        <f t="shared" si="5"/>
        <v>455190222</v>
      </c>
    </row>
    <row r="47" spans="1:10" hidden="1" x14ac:dyDescent="0.25"/>
    <row r="48" spans="1:10" hidden="1" x14ac:dyDescent="0.25"/>
    <row r="49" spans="1:7" hidden="1" x14ac:dyDescent="0.25">
      <c r="E49" s="374"/>
      <c r="F49" s="374"/>
      <c r="G49" s="374"/>
    </row>
    <row r="50" spans="1:7" ht="25.5" hidden="1" customHeight="1" x14ac:dyDescent="0.25">
      <c r="E50" s="375"/>
      <c r="F50" s="375"/>
      <c r="G50" s="375"/>
    </row>
    <row r="51" spans="1:7" hidden="1" x14ac:dyDescent="0.25"/>
    <row r="52" spans="1:7" hidden="1" x14ac:dyDescent="0.25"/>
    <row r="53" spans="1:7" hidden="1" x14ac:dyDescent="0.25"/>
    <row r="54" spans="1:7" hidden="1" x14ac:dyDescent="0.25"/>
    <row r="55" spans="1:7" hidden="1" x14ac:dyDescent="0.25">
      <c r="E55" s="374"/>
      <c r="F55" s="374"/>
      <c r="G55" s="374"/>
    </row>
    <row r="56" spans="1:7" ht="12.75" hidden="1" customHeight="1" x14ac:dyDescent="0.25">
      <c r="E56" s="375"/>
      <c r="F56" s="375"/>
      <c r="G56" s="375"/>
    </row>
    <row r="57" spans="1:7" hidden="1" x14ac:dyDescent="0.25"/>
    <row r="58" spans="1:7" hidden="1" x14ac:dyDescent="0.25"/>
    <row r="59" spans="1:7" hidden="1" x14ac:dyDescent="0.25"/>
    <row r="60" spans="1:7" hidden="1" x14ac:dyDescent="0.25"/>
    <row r="61" spans="1:7" hidden="1" x14ac:dyDescent="0.25"/>
    <row r="62" spans="1:7" hidden="1" x14ac:dyDescent="0.25"/>
    <row r="63" spans="1:7" hidden="1" x14ac:dyDescent="0.25"/>
    <row r="64" spans="1:7" hidden="1" x14ac:dyDescent="0.25">
      <c r="A64" s="371" t="s">
        <v>561</v>
      </c>
    </row>
    <row r="65" spans="1:10" ht="25.5" hidden="1" x14ac:dyDescent="0.25">
      <c r="B65" s="373" t="s">
        <v>562</v>
      </c>
      <c r="D65" s="373" t="s">
        <v>562</v>
      </c>
      <c r="E65" s="376"/>
      <c r="F65" s="376"/>
      <c r="G65" s="376"/>
      <c r="H65" s="372" t="s">
        <v>563</v>
      </c>
      <c r="J65" s="372" t="s">
        <v>563</v>
      </c>
    </row>
    <row r="66" spans="1:10" hidden="1" x14ac:dyDescent="0.25">
      <c r="B66" s="373">
        <v>26</v>
      </c>
      <c r="D66" s="373">
        <v>26</v>
      </c>
      <c r="H66" s="372" t="e">
        <f>+#REF!+E66</f>
        <v>#REF!</v>
      </c>
      <c r="J66" s="372">
        <f>+E66+G66</f>
        <v>0</v>
      </c>
    </row>
    <row r="67" spans="1:10" hidden="1" x14ac:dyDescent="0.25"/>
    <row r="68" spans="1:10" hidden="1" x14ac:dyDescent="0.25"/>
    <row r="69" spans="1:10" hidden="1" x14ac:dyDescent="0.25"/>
    <row r="70" spans="1:10" hidden="1" x14ac:dyDescent="0.25"/>
    <row r="72" spans="1:10" x14ac:dyDescent="0.25">
      <c r="A72" s="372"/>
    </row>
  </sheetData>
  <mergeCells count="6">
    <mergeCell ref="A1:A2"/>
    <mergeCell ref="B1:D1"/>
    <mergeCell ref="E1:G1"/>
    <mergeCell ref="H1:H2"/>
    <mergeCell ref="J1:J2"/>
    <mergeCell ref="I1:I2"/>
  </mergeCells>
  <printOptions horizontalCentered="1"/>
  <pageMargins left="0.70866141732283472" right="0.70866141732283472" top="1.0236220472440944" bottom="0.74803149606299213" header="0.39370078740157483" footer="0.31496062992125984"/>
  <pageSetup paperSize="9" scale="44" orientation="portrait" r:id="rId1"/>
  <headerFooter>
    <oddHeader>&amp;C&amp;"Times New Roman,Félkövér"&amp;14MARTONVÁSÁR VÁROS ÖNKORMÁNYZATA 
&amp;"Times New Roman,Normál"NORMATÍV TÁMOGATÁSOK KIMUTATÁSA      &amp;R&amp;"Times New Roman,Félkövér"&amp;10 4. melléklet</oddHeader>
    <oddFooter>&amp;R&amp;P</oddFooter>
  </headerFooter>
  <colBreaks count="1" manualBreakCount="1">
    <brk id="11" max="3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"/>
  <sheetViews>
    <sheetView zoomScaleNormal="100" workbookViewId="0">
      <selection activeCell="L33" sqref="L33"/>
    </sheetView>
  </sheetViews>
  <sheetFormatPr defaultColWidth="9.140625" defaultRowHeight="15" x14ac:dyDescent="0.25"/>
  <cols>
    <col min="1" max="1" width="6.28515625" style="350" customWidth="1"/>
    <col min="2" max="2" width="7.140625" style="121" customWidth="1"/>
    <col min="3" max="3" width="22" style="121" customWidth="1"/>
    <col min="4" max="4" width="9.5703125" style="60" customWidth="1"/>
    <col min="5" max="5" width="7.85546875" style="60" customWidth="1"/>
    <col min="6" max="6" width="8.85546875" style="60" bestFit="1" customWidth="1"/>
    <col min="7" max="7" width="8.5703125" style="60" customWidth="1"/>
    <col min="8" max="8" width="7.140625" style="60" customWidth="1"/>
    <col min="9" max="9" width="6.5703125" style="60" customWidth="1"/>
    <col min="10" max="17" width="9.5703125" style="60" customWidth="1"/>
    <col min="18" max="18" width="7.7109375" style="60" customWidth="1"/>
    <col min="19" max="19" width="10.28515625" style="60" bestFit="1" customWidth="1"/>
    <col min="20" max="24" width="7.7109375" style="60" customWidth="1"/>
    <col min="25" max="25" width="9.42578125" style="60" customWidth="1"/>
    <col min="26" max="26" width="7.7109375" style="60" customWidth="1"/>
    <col min="27" max="27" width="9.5703125" style="60" customWidth="1"/>
    <col min="28" max="29" width="9.140625" style="352"/>
    <col min="30" max="30" width="9.140625" style="1"/>
    <col min="31" max="16384" width="9.140625" style="18"/>
  </cols>
  <sheetData>
    <row r="1" spans="1:29" s="33" customFormat="1" ht="12.75" customHeight="1" x14ac:dyDescent="0.25">
      <c r="A1" s="1089" t="s">
        <v>0</v>
      </c>
      <c r="B1" s="1091" t="s">
        <v>182</v>
      </c>
      <c r="C1" s="1092"/>
      <c r="D1" s="1095" t="s">
        <v>180</v>
      </c>
      <c r="E1" s="1096"/>
      <c r="F1" s="1096"/>
      <c r="G1" s="1095" t="s">
        <v>264</v>
      </c>
      <c r="H1" s="1096"/>
      <c r="I1" s="1097"/>
      <c r="J1" s="1095" t="s">
        <v>501</v>
      </c>
      <c r="K1" s="1096"/>
      <c r="L1" s="1097"/>
      <c r="M1" s="1095" t="s">
        <v>502</v>
      </c>
      <c r="N1" s="1096"/>
      <c r="O1" s="1097"/>
      <c r="P1" s="1098" t="s">
        <v>503</v>
      </c>
      <c r="Q1" s="1096"/>
      <c r="R1" s="1099"/>
      <c r="S1" s="1095" t="s">
        <v>265</v>
      </c>
      <c r="T1" s="1096"/>
      <c r="U1" s="1097"/>
      <c r="V1" s="1095" t="s">
        <v>504</v>
      </c>
      <c r="W1" s="1096"/>
      <c r="X1" s="1097"/>
      <c r="Y1" s="1098" t="s">
        <v>266</v>
      </c>
      <c r="Z1" s="1096"/>
      <c r="AA1" s="1097"/>
      <c r="AB1" s="344"/>
      <c r="AC1" s="344"/>
    </row>
    <row r="2" spans="1:29" s="17" customFormat="1" ht="39" thickBot="1" x14ac:dyDescent="0.3">
      <c r="A2" s="1090"/>
      <c r="B2" s="1093"/>
      <c r="C2" s="1094"/>
      <c r="D2" s="368" t="s">
        <v>943</v>
      </c>
      <c r="E2" s="353" t="s">
        <v>786</v>
      </c>
      <c r="F2" s="353" t="s">
        <v>942</v>
      </c>
      <c r="G2" s="368" t="s">
        <v>943</v>
      </c>
      <c r="H2" s="353" t="s">
        <v>786</v>
      </c>
      <c r="I2" s="353" t="s">
        <v>942</v>
      </c>
      <c r="J2" s="368" t="s">
        <v>943</v>
      </c>
      <c r="K2" s="353" t="s">
        <v>786</v>
      </c>
      <c r="L2" s="353" t="s">
        <v>942</v>
      </c>
      <c r="M2" s="368" t="s">
        <v>943</v>
      </c>
      <c r="N2" s="353" t="s">
        <v>786</v>
      </c>
      <c r="O2" s="353" t="s">
        <v>942</v>
      </c>
      <c r="P2" s="368" t="s">
        <v>943</v>
      </c>
      <c r="Q2" s="353" t="s">
        <v>786</v>
      </c>
      <c r="R2" s="353" t="s">
        <v>942</v>
      </c>
      <c r="S2" s="368" t="s">
        <v>943</v>
      </c>
      <c r="T2" s="353" t="s">
        <v>786</v>
      </c>
      <c r="U2" s="353" t="s">
        <v>942</v>
      </c>
      <c r="V2" s="368" t="s">
        <v>943</v>
      </c>
      <c r="W2" s="353" t="s">
        <v>786</v>
      </c>
      <c r="X2" s="353" t="s">
        <v>942</v>
      </c>
      <c r="Y2" s="368" t="s">
        <v>943</v>
      </c>
      <c r="Z2" s="353" t="s">
        <v>786</v>
      </c>
      <c r="AA2" s="353" t="s">
        <v>942</v>
      </c>
      <c r="AB2" s="351"/>
      <c r="AC2" s="351"/>
    </row>
    <row r="3" spans="1:29" s="44" customFormat="1" ht="12.75" x14ac:dyDescent="0.2">
      <c r="A3" s="460" t="s">
        <v>27</v>
      </c>
      <c r="B3" s="1111" t="s">
        <v>174</v>
      </c>
      <c r="C3" s="1112"/>
      <c r="D3" s="467">
        <f>+G3+J3+M3+P3+S3+V3+Y3</f>
        <v>18000</v>
      </c>
      <c r="E3" s="468">
        <f>+H3+K3+N3+Q3+T3+W3+Z3</f>
        <v>-1530</v>
      </c>
      <c r="F3" s="468">
        <f>+I3+L3+O3+R3+U3+X3+AA3</f>
        <v>16470</v>
      </c>
      <c r="G3" s="467">
        <f>+'5.a. mell. Jogalkotás'!D5</f>
        <v>0</v>
      </c>
      <c r="H3" s="468">
        <f>+'5.a. mell. Jogalkotás'!E5</f>
        <v>0</v>
      </c>
      <c r="I3" s="469">
        <f>+'5.a. mell. Jogalkotás'!F5</f>
        <v>0</v>
      </c>
      <c r="J3" s="467">
        <f>+'5.b. mell. VF saját forrásból'!D5</f>
        <v>0</v>
      </c>
      <c r="K3" s="467">
        <f>+'5.b. mell. VF saját forrásból'!E5</f>
        <v>0</v>
      </c>
      <c r="L3" s="467">
        <f>+'5.b. mell. VF saját forrásból'!F5</f>
        <v>0</v>
      </c>
      <c r="M3" s="467">
        <f>+'5.c. mell. VF Eu forrásból'!D5</f>
        <v>0</v>
      </c>
      <c r="N3" s="468">
        <f>+'5.c. mell. VF Eu forrásból'!E5</f>
        <v>0</v>
      </c>
      <c r="O3" s="469">
        <f>+'5.c. mell. VF Eu forrásból'!F5</f>
        <v>0</v>
      </c>
      <c r="P3" s="470">
        <f>+'5.d. mell. Védőnő, EÜ'!D5</f>
        <v>10435</v>
      </c>
      <c r="Q3" s="468">
        <f>+'5.d. mell. Védőnő, EÜ'!E5</f>
        <v>-1229</v>
      </c>
      <c r="R3" s="471">
        <f>+'5.d. mell. Védőnő, EÜ'!F5</f>
        <v>9206</v>
      </c>
      <c r="S3" s="467"/>
      <c r="T3" s="468"/>
      <c r="U3" s="469"/>
      <c r="V3" s="467"/>
      <c r="W3" s="468"/>
      <c r="X3" s="469"/>
      <c r="Y3" s="470">
        <f>+'5.g. mell. Egyéb tev.'!D6</f>
        <v>7565</v>
      </c>
      <c r="Z3" s="468">
        <f>+'5.g. mell. Egyéb tev.'!E6</f>
        <v>-301</v>
      </c>
      <c r="AA3" s="469">
        <f>+'5.g. mell. Egyéb tev.'!F6</f>
        <v>7264</v>
      </c>
      <c r="AB3" s="244"/>
      <c r="AC3" s="244"/>
    </row>
    <row r="4" spans="1:29" s="44" customFormat="1" ht="12.75" customHeight="1" x14ac:dyDescent="0.2">
      <c r="A4" s="461" t="s">
        <v>33</v>
      </c>
      <c r="B4" s="1113" t="s">
        <v>173</v>
      </c>
      <c r="C4" s="1114"/>
      <c r="D4" s="467">
        <f t="shared" ref="D4:D5" si="0">+G4+J4+M4+P4+S4+V4+Y4</f>
        <v>21133</v>
      </c>
      <c r="E4" s="472">
        <f t="shared" ref="E4:E29" si="1">+H4+K4+N4+Q4+T4+W4+Z4</f>
        <v>11925</v>
      </c>
      <c r="F4" s="472">
        <f t="shared" ref="F4:F29" si="2">+I4+L4+O4+R4+U4+X4+AA4</f>
        <v>33058</v>
      </c>
      <c r="G4" s="473">
        <f>+'5.a. mell. Jogalkotás'!D6</f>
        <v>17899</v>
      </c>
      <c r="H4" s="472">
        <f>+'5.a. mell. Jogalkotás'!E6</f>
        <v>245</v>
      </c>
      <c r="I4" s="474">
        <f>+'5.a. mell. Jogalkotás'!F6</f>
        <v>18144</v>
      </c>
      <c r="J4" s="473">
        <f>+'5.b. mell. VF saját forrásból'!D6</f>
        <v>322</v>
      </c>
      <c r="K4" s="473">
        <f>+'5.b. mell. VF saját forrásból'!E6</f>
        <v>482</v>
      </c>
      <c r="L4" s="473">
        <f>+'5.b. mell. VF saját forrásból'!F6</f>
        <v>804</v>
      </c>
      <c r="M4" s="473">
        <f>+'5.c. mell. VF Eu forrásból'!D6</f>
        <v>1051</v>
      </c>
      <c r="N4" s="472">
        <f>+'5.c. mell. VF Eu forrásból'!E6</f>
        <v>9969</v>
      </c>
      <c r="O4" s="474">
        <f>+'5.c. mell. VF Eu forrásból'!F6</f>
        <v>11020</v>
      </c>
      <c r="P4" s="475">
        <f>+'5.d. mell. Védőnő, EÜ'!D6</f>
        <v>1861</v>
      </c>
      <c r="Q4" s="472">
        <f>+'5.d. mell. Védőnő, EÜ'!E6</f>
        <v>1229</v>
      </c>
      <c r="R4" s="476">
        <f>+'5.d. mell. Védőnő, EÜ'!F6</f>
        <v>3090</v>
      </c>
      <c r="S4" s="473"/>
      <c r="T4" s="472"/>
      <c r="U4" s="474"/>
      <c r="V4" s="473"/>
      <c r="W4" s="472"/>
      <c r="X4" s="474"/>
      <c r="Y4" s="475">
        <f>+'5.g. mell. Egyéb tev.'!D7</f>
        <v>0</v>
      </c>
      <c r="Z4" s="472">
        <f>+'5.g. mell. Egyéb tev.'!E7</f>
        <v>0</v>
      </c>
      <c r="AA4" s="474">
        <f>+'5.g. mell. Egyéb tev.'!F7</f>
        <v>0</v>
      </c>
      <c r="AB4" s="244"/>
      <c r="AC4" s="244"/>
    </row>
    <row r="5" spans="1:29" s="44" customFormat="1" ht="12.75" customHeight="1" x14ac:dyDescent="0.2">
      <c r="A5" s="462" t="s">
        <v>34</v>
      </c>
      <c r="B5" s="1103" t="s">
        <v>172</v>
      </c>
      <c r="C5" s="1104"/>
      <c r="D5" s="467">
        <f t="shared" si="0"/>
        <v>39133</v>
      </c>
      <c r="E5" s="472">
        <f t="shared" si="1"/>
        <v>10395</v>
      </c>
      <c r="F5" s="472">
        <f t="shared" si="2"/>
        <v>49528</v>
      </c>
      <c r="G5" s="473">
        <f>+G3+G4</f>
        <v>17899</v>
      </c>
      <c r="H5" s="472">
        <f t="shared" ref="H5:I5" si="3">+H3+H4</f>
        <v>245</v>
      </c>
      <c r="I5" s="474">
        <f t="shared" si="3"/>
        <v>18144</v>
      </c>
      <c r="J5" s="758">
        <f>+'5.b. mell. VF saját forrásból'!D7</f>
        <v>322</v>
      </c>
      <c r="K5" s="758">
        <f>+'5.b. mell. VF saját forrásból'!E7</f>
        <v>482</v>
      </c>
      <c r="L5" s="758">
        <f>+'5.b. mell. VF saját forrásból'!F7</f>
        <v>804</v>
      </c>
      <c r="M5" s="758">
        <f>+M3+M4</f>
        <v>1051</v>
      </c>
      <c r="N5" s="759">
        <f t="shared" ref="N5:O5" si="4">+N3+N4</f>
        <v>9969</v>
      </c>
      <c r="O5" s="760">
        <f t="shared" si="4"/>
        <v>11020</v>
      </c>
      <c r="P5" s="761">
        <f>+P3+P4</f>
        <v>12296</v>
      </c>
      <c r="Q5" s="759">
        <f t="shared" ref="Q5:R5" si="5">+Q3+Q4</f>
        <v>0</v>
      </c>
      <c r="R5" s="476">
        <f t="shared" si="5"/>
        <v>12296</v>
      </c>
      <c r="S5" s="473"/>
      <c r="T5" s="472"/>
      <c r="U5" s="474"/>
      <c r="V5" s="473"/>
      <c r="W5" s="472"/>
      <c r="X5" s="474"/>
      <c r="Y5" s="475">
        <f>+'5.g. mell. Egyéb tev.'!D8</f>
        <v>7565</v>
      </c>
      <c r="Z5" s="472">
        <f>+'5.g. mell. Egyéb tev.'!E8</f>
        <v>-301</v>
      </c>
      <c r="AA5" s="474">
        <f>+'5.g. mell. Egyéb tev.'!F8</f>
        <v>7264</v>
      </c>
      <c r="AB5" s="244"/>
      <c r="AC5" s="244"/>
    </row>
    <row r="6" spans="1:29" x14ac:dyDescent="0.25">
      <c r="A6" s="102"/>
      <c r="B6" s="465"/>
      <c r="C6" s="354"/>
      <c r="D6" s="477"/>
      <c r="E6" s="478"/>
      <c r="F6" s="478"/>
      <c r="G6" s="479"/>
      <c r="H6" s="478"/>
      <c r="I6" s="480"/>
      <c r="J6" s="762"/>
      <c r="K6" s="763"/>
      <c r="L6" s="764"/>
      <c r="M6" s="762"/>
      <c r="N6" s="763"/>
      <c r="O6" s="764"/>
      <c r="P6" s="763"/>
      <c r="Q6" s="763"/>
      <c r="R6" s="478"/>
      <c r="S6" s="479"/>
      <c r="T6" s="478"/>
      <c r="U6" s="480"/>
      <c r="V6" s="479"/>
      <c r="W6" s="478"/>
      <c r="X6" s="480"/>
      <c r="Y6" s="478"/>
      <c r="Z6" s="478"/>
      <c r="AA6" s="480"/>
    </row>
    <row r="7" spans="1:29" s="44" customFormat="1" ht="12.75" customHeight="1" x14ac:dyDescent="0.2">
      <c r="A7" s="462" t="s">
        <v>35</v>
      </c>
      <c r="B7" s="1103" t="s">
        <v>171</v>
      </c>
      <c r="C7" s="1104"/>
      <c r="D7" s="473">
        <f>+G7+J7+M7+P7+S7+V7+Y7</f>
        <v>8273</v>
      </c>
      <c r="E7" s="472">
        <f t="shared" si="1"/>
        <v>2106</v>
      </c>
      <c r="F7" s="472">
        <f t="shared" si="2"/>
        <v>10379</v>
      </c>
      <c r="G7" s="473">
        <f>+'5.a. mell. Jogalkotás'!D9</f>
        <v>3702</v>
      </c>
      <c r="H7" s="472">
        <f>+'5.a. mell. Jogalkotás'!E9</f>
        <v>19</v>
      </c>
      <c r="I7" s="474">
        <f>+'5.a. mell. Jogalkotás'!F9</f>
        <v>3721</v>
      </c>
      <c r="J7" s="758">
        <f>+'5.b. mell. VF saját forrásból'!D9</f>
        <v>271</v>
      </c>
      <c r="K7" s="758">
        <f>+'5.b. mell. VF saját forrásból'!E9</f>
        <v>-14</v>
      </c>
      <c r="L7" s="758">
        <f>+'5.b. mell. VF saját forrásból'!F9</f>
        <v>257</v>
      </c>
      <c r="M7" s="758">
        <f>+'5.c. mell. VF Eu forrásból'!D9</f>
        <v>332</v>
      </c>
      <c r="N7" s="759">
        <f>+'5.c. mell. VF Eu forrásból'!E9</f>
        <v>2101</v>
      </c>
      <c r="O7" s="760">
        <f>+'5.c. mell. VF Eu forrásból'!F9</f>
        <v>2433</v>
      </c>
      <c r="P7" s="761">
        <f>+'5.d. mell. Védőnő, EÜ'!D9</f>
        <v>2438</v>
      </c>
      <c r="Q7" s="759">
        <f>+'5.d. mell. Védőnő, EÜ'!E9</f>
        <v>0</v>
      </c>
      <c r="R7" s="476">
        <f>+'5.d. mell. Védőnő, EÜ'!F9</f>
        <v>2438</v>
      </c>
      <c r="S7" s="473"/>
      <c r="T7" s="472"/>
      <c r="U7" s="474"/>
      <c r="V7" s="473"/>
      <c r="W7" s="472"/>
      <c r="X7" s="474"/>
      <c r="Y7" s="475">
        <f>+'5.g. mell. Egyéb tev.'!D10</f>
        <v>1530</v>
      </c>
      <c r="Z7" s="472">
        <f>+'5.g. mell. Egyéb tev.'!E10</f>
        <v>0</v>
      </c>
      <c r="AA7" s="474">
        <f>+'5.g. mell. Egyéb tev.'!F10</f>
        <v>1530</v>
      </c>
      <c r="AB7" s="244"/>
      <c r="AC7" s="244"/>
    </row>
    <row r="8" spans="1:29" x14ac:dyDescent="0.25">
      <c r="A8" s="102"/>
      <c r="B8" s="466"/>
      <c r="C8" s="355"/>
      <c r="D8" s="477"/>
      <c r="E8" s="478"/>
      <c r="F8" s="478"/>
      <c r="G8" s="479"/>
      <c r="H8" s="478"/>
      <c r="I8" s="480"/>
      <c r="J8" s="762"/>
      <c r="K8" s="763"/>
      <c r="L8" s="764"/>
      <c r="M8" s="762"/>
      <c r="N8" s="763"/>
      <c r="O8" s="764"/>
      <c r="P8" s="763"/>
      <c r="Q8" s="763"/>
      <c r="R8" s="478"/>
      <c r="S8" s="479"/>
      <c r="T8" s="478"/>
      <c r="U8" s="480"/>
      <c r="V8" s="479"/>
      <c r="W8" s="478"/>
      <c r="X8" s="480"/>
      <c r="Y8" s="478"/>
      <c r="Z8" s="478"/>
      <c r="AA8" s="480"/>
    </row>
    <row r="9" spans="1:29" s="44" customFormat="1" ht="12.75" customHeight="1" x14ac:dyDescent="0.2">
      <c r="A9" s="461" t="s">
        <v>47</v>
      </c>
      <c r="B9" s="1113" t="s">
        <v>170</v>
      </c>
      <c r="C9" s="1114"/>
      <c r="D9" s="473">
        <f>+G9+J9+M9+P9+S9+V9+Y9</f>
        <v>3371</v>
      </c>
      <c r="E9" s="481">
        <f t="shared" si="1"/>
        <v>563</v>
      </c>
      <c r="F9" s="481">
        <f t="shared" si="2"/>
        <v>3934</v>
      </c>
      <c r="G9" s="482">
        <f>+'5.a. mell. Jogalkotás'!D14</f>
        <v>1180</v>
      </c>
      <c r="H9" s="481">
        <f>+'5.a. mell. Jogalkotás'!E14</f>
        <v>-244</v>
      </c>
      <c r="I9" s="483">
        <f>+'5.a. mell. Jogalkotás'!F14</f>
        <v>936</v>
      </c>
      <c r="J9" s="765">
        <f>+'5.b. mell. VF saját forrásból'!D14</f>
        <v>0</v>
      </c>
      <c r="K9" s="766">
        <f>+'5.b. mell. VF saját forrásból'!E14</f>
        <v>0</v>
      </c>
      <c r="L9" s="767">
        <f>+'5.b. mell. VF saját forrásból'!F14</f>
        <v>0</v>
      </c>
      <c r="M9" s="765">
        <f>+'5.c. mell. VF Eu forrásból'!D14</f>
        <v>103</v>
      </c>
      <c r="N9" s="766">
        <f>+'5.c. mell. VF Eu forrásból'!E14</f>
        <v>807</v>
      </c>
      <c r="O9" s="767">
        <f>+'5.c. mell. VF Eu forrásból'!F14</f>
        <v>910</v>
      </c>
      <c r="P9" s="768">
        <f>+'5.d. mell. Védőnő, EÜ'!D14</f>
        <v>320</v>
      </c>
      <c r="Q9" s="766">
        <f>+'5.d. mell. Védőnő, EÜ'!E14</f>
        <v>0</v>
      </c>
      <c r="R9" s="485">
        <f>+'5.d. mell. Védőnő, EÜ'!F14</f>
        <v>320</v>
      </c>
      <c r="S9" s="482"/>
      <c r="T9" s="481"/>
      <c r="U9" s="483"/>
      <c r="V9" s="482"/>
      <c r="W9" s="481"/>
      <c r="X9" s="483"/>
      <c r="Y9" s="484">
        <f>+'5.g. mell. Egyéb tev.'!D15</f>
        <v>1768</v>
      </c>
      <c r="Z9" s="481">
        <f>+'5.g. mell. Egyéb tev.'!E15</f>
        <v>0</v>
      </c>
      <c r="AA9" s="483">
        <f>+'5.g. mell. Egyéb tev.'!F15</f>
        <v>1768</v>
      </c>
      <c r="AB9" s="244"/>
      <c r="AC9" s="244"/>
    </row>
    <row r="10" spans="1:29" s="44" customFormat="1" ht="12.75" customHeight="1" x14ac:dyDescent="0.2">
      <c r="A10" s="461" t="s">
        <v>52</v>
      </c>
      <c r="B10" s="1113" t="s">
        <v>169</v>
      </c>
      <c r="C10" s="1114"/>
      <c r="D10" s="473">
        <f t="shared" ref="D10:D12" si="6">+G10+J10+M10+P10+S10+V10+Y10</f>
        <v>3520</v>
      </c>
      <c r="E10" s="481">
        <f t="shared" si="1"/>
        <v>-18</v>
      </c>
      <c r="F10" s="481">
        <f t="shared" si="2"/>
        <v>3502</v>
      </c>
      <c r="G10" s="482">
        <f>+'5.a. mell. Jogalkotás'!D17</f>
        <v>420</v>
      </c>
      <c r="H10" s="481">
        <f>+'5.a. mell. Jogalkotás'!E17</f>
        <v>-18</v>
      </c>
      <c r="I10" s="483">
        <f>+'5.a. mell. Jogalkotás'!F17</f>
        <v>402</v>
      </c>
      <c r="J10" s="765">
        <f>+'5.b. mell. VF saját forrásból'!D17</f>
        <v>0</v>
      </c>
      <c r="K10" s="766">
        <f>+'5.b. mell. VF saját forrásból'!E17</f>
        <v>0</v>
      </c>
      <c r="L10" s="766">
        <f>+'5.b. mell. VF saját forrásból'!F17</f>
        <v>0</v>
      </c>
      <c r="M10" s="765">
        <f>+'5.c. mell. VF Eu forrásból'!D17</f>
        <v>0</v>
      </c>
      <c r="N10" s="766">
        <f>+'5.c. mell. VF Eu forrásból'!E17</f>
        <v>0</v>
      </c>
      <c r="O10" s="767">
        <f>+'5.c. mell. VF Eu forrásból'!F17</f>
        <v>0</v>
      </c>
      <c r="P10" s="768">
        <f>+'5.d. mell. Védőnő, EÜ'!D17</f>
        <v>220</v>
      </c>
      <c r="Q10" s="766">
        <f>+'5.d. mell. Védőnő, EÜ'!E17</f>
        <v>0</v>
      </c>
      <c r="R10" s="485">
        <f>+'5.d. mell. Védőnő, EÜ'!F17</f>
        <v>220</v>
      </c>
      <c r="S10" s="482"/>
      <c r="T10" s="481"/>
      <c r="U10" s="483"/>
      <c r="V10" s="482"/>
      <c r="W10" s="481"/>
      <c r="X10" s="483"/>
      <c r="Y10" s="484">
        <f>+'5.g. mell. Egyéb tev.'!D18</f>
        <v>2880</v>
      </c>
      <c r="Z10" s="481">
        <f>+'5.g. mell. Egyéb tev.'!E18</f>
        <v>0</v>
      </c>
      <c r="AA10" s="483">
        <f>+'5.g. mell. Egyéb tev.'!F18</f>
        <v>2880</v>
      </c>
      <c r="AB10" s="244"/>
      <c r="AC10" s="244"/>
    </row>
    <row r="11" spans="1:29" s="44" customFormat="1" ht="12.75" customHeight="1" x14ac:dyDescent="0.2">
      <c r="A11" s="461" t="s">
        <v>66</v>
      </c>
      <c r="B11" s="1113" t="s">
        <v>156</v>
      </c>
      <c r="C11" s="1114"/>
      <c r="D11" s="473">
        <f t="shared" si="6"/>
        <v>151969</v>
      </c>
      <c r="E11" s="481">
        <f t="shared" si="1"/>
        <v>3514</v>
      </c>
      <c r="F11" s="481">
        <f t="shared" si="2"/>
        <v>155483</v>
      </c>
      <c r="G11" s="482">
        <f>+'5.a. mell. Jogalkotás'!D25</f>
        <v>6090</v>
      </c>
      <c r="H11" s="481">
        <f>+'5.a. mell. Jogalkotás'!E25</f>
        <v>0</v>
      </c>
      <c r="I11" s="483">
        <f>+'5.a. mell. Jogalkotás'!F25</f>
        <v>6090</v>
      </c>
      <c r="J11" s="765">
        <f>+'5.b. mell. VF saját forrásból'!D25</f>
        <v>4611</v>
      </c>
      <c r="K11" s="766">
        <f>+'5.b. mell. VF saját forrásból'!E25</f>
        <v>185</v>
      </c>
      <c r="L11" s="766">
        <f>+'5.b. mell. VF saját forrásból'!F25</f>
        <v>4796</v>
      </c>
      <c r="M11" s="765">
        <f>+'5.c. mell. VF Eu forrásból'!D25</f>
        <v>70478</v>
      </c>
      <c r="N11" s="766">
        <f>+'5.c. mell. VF Eu forrásból'!E25</f>
        <v>3653</v>
      </c>
      <c r="O11" s="767">
        <f>+'5.c. mell. VF Eu forrásból'!F25</f>
        <v>74131</v>
      </c>
      <c r="P11" s="768">
        <f>+'5.d. mell. Védőnő, EÜ'!D25</f>
        <v>997</v>
      </c>
      <c r="Q11" s="766">
        <f>+'5.d. mell. Védőnő, EÜ'!E25</f>
        <v>45</v>
      </c>
      <c r="R11" s="485">
        <f>+'5.d. mell. Védőnő, EÜ'!F25</f>
        <v>1042</v>
      </c>
      <c r="S11" s="482"/>
      <c r="T11" s="481"/>
      <c r="U11" s="483"/>
      <c r="V11" s="482"/>
      <c r="W11" s="481"/>
      <c r="X11" s="483"/>
      <c r="Y11" s="484">
        <f>+'5.g. mell. Egyéb tev.'!D26</f>
        <v>69793</v>
      </c>
      <c r="Z11" s="481">
        <f>+'5.g. mell. Egyéb tev.'!E26</f>
        <v>-369</v>
      </c>
      <c r="AA11" s="483">
        <f>+'5.g. mell. Egyéb tev.'!F26</f>
        <v>69424</v>
      </c>
      <c r="AB11" s="244"/>
      <c r="AC11" s="244"/>
    </row>
    <row r="12" spans="1:29" s="44" customFormat="1" ht="12.75" customHeight="1" x14ac:dyDescent="0.2">
      <c r="A12" s="461" t="s">
        <v>71</v>
      </c>
      <c r="B12" s="1113" t="s">
        <v>155</v>
      </c>
      <c r="C12" s="1114"/>
      <c r="D12" s="473">
        <f t="shared" si="6"/>
        <v>2440</v>
      </c>
      <c r="E12" s="481">
        <f t="shared" si="1"/>
        <v>3615</v>
      </c>
      <c r="F12" s="481">
        <f t="shared" si="2"/>
        <v>6055</v>
      </c>
      <c r="G12" s="482">
        <f>+'5.a. mell. Jogalkotás'!D28</f>
        <v>0</v>
      </c>
      <c r="H12" s="481">
        <f>+'5.a. mell. Jogalkotás'!E28</f>
        <v>0</v>
      </c>
      <c r="I12" s="483">
        <f>+'5.a. mell. Jogalkotás'!F28</f>
        <v>0</v>
      </c>
      <c r="J12" s="765">
        <f>+'5.b. mell. VF saját forrásból'!D28</f>
        <v>1651</v>
      </c>
      <c r="K12" s="766">
        <f>+'5.b. mell. VF saját forrásból'!E28</f>
        <v>0</v>
      </c>
      <c r="L12" s="767">
        <f>+'5.b. mell. VF saját forrásból'!F28</f>
        <v>1651</v>
      </c>
      <c r="M12" s="765">
        <f>+'5.c. mell. VF Eu forrásból'!D28</f>
        <v>607</v>
      </c>
      <c r="N12" s="766">
        <f>+'5.c. mell. VF Eu forrásból'!E28</f>
        <v>3465</v>
      </c>
      <c r="O12" s="767">
        <f>+'5.c. mell. VF Eu forrásból'!F28</f>
        <v>4072</v>
      </c>
      <c r="P12" s="768">
        <f>+'5.d. mell. Védőnő, EÜ'!D28</f>
        <v>160</v>
      </c>
      <c r="Q12" s="766">
        <f>+'5.d. mell. Védőnő, EÜ'!E28</f>
        <v>0</v>
      </c>
      <c r="R12" s="485">
        <f>+'5.d. mell. Védőnő, EÜ'!F28</f>
        <v>160</v>
      </c>
      <c r="S12" s="482"/>
      <c r="T12" s="481"/>
      <c r="U12" s="483"/>
      <c r="V12" s="482"/>
      <c r="W12" s="481"/>
      <c r="X12" s="483"/>
      <c r="Y12" s="484">
        <f>+'5.g. mell. Egyéb tev.'!D29</f>
        <v>22</v>
      </c>
      <c r="Z12" s="481">
        <f>+'5.g. mell. Egyéb tev.'!E29</f>
        <v>150</v>
      </c>
      <c r="AA12" s="483">
        <f>+'5.g. mell. Egyéb tev.'!F29</f>
        <v>172</v>
      </c>
      <c r="AB12" s="244"/>
      <c r="AC12" s="244"/>
    </row>
    <row r="13" spans="1:29" s="44" customFormat="1" ht="28.5" customHeight="1" x14ac:dyDescent="0.2">
      <c r="A13" s="461" t="s">
        <v>80</v>
      </c>
      <c r="B13" s="1113" t="s">
        <v>152</v>
      </c>
      <c r="C13" s="1114"/>
      <c r="D13" s="473">
        <f>+G13+J13+M13+P13+S13+V13+Y13</f>
        <v>349188</v>
      </c>
      <c r="E13" s="481">
        <f t="shared" si="1"/>
        <v>9173</v>
      </c>
      <c r="F13" s="481">
        <f t="shared" si="2"/>
        <v>358361</v>
      </c>
      <c r="G13" s="482">
        <f>+'5.a. mell. Jogalkotás'!D34</f>
        <v>570</v>
      </c>
      <c r="H13" s="481">
        <f>+'5.a. mell. Jogalkotás'!E34</f>
        <v>1470</v>
      </c>
      <c r="I13" s="483">
        <f>+'5.a. mell. Jogalkotás'!F34</f>
        <v>2040</v>
      </c>
      <c r="J13" s="765">
        <f>+'5.b. mell. VF saját forrásból'!D34</f>
        <v>123781</v>
      </c>
      <c r="K13" s="766">
        <f>+'5.b. mell. VF saját forrásból'!E34</f>
        <v>1873</v>
      </c>
      <c r="L13" s="767">
        <f>+'5.b. mell. VF saját forrásból'!F34</f>
        <v>125654</v>
      </c>
      <c r="M13" s="765">
        <f>+'5.c. mell. VF Eu forrásból'!D34</f>
        <v>197322</v>
      </c>
      <c r="N13" s="766">
        <f>+'5.c. mell. VF Eu forrásból'!E34</f>
        <v>2072</v>
      </c>
      <c r="O13" s="767">
        <f>+'5.c. mell. VF Eu forrásból'!F34</f>
        <v>199394</v>
      </c>
      <c r="P13" s="768">
        <f>+'5.d. mell. Védőnő, EÜ'!D34</f>
        <v>158</v>
      </c>
      <c r="Q13" s="766">
        <f>+'5.d. mell. Védőnő, EÜ'!E34</f>
        <v>0</v>
      </c>
      <c r="R13" s="485">
        <f>+'5.d. mell. Védőnő, EÜ'!F34</f>
        <v>158</v>
      </c>
      <c r="S13" s="482"/>
      <c r="T13" s="481"/>
      <c r="U13" s="483"/>
      <c r="V13" s="482"/>
      <c r="W13" s="481"/>
      <c r="X13" s="483"/>
      <c r="Y13" s="484">
        <f>+'5.g. mell. Egyéb tev.'!D35</f>
        <v>27357</v>
      </c>
      <c r="Z13" s="481">
        <f>+'5.g. mell. Egyéb tev.'!E35</f>
        <v>3758</v>
      </c>
      <c r="AA13" s="483">
        <f>+'5.g. mell. Egyéb tev.'!F35</f>
        <v>31115</v>
      </c>
      <c r="AB13" s="244"/>
      <c r="AC13" s="244"/>
    </row>
    <row r="14" spans="1:29" s="44" customFormat="1" ht="12.75" customHeight="1" x14ac:dyDescent="0.2">
      <c r="A14" s="462" t="s">
        <v>81</v>
      </c>
      <c r="B14" s="1103" t="s">
        <v>151</v>
      </c>
      <c r="C14" s="1104"/>
      <c r="D14" s="473">
        <f>+G14+J14+M14+P14+S14+V14+Y14</f>
        <v>510488</v>
      </c>
      <c r="E14" s="472">
        <f t="shared" si="1"/>
        <v>16847</v>
      </c>
      <c r="F14" s="472">
        <f t="shared" si="2"/>
        <v>527335</v>
      </c>
      <c r="G14" s="473">
        <f>SUM(G9:G13)</f>
        <v>8260</v>
      </c>
      <c r="H14" s="472">
        <f t="shared" ref="H14:I14" si="7">SUM(H9:H13)</f>
        <v>1208</v>
      </c>
      <c r="I14" s="474">
        <f t="shared" si="7"/>
        <v>9468</v>
      </c>
      <c r="J14" s="473">
        <f>+'5.b. mell. VF saját forrásból'!D35</f>
        <v>130043</v>
      </c>
      <c r="K14" s="472">
        <f>+'5.b. mell. VF saját forrásból'!E35</f>
        <v>2058</v>
      </c>
      <c r="L14" s="474">
        <f>+'5.b. mell. VF saját forrásból'!F35</f>
        <v>132101</v>
      </c>
      <c r="M14" s="473">
        <f>SUM(M9:M13)</f>
        <v>268510</v>
      </c>
      <c r="N14" s="472">
        <f t="shared" ref="N14:O14" si="8">SUM(N9:N13)</f>
        <v>9997</v>
      </c>
      <c r="O14" s="474">
        <f t="shared" si="8"/>
        <v>278507</v>
      </c>
      <c r="P14" s="475">
        <f>SUM(P9:P13)</f>
        <v>1855</v>
      </c>
      <c r="Q14" s="472">
        <f t="shared" ref="Q14:R14" si="9">SUM(Q9:Q13)</f>
        <v>45</v>
      </c>
      <c r="R14" s="476">
        <f t="shared" si="9"/>
        <v>1900</v>
      </c>
      <c r="S14" s="473"/>
      <c r="T14" s="472"/>
      <c r="U14" s="474"/>
      <c r="V14" s="473"/>
      <c r="W14" s="472"/>
      <c r="X14" s="474"/>
      <c r="Y14" s="475">
        <f>SUM(Y9:Y13)</f>
        <v>101820</v>
      </c>
      <c r="Z14" s="472">
        <f t="shared" ref="Z14:AA14" si="10">SUM(Z9:Z13)</f>
        <v>3539</v>
      </c>
      <c r="AA14" s="474">
        <f t="shared" si="10"/>
        <v>105359</v>
      </c>
      <c r="AB14" s="244"/>
      <c r="AC14" s="244"/>
    </row>
    <row r="15" spans="1:29" x14ac:dyDescent="0.25">
      <c r="A15" s="102"/>
      <c r="B15" s="465"/>
      <c r="C15" s="354"/>
      <c r="D15" s="477"/>
      <c r="E15" s="478"/>
      <c r="F15" s="478"/>
      <c r="G15" s="479"/>
      <c r="H15" s="478"/>
      <c r="I15" s="480"/>
      <c r="J15" s="479"/>
      <c r="K15" s="478"/>
      <c r="L15" s="480"/>
      <c r="M15" s="479"/>
      <c r="N15" s="478"/>
      <c r="O15" s="480"/>
      <c r="P15" s="478"/>
      <c r="Q15" s="478"/>
      <c r="R15" s="478"/>
      <c r="S15" s="479"/>
      <c r="T15" s="478"/>
      <c r="U15" s="480"/>
      <c r="V15" s="479"/>
      <c r="W15" s="478"/>
      <c r="X15" s="480"/>
      <c r="Y15" s="478"/>
      <c r="Z15" s="478"/>
      <c r="AA15" s="480"/>
    </row>
    <row r="16" spans="1:29" s="44" customFormat="1" ht="12.75" customHeight="1" x14ac:dyDescent="0.2">
      <c r="A16" s="462" t="s">
        <v>94</v>
      </c>
      <c r="B16" s="1105" t="s">
        <v>150</v>
      </c>
      <c r="C16" s="1106"/>
      <c r="D16" s="473">
        <f>+G16+J16+M16+P16+S16+V16+Y16</f>
        <v>23333</v>
      </c>
      <c r="E16" s="472">
        <f t="shared" si="1"/>
        <v>0</v>
      </c>
      <c r="F16" s="472">
        <f t="shared" si="2"/>
        <v>23333</v>
      </c>
      <c r="G16" s="473"/>
      <c r="H16" s="472"/>
      <c r="I16" s="474"/>
      <c r="J16" s="473"/>
      <c r="K16" s="472"/>
      <c r="L16" s="474"/>
      <c r="M16" s="473"/>
      <c r="N16" s="472"/>
      <c r="O16" s="474"/>
      <c r="P16" s="475"/>
      <c r="Q16" s="472"/>
      <c r="R16" s="476"/>
      <c r="S16" s="473">
        <f>+'5.e. mell. Szociális ellátások'!C7</f>
        <v>23333</v>
      </c>
      <c r="T16" s="472">
        <f>+'5.e. mell. Szociális ellátások'!D7</f>
        <v>0</v>
      </c>
      <c r="U16" s="474">
        <f>+'5.e. mell. Szociális ellátások'!E7</f>
        <v>23333</v>
      </c>
      <c r="V16" s="473"/>
      <c r="W16" s="472"/>
      <c r="X16" s="474"/>
      <c r="Y16" s="475"/>
      <c r="Z16" s="472"/>
      <c r="AA16" s="474"/>
      <c r="AB16" s="244"/>
      <c r="AC16" s="244"/>
    </row>
    <row r="17" spans="1:29" x14ac:dyDescent="0.25">
      <c r="A17" s="102"/>
      <c r="B17" s="1107"/>
      <c r="C17" s="1108"/>
      <c r="D17" s="477"/>
      <c r="E17" s="478"/>
      <c r="F17" s="478"/>
      <c r="G17" s="479"/>
      <c r="H17" s="478"/>
      <c r="I17" s="480"/>
      <c r="J17" s="479"/>
      <c r="K17" s="478"/>
      <c r="L17" s="480"/>
      <c r="M17" s="479"/>
      <c r="N17" s="478"/>
      <c r="O17" s="480"/>
      <c r="P17" s="478"/>
      <c r="Q17" s="478"/>
      <c r="R17" s="478"/>
      <c r="S17" s="479"/>
      <c r="T17" s="478"/>
      <c r="U17" s="480"/>
      <c r="V17" s="479"/>
      <c r="W17" s="478"/>
      <c r="X17" s="480"/>
      <c r="Y17" s="478"/>
      <c r="Z17" s="478"/>
      <c r="AA17" s="480"/>
    </row>
    <row r="18" spans="1:29" s="44" customFormat="1" ht="12.75" customHeight="1" x14ac:dyDescent="0.2">
      <c r="A18" s="462" t="s">
        <v>108</v>
      </c>
      <c r="B18" s="1103" t="s">
        <v>163</v>
      </c>
      <c r="C18" s="1104"/>
      <c r="D18" s="473">
        <f>+G18+J18+M18+P18+S18+V18+Y18</f>
        <v>573554</v>
      </c>
      <c r="E18" s="472">
        <f t="shared" si="1"/>
        <v>14830</v>
      </c>
      <c r="F18" s="472">
        <f t="shared" si="2"/>
        <v>588384</v>
      </c>
      <c r="G18" s="473"/>
      <c r="H18" s="472"/>
      <c r="I18" s="474"/>
      <c r="J18" s="473"/>
      <c r="K18" s="472"/>
      <c r="L18" s="474"/>
      <c r="M18" s="473"/>
      <c r="N18" s="472"/>
      <c r="O18" s="474"/>
      <c r="P18" s="475"/>
      <c r="Q18" s="472"/>
      <c r="R18" s="476"/>
      <c r="S18" s="473"/>
      <c r="T18" s="472"/>
      <c r="U18" s="474"/>
      <c r="V18" s="473">
        <f>+'5.f. mell. Átadott pénzeszk.'!L39</f>
        <v>207836</v>
      </c>
      <c r="W18" s="472">
        <f>+'5.f. mell. Átadott pénzeszk.'!M39</f>
        <v>11034</v>
      </c>
      <c r="X18" s="474">
        <f>+'5.f. mell. Átadott pénzeszk.'!N39</f>
        <v>218870</v>
      </c>
      <c r="Y18" s="475">
        <f>+'5.g. mell. Egyéb tev.'!D75</f>
        <v>365718</v>
      </c>
      <c r="Z18" s="472">
        <f>+'5.g. mell. Egyéb tev.'!E75</f>
        <v>3796</v>
      </c>
      <c r="AA18" s="474">
        <f>+'5.g. mell. Egyéb tev.'!F75</f>
        <v>369514</v>
      </c>
      <c r="AB18" s="244"/>
      <c r="AC18" s="244"/>
    </row>
    <row r="19" spans="1:29" s="44" customFormat="1" ht="12.75" customHeight="1" x14ac:dyDescent="0.2">
      <c r="A19" s="462"/>
      <c r="B19" s="1113" t="s">
        <v>559</v>
      </c>
      <c r="C19" s="1114"/>
      <c r="D19" s="473">
        <f>+G19+J19+M19+P19+S19+V19+Y19</f>
        <v>364685</v>
      </c>
      <c r="E19" s="472">
        <f t="shared" si="1"/>
        <v>3796</v>
      </c>
      <c r="F19" s="472">
        <f t="shared" si="2"/>
        <v>368481</v>
      </c>
      <c r="G19" s="473"/>
      <c r="H19" s="472"/>
      <c r="I19" s="474"/>
      <c r="J19" s="473"/>
      <c r="K19" s="472"/>
      <c r="L19" s="474"/>
      <c r="M19" s="473"/>
      <c r="N19" s="472"/>
      <c r="O19" s="474"/>
      <c r="P19" s="475"/>
      <c r="Q19" s="472"/>
      <c r="R19" s="476"/>
      <c r="S19" s="473"/>
      <c r="T19" s="472"/>
      <c r="U19" s="474"/>
      <c r="V19" s="473"/>
      <c r="W19" s="472"/>
      <c r="X19" s="474"/>
      <c r="Y19" s="475">
        <f>+'5.g. mell. Egyéb tev.'!D63</f>
        <v>364685</v>
      </c>
      <c r="Z19" s="472">
        <f>+'5.g. mell. Egyéb tev.'!E63</f>
        <v>3796</v>
      </c>
      <c r="AA19" s="474">
        <f>+'5.g. mell. Egyéb tev.'!F63</f>
        <v>368481</v>
      </c>
      <c r="AB19" s="244"/>
      <c r="AC19" s="244"/>
    </row>
    <row r="20" spans="1:29" x14ac:dyDescent="0.25">
      <c r="A20" s="102"/>
      <c r="B20" s="465"/>
      <c r="C20" s="354"/>
      <c r="D20" s="477"/>
      <c r="E20" s="478"/>
      <c r="F20" s="478"/>
      <c r="G20" s="479"/>
      <c r="H20" s="478"/>
      <c r="I20" s="480"/>
      <c r="J20" s="479"/>
      <c r="K20" s="478"/>
      <c r="L20" s="480"/>
      <c r="M20" s="479"/>
      <c r="N20" s="478"/>
      <c r="O20" s="480"/>
      <c r="P20" s="478"/>
      <c r="Q20" s="478"/>
      <c r="R20" s="478"/>
      <c r="S20" s="479"/>
      <c r="T20" s="478"/>
      <c r="U20" s="480"/>
      <c r="V20" s="479"/>
      <c r="W20" s="478"/>
      <c r="X20" s="480"/>
      <c r="Y20" s="478"/>
      <c r="Z20" s="478"/>
      <c r="AA20" s="480"/>
    </row>
    <row r="21" spans="1:29" s="44" customFormat="1" ht="12.75" customHeight="1" x14ac:dyDescent="0.2">
      <c r="A21" s="462" t="s">
        <v>123</v>
      </c>
      <c r="B21" s="1103" t="s">
        <v>161</v>
      </c>
      <c r="C21" s="1104"/>
      <c r="D21" s="473">
        <f>+G21+J21+M21+P21+S21+V21+Y21</f>
        <v>1456102</v>
      </c>
      <c r="E21" s="472">
        <f t="shared" si="1"/>
        <v>19390</v>
      </c>
      <c r="F21" s="472">
        <f t="shared" si="2"/>
        <v>1475492</v>
      </c>
      <c r="G21" s="473"/>
      <c r="H21" s="472"/>
      <c r="I21" s="474"/>
      <c r="J21" s="473">
        <f>+'5.b. mell. VF saját forrásból'!D53</f>
        <v>517701</v>
      </c>
      <c r="K21" s="472">
        <f>+'5.b. mell. VF saját forrásból'!E53</f>
        <v>11028</v>
      </c>
      <c r="L21" s="474">
        <f>+'5.b. mell. VF saját forrásból'!F53</f>
        <v>528729</v>
      </c>
      <c r="M21" s="473">
        <f>+'5.c. mell. VF Eu forrásból'!D52</f>
        <v>938241</v>
      </c>
      <c r="N21" s="472">
        <f>+'5.c. mell. VF Eu forrásból'!E52</f>
        <v>8362</v>
      </c>
      <c r="O21" s="474">
        <f>+'5.c. mell. VF Eu forrásból'!F52</f>
        <v>946603</v>
      </c>
      <c r="P21" s="475">
        <f>+'5.d. mell. Védőnő, EÜ'!D45</f>
        <v>160</v>
      </c>
      <c r="Q21" s="472">
        <f>+'5.d. mell. Védőnő, EÜ'!E45</f>
        <v>0</v>
      </c>
      <c r="R21" s="476">
        <f>+'5.d. mell. Védőnő, EÜ'!F45</f>
        <v>160</v>
      </c>
      <c r="S21" s="473"/>
      <c r="T21" s="472"/>
      <c r="U21" s="474"/>
      <c r="V21" s="473"/>
      <c r="W21" s="472"/>
      <c r="X21" s="474"/>
      <c r="Y21" s="475"/>
      <c r="Z21" s="472"/>
      <c r="AA21" s="474"/>
      <c r="AB21" s="244"/>
      <c r="AC21" s="244"/>
    </row>
    <row r="22" spans="1:29" x14ac:dyDescent="0.25">
      <c r="A22" s="102"/>
      <c r="B22" s="465"/>
      <c r="C22" s="354"/>
      <c r="D22" s="477"/>
      <c r="E22" s="478"/>
      <c r="F22" s="478"/>
      <c r="G22" s="479"/>
      <c r="H22" s="478"/>
      <c r="I22" s="480"/>
      <c r="J22" s="479"/>
      <c r="K22" s="478"/>
      <c r="L22" s="480"/>
      <c r="M22" s="479"/>
      <c r="N22" s="478"/>
      <c r="O22" s="480"/>
      <c r="P22" s="478"/>
      <c r="Q22" s="478"/>
      <c r="R22" s="478"/>
      <c r="S22" s="479"/>
      <c r="T22" s="478"/>
      <c r="U22" s="480"/>
      <c r="V22" s="479"/>
      <c r="W22" s="478"/>
      <c r="X22" s="480"/>
      <c r="Y22" s="478"/>
      <c r="Z22" s="478"/>
      <c r="AA22" s="480"/>
    </row>
    <row r="23" spans="1:29" s="44" customFormat="1" ht="12.75" customHeight="1" x14ac:dyDescent="0.2">
      <c r="A23" s="462" t="s">
        <v>132</v>
      </c>
      <c r="B23" s="1103" t="s">
        <v>160</v>
      </c>
      <c r="C23" s="1104"/>
      <c r="D23" s="473">
        <f>+G23+J23+M23+P23+S23+V23+Y23</f>
        <v>109327</v>
      </c>
      <c r="E23" s="472">
        <f t="shared" si="1"/>
        <v>17869</v>
      </c>
      <c r="F23" s="472">
        <f t="shared" si="2"/>
        <v>127196</v>
      </c>
      <c r="G23" s="473"/>
      <c r="H23" s="472"/>
      <c r="I23" s="474"/>
      <c r="J23" s="473">
        <f>+'5.b. mell. VF saját forrásból'!D59</f>
        <v>84582</v>
      </c>
      <c r="K23" s="472">
        <f>+'5.b. mell. VF saját forrásból'!E59</f>
        <v>0</v>
      </c>
      <c r="L23" s="474">
        <f>+'5.b. mell. VF saját forrásból'!F59</f>
        <v>84582</v>
      </c>
      <c r="M23" s="473">
        <f>+'5.c. mell. VF Eu forrásból'!D58</f>
        <v>24745</v>
      </c>
      <c r="N23" s="472">
        <f>+'5.c. mell. VF Eu forrásból'!E58</f>
        <v>17869</v>
      </c>
      <c r="O23" s="474">
        <f>+'5.c. mell. VF Eu forrásból'!F58</f>
        <v>42614</v>
      </c>
      <c r="P23" s="475"/>
      <c r="Q23" s="472"/>
      <c r="R23" s="476"/>
      <c r="S23" s="473"/>
      <c r="T23" s="472"/>
      <c r="U23" s="474"/>
      <c r="V23" s="473"/>
      <c r="W23" s="472"/>
      <c r="X23" s="474"/>
      <c r="Y23" s="475"/>
      <c r="Z23" s="472"/>
      <c r="AA23" s="474"/>
      <c r="AB23" s="244"/>
      <c r="AC23" s="244"/>
    </row>
    <row r="24" spans="1:29" x14ac:dyDescent="0.25">
      <c r="A24" s="102"/>
      <c r="B24" s="465"/>
      <c r="C24" s="354"/>
      <c r="D24" s="477"/>
      <c r="E24" s="478"/>
      <c r="F24" s="478"/>
      <c r="G24" s="479"/>
      <c r="H24" s="478"/>
      <c r="I24" s="480"/>
      <c r="J24" s="479"/>
      <c r="K24" s="478"/>
      <c r="L24" s="480"/>
      <c r="M24" s="479"/>
      <c r="N24" s="478"/>
      <c r="O24" s="480"/>
      <c r="P24" s="478"/>
      <c r="Q24" s="478"/>
      <c r="R24" s="478"/>
      <c r="S24" s="479"/>
      <c r="T24" s="478"/>
      <c r="U24" s="480"/>
      <c r="V24" s="479"/>
      <c r="W24" s="478"/>
      <c r="X24" s="480"/>
      <c r="Y24" s="478"/>
      <c r="Z24" s="478"/>
      <c r="AA24" s="480"/>
    </row>
    <row r="25" spans="1:29" s="44" customFormat="1" ht="12.75" customHeight="1" x14ac:dyDescent="0.2">
      <c r="A25" s="462" t="s">
        <v>134</v>
      </c>
      <c r="B25" s="1103" t="s">
        <v>158</v>
      </c>
      <c r="C25" s="1104"/>
      <c r="D25" s="473">
        <f>+G25+J25+M25+P25+S25+V25+Y25</f>
        <v>0</v>
      </c>
      <c r="E25" s="472">
        <f t="shared" si="1"/>
        <v>0</v>
      </c>
      <c r="F25" s="472">
        <f t="shared" si="2"/>
        <v>0</v>
      </c>
      <c r="G25" s="473"/>
      <c r="H25" s="472"/>
      <c r="I25" s="474"/>
      <c r="J25" s="473"/>
      <c r="K25" s="472"/>
      <c r="L25" s="474"/>
      <c r="M25" s="473"/>
      <c r="N25" s="472"/>
      <c r="O25" s="474"/>
      <c r="P25" s="475"/>
      <c r="Q25" s="472"/>
      <c r="R25" s="476"/>
      <c r="S25" s="473"/>
      <c r="T25" s="472"/>
      <c r="U25" s="474"/>
      <c r="V25" s="473"/>
      <c r="W25" s="472"/>
      <c r="X25" s="474"/>
      <c r="Y25" s="475"/>
      <c r="Z25" s="472"/>
      <c r="AA25" s="474"/>
      <c r="AB25" s="244"/>
      <c r="AC25" s="244"/>
    </row>
    <row r="26" spans="1:29" x14ac:dyDescent="0.25">
      <c r="A26" s="102"/>
      <c r="B26" s="465"/>
      <c r="C26" s="354"/>
      <c r="D26" s="477"/>
      <c r="E26" s="478"/>
      <c r="F26" s="478"/>
      <c r="G26" s="479"/>
      <c r="H26" s="478"/>
      <c r="I26" s="480"/>
      <c r="J26" s="479"/>
      <c r="K26" s="478"/>
      <c r="L26" s="480"/>
      <c r="M26" s="479"/>
      <c r="N26" s="478"/>
      <c r="O26" s="480"/>
      <c r="P26" s="478"/>
      <c r="Q26" s="478"/>
      <c r="R26" s="478"/>
      <c r="S26" s="479"/>
      <c r="T26" s="478"/>
      <c r="U26" s="480"/>
      <c r="V26" s="479"/>
      <c r="W26" s="478"/>
      <c r="X26" s="480"/>
      <c r="Y26" s="478"/>
      <c r="Z26" s="478"/>
      <c r="AA26" s="480"/>
    </row>
    <row r="27" spans="1:29" s="44" customFormat="1" ht="12.75" customHeight="1" x14ac:dyDescent="0.2">
      <c r="A27" s="463" t="s">
        <v>135</v>
      </c>
      <c r="B27" s="1103" t="s">
        <v>157</v>
      </c>
      <c r="C27" s="1104"/>
      <c r="D27" s="473">
        <f>+G27+J27+M27+P27+S27+V27+Y27</f>
        <v>2720210</v>
      </c>
      <c r="E27" s="472">
        <f t="shared" si="1"/>
        <v>81437</v>
      </c>
      <c r="F27" s="472">
        <f t="shared" si="2"/>
        <v>2801647</v>
      </c>
      <c r="G27" s="473">
        <f>+G25+G23+G21+G18+G16+G14+G7+G5</f>
        <v>29861</v>
      </c>
      <c r="H27" s="472">
        <f t="shared" ref="H27:AA27" si="11">+H25+H23+H21+H18+H16+H14+H7+H5</f>
        <v>1472</v>
      </c>
      <c r="I27" s="474">
        <f t="shared" si="11"/>
        <v>31333</v>
      </c>
      <c r="J27" s="473">
        <f t="shared" si="11"/>
        <v>732919</v>
      </c>
      <c r="K27" s="472">
        <f t="shared" si="11"/>
        <v>13554</v>
      </c>
      <c r="L27" s="474">
        <f t="shared" si="11"/>
        <v>746473</v>
      </c>
      <c r="M27" s="473">
        <f t="shared" si="11"/>
        <v>1232879</v>
      </c>
      <c r="N27" s="472">
        <f t="shared" si="11"/>
        <v>48298</v>
      </c>
      <c r="O27" s="474">
        <f t="shared" si="11"/>
        <v>1281177</v>
      </c>
      <c r="P27" s="475">
        <f t="shared" si="11"/>
        <v>16749</v>
      </c>
      <c r="Q27" s="472">
        <f t="shared" si="11"/>
        <v>45</v>
      </c>
      <c r="R27" s="476">
        <f t="shared" si="11"/>
        <v>16794</v>
      </c>
      <c r="S27" s="473">
        <f t="shared" si="11"/>
        <v>23333</v>
      </c>
      <c r="T27" s="472">
        <f t="shared" si="11"/>
        <v>0</v>
      </c>
      <c r="U27" s="474">
        <f t="shared" si="11"/>
        <v>23333</v>
      </c>
      <c r="V27" s="473">
        <f t="shared" si="11"/>
        <v>207836</v>
      </c>
      <c r="W27" s="472">
        <f t="shared" si="11"/>
        <v>11034</v>
      </c>
      <c r="X27" s="474">
        <f t="shared" si="11"/>
        <v>218870</v>
      </c>
      <c r="Y27" s="475">
        <f t="shared" si="11"/>
        <v>476633</v>
      </c>
      <c r="Z27" s="472">
        <f t="shared" si="11"/>
        <v>7034</v>
      </c>
      <c r="AA27" s="472">
        <f t="shared" si="11"/>
        <v>483667</v>
      </c>
      <c r="AB27" s="244"/>
      <c r="AC27" s="244"/>
    </row>
    <row r="28" spans="1:29" ht="9.75" customHeight="1" x14ac:dyDescent="0.25">
      <c r="A28" s="103"/>
      <c r="B28" s="466"/>
      <c r="C28" s="356"/>
      <c r="D28" s="477"/>
      <c r="E28" s="478"/>
      <c r="F28" s="478"/>
      <c r="G28" s="479"/>
      <c r="H28" s="478"/>
      <c r="I28" s="480"/>
      <c r="J28" s="479"/>
      <c r="K28" s="478"/>
      <c r="L28" s="480"/>
      <c r="M28" s="479"/>
      <c r="N28" s="478"/>
      <c r="O28" s="480"/>
      <c r="P28" s="478"/>
      <c r="Q28" s="478"/>
      <c r="R28" s="478"/>
      <c r="S28" s="479"/>
      <c r="T28" s="478"/>
      <c r="U28" s="480"/>
      <c r="V28" s="479"/>
      <c r="W28" s="478"/>
      <c r="X28" s="480"/>
      <c r="Y28" s="478"/>
      <c r="Z28" s="478"/>
      <c r="AA28" s="480"/>
    </row>
    <row r="29" spans="1:29" s="44" customFormat="1" ht="13.5" thickBot="1" x14ac:dyDescent="0.25">
      <c r="A29" s="464" t="s">
        <v>271</v>
      </c>
      <c r="B29" s="1109" t="s">
        <v>277</v>
      </c>
      <c r="C29" s="1110"/>
      <c r="D29" s="486">
        <f>+G29+J29+M29+P29+S29+V29+Y29</f>
        <v>1319230</v>
      </c>
      <c r="E29" s="487">
        <f t="shared" si="1"/>
        <v>5504</v>
      </c>
      <c r="F29" s="487">
        <f t="shared" si="2"/>
        <v>1324734</v>
      </c>
      <c r="G29" s="488"/>
      <c r="H29" s="489"/>
      <c r="I29" s="490"/>
      <c r="J29" s="486">
        <f>+'5.b. mell. VF saját forrásból'!D68</f>
        <v>2268</v>
      </c>
      <c r="K29" s="486">
        <f>+'5.b. mell. VF saját forrásból'!E68</f>
        <v>0</v>
      </c>
      <c r="L29" s="486">
        <f>+'5.b. mell. VF saját forrásból'!F68</f>
        <v>2268</v>
      </c>
      <c r="M29" s="486"/>
      <c r="N29" s="487"/>
      <c r="O29" s="490"/>
      <c r="P29" s="491"/>
      <c r="Q29" s="487"/>
      <c r="R29" s="492"/>
      <c r="S29" s="486"/>
      <c r="T29" s="487"/>
      <c r="U29" s="490"/>
      <c r="V29" s="486"/>
      <c r="W29" s="487"/>
      <c r="X29" s="490"/>
      <c r="Y29" s="491">
        <f>+'5.g. mell. Egyéb tev.'!AE107</f>
        <v>1316962</v>
      </c>
      <c r="Z29" s="487">
        <f>+'5.g. mell. Egyéb tev.'!AF107</f>
        <v>5504</v>
      </c>
      <c r="AA29" s="490">
        <f>+'5.g. mell. Egyéb tev.'!AG107</f>
        <v>1322466</v>
      </c>
      <c r="AB29" s="244"/>
      <c r="AC29" s="244"/>
    </row>
    <row r="30" spans="1:29" s="44" customFormat="1" ht="18.75" customHeight="1" thickBot="1" x14ac:dyDescent="0.25">
      <c r="A30" s="1100" t="s">
        <v>587</v>
      </c>
      <c r="B30" s="1101"/>
      <c r="C30" s="1102"/>
      <c r="D30" s="493">
        <f t="shared" ref="D30:AA30" si="12">+D29+D27</f>
        <v>4039440</v>
      </c>
      <c r="E30" s="493">
        <f t="shared" si="12"/>
        <v>86941</v>
      </c>
      <c r="F30" s="493">
        <f t="shared" si="12"/>
        <v>4126381</v>
      </c>
      <c r="G30" s="493">
        <f t="shared" si="12"/>
        <v>29861</v>
      </c>
      <c r="H30" s="493">
        <f t="shared" si="12"/>
        <v>1472</v>
      </c>
      <c r="I30" s="493">
        <f t="shared" si="12"/>
        <v>31333</v>
      </c>
      <c r="J30" s="493">
        <f t="shared" si="12"/>
        <v>735187</v>
      </c>
      <c r="K30" s="493">
        <f t="shared" si="12"/>
        <v>13554</v>
      </c>
      <c r="L30" s="493">
        <f t="shared" si="12"/>
        <v>748741</v>
      </c>
      <c r="M30" s="493">
        <f t="shared" si="12"/>
        <v>1232879</v>
      </c>
      <c r="N30" s="493">
        <f t="shared" si="12"/>
        <v>48298</v>
      </c>
      <c r="O30" s="493">
        <f t="shared" si="12"/>
        <v>1281177</v>
      </c>
      <c r="P30" s="493">
        <f t="shared" si="12"/>
        <v>16749</v>
      </c>
      <c r="Q30" s="493">
        <f t="shared" si="12"/>
        <v>45</v>
      </c>
      <c r="R30" s="493">
        <f t="shared" si="12"/>
        <v>16794</v>
      </c>
      <c r="S30" s="493">
        <f t="shared" si="12"/>
        <v>23333</v>
      </c>
      <c r="T30" s="493">
        <f t="shared" si="12"/>
        <v>0</v>
      </c>
      <c r="U30" s="493">
        <f t="shared" si="12"/>
        <v>23333</v>
      </c>
      <c r="V30" s="493">
        <f t="shared" si="12"/>
        <v>207836</v>
      </c>
      <c r="W30" s="493">
        <f t="shared" si="12"/>
        <v>11034</v>
      </c>
      <c r="X30" s="493">
        <f t="shared" si="12"/>
        <v>218870</v>
      </c>
      <c r="Y30" s="493">
        <f t="shared" si="12"/>
        <v>1793595</v>
      </c>
      <c r="Z30" s="493">
        <f t="shared" si="12"/>
        <v>12538</v>
      </c>
      <c r="AA30" s="493">
        <f t="shared" si="12"/>
        <v>1806133</v>
      </c>
      <c r="AB30" s="244"/>
      <c r="AC30" s="244"/>
    </row>
  </sheetData>
  <mergeCells count="30">
    <mergeCell ref="B3:C3"/>
    <mergeCell ref="B5:C5"/>
    <mergeCell ref="B4:C4"/>
    <mergeCell ref="B23:C23"/>
    <mergeCell ref="B10:C10"/>
    <mergeCell ref="B9:C9"/>
    <mergeCell ref="B21:C21"/>
    <mergeCell ref="B7:C7"/>
    <mergeCell ref="B19:C19"/>
    <mergeCell ref="B11:C11"/>
    <mergeCell ref="B12:C12"/>
    <mergeCell ref="B13:C13"/>
    <mergeCell ref="A30:C30"/>
    <mergeCell ref="B14:C14"/>
    <mergeCell ref="B18:C18"/>
    <mergeCell ref="B16:C16"/>
    <mergeCell ref="B17:C17"/>
    <mergeCell ref="B25:C25"/>
    <mergeCell ref="B29:C29"/>
    <mergeCell ref="B27:C27"/>
    <mergeCell ref="A1:A2"/>
    <mergeCell ref="B1:C2"/>
    <mergeCell ref="D1:F1"/>
    <mergeCell ref="V1:X1"/>
    <mergeCell ref="Y1:AA1"/>
    <mergeCell ref="P1:R1"/>
    <mergeCell ref="S1:U1"/>
    <mergeCell ref="J1:L1"/>
    <mergeCell ref="M1:O1"/>
    <mergeCell ref="G1:I1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80" orientation="landscape" r:id="rId1"/>
  <headerFooter>
    <oddHeader>&amp;C&amp;"Times New Roman,Félkövér"&amp;12Martonvásár Város Önkormányzatának kiadásai 2017.
&amp;"Times New Roman,Dőlt"(intézmények nélkül)&amp;R&amp;"Times New Roman,Félkövér"&amp;12 5.melléklet</oddHead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30</vt:i4>
      </vt:variant>
      <vt:variant>
        <vt:lpstr>Névvel ellátott tartományok</vt:lpstr>
      </vt:variant>
      <vt:variant>
        <vt:i4>13</vt:i4>
      </vt:variant>
    </vt:vector>
  </HeadingPairs>
  <TitlesOfParts>
    <vt:vector size="43" baseType="lpstr">
      <vt:lpstr>Munka1</vt:lpstr>
      <vt:lpstr>1.mell. Mérleg</vt:lpstr>
      <vt:lpstr>2.mell. Mérleg</vt:lpstr>
      <vt:lpstr>3.mell. Bevétel</vt:lpstr>
      <vt:lpstr>3.a átvett pe.</vt:lpstr>
      <vt:lpstr>3.b mell. Működési bevételek</vt:lpstr>
      <vt:lpstr>3.c. mell. Közhatalmi bevételek</vt:lpstr>
      <vt:lpstr>4.mell. Normatíva</vt:lpstr>
      <vt:lpstr>5. mell. Önk.össz kiadás</vt:lpstr>
      <vt:lpstr>5.a. mell. Jogalkotás</vt:lpstr>
      <vt:lpstr>5.b. mell. VF saját forrásból</vt:lpstr>
      <vt:lpstr>5.c. mell. VF Eu forrásból</vt:lpstr>
      <vt:lpstr>5.d. mell. Védőnő, EÜ</vt:lpstr>
      <vt:lpstr>5.e. mell. Szociális ellátások</vt:lpstr>
      <vt:lpstr>5.f. mell. Átadott pénzeszk.</vt:lpstr>
      <vt:lpstr>5.g. mell. Egyéb tev.</vt:lpstr>
      <vt:lpstr>6.mell Int.összesen</vt:lpstr>
      <vt:lpstr>6.a. mell. PH</vt:lpstr>
      <vt:lpstr>6.b. mell. Óvoda</vt:lpstr>
      <vt:lpstr>6.c. mell. BBKP</vt:lpstr>
      <vt:lpstr>7.mell. Beruházás</vt:lpstr>
      <vt:lpstr>8.mell. Felújítás</vt:lpstr>
      <vt:lpstr>9.mell. Létszámok</vt:lpstr>
      <vt:lpstr>10. mell. Több éves kihat</vt:lpstr>
      <vt:lpstr>11.mell. Ei felhaszn.</vt:lpstr>
      <vt:lpstr>12.a Tételes mód ÖNK</vt:lpstr>
      <vt:lpstr>12.b Tételes mód PH</vt:lpstr>
      <vt:lpstr>12.c Tételes mód Óvoda</vt:lpstr>
      <vt:lpstr>12.d Tételes mód BBK</vt:lpstr>
      <vt:lpstr>12.e Konszolidált módosítás</vt:lpstr>
      <vt:lpstr>'12.a Tételes mód ÖNK'!Nyomtatási_cím</vt:lpstr>
      <vt:lpstr>'12.e Konszolidált módosítás'!Nyomtatási_cím</vt:lpstr>
      <vt:lpstr>'4.mell. Normatíva'!Nyomtatási_cím</vt:lpstr>
      <vt:lpstr>'5. mell. Önk.össz kiadás'!Nyomtatási_cím</vt:lpstr>
      <vt:lpstr>'5.a. mell. Jogalkotás'!Nyomtatási_cím</vt:lpstr>
      <vt:lpstr>'5.b. mell. VF saját forrásból'!Nyomtatási_cím</vt:lpstr>
      <vt:lpstr>'5.c. mell. VF Eu forrásból'!Nyomtatási_cím</vt:lpstr>
      <vt:lpstr>'5.d. mell. Védőnő, EÜ'!Nyomtatási_cím</vt:lpstr>
      <vt:lpstr>'5.g. mell. Egyéb tev.'!Nyomtatási_cím</vt:lpstr>
      <vt:lpstr>'6.a. mell. PH'!Nyomtatási_cím</vt:lpstr>
      <vt:lpstr>'6.b. mell. Óvoda'!Nyomtatási_cím</vt:lpstr>
      <vt:lpstr>'6.c. mell. BBKP'!Nyomtatási_cím</vt:lpstr>
      <vt:lpstr>'12.e Konszolidált módosítás'!Nyomtatási_terület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Felhasználó</cp:lastModifiedBy>
  <cp:lastPrinted>2018-08-21T12:44:41Z</cp:lastPrinted>
  <dcterms:created xsi:type="dcterms:W3CDTF">2014-01-29T08:39:20Z</dcterms:created>
  <dcterms:modified xsi:type="dcterms:W3CDTF">2018-08-29T13:47:08Z</dcterms:modified>
</cp:coreProperties>
</file>