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8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5a" sheetId="7" r:id="rId7"/>
    <sheet name="táj.1." sheetId="8" r:id="rId8"/>
    <sheet name="táj.2." sheetId="9" r:id="rId9"/>
  </sheets>
  <definedNames>
    <definedName name="_xlnm.Print_Titles" localSheetId="4">'4a'!$1:$2</definedName>
    <definedName name="_xlnm.Print_Titles" localSheetId="6">'5a'!$1:$2</definedName>
    <definedName name="_xlnm.Print_Titles" localSheetId="7">'táj.1.'!$2:$2</definedName>
    <definedName name="_xlnm.Print_Titles" localSheetId="8">'táj.2.'!$1:$2</definedName>
    <definedName name="_xlnm.Print_Area" localSheetId="4">'4a'!$A$1:$O$124</definedName>
    <definedName name="_xlnm.Print_Area" localSheetId="6">'5a'!$A$1:$Q$677</definedName>
    <definedName name="_xlnm.Print_Area" localSheetId="7">'táj.1.'!$A$1:$O$124</definedName>
    <definedName name="_xlnm.Print_Area" localSheetId="8">'táj.2.'!$A$1:$R$677</definedName>
  </definedNames>
  <calcPr fullCalcOnLoad="1"/>
</workbook>
</file>

<file path=xl/sharedStrings.xml><?xml version="1.0" encoding="utf-8"?>
<sst xmlns="http://schemas.openxmlformats.org/spreadsheetml/2006/main" count="2457" uniqueCount="1106">
  <si>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</si>
  <si>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</si>
  <si>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</si>
  <si>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</si>
  <si>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</si>
  <si>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</si>
  <si>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</si>
  <si>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</si>
  <si>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</si>
  <si>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</si>
  <si>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</si>
  <si>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</si>
  <si>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</si>
  <si>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</si>
  <si>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</si>
  <si>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</si>
  <si>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</si>
  <si>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</si>
  <si>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</si>
  <si>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</si>
  <si>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</si>
  <si>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</si>
  <si>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</si>
  <si>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</si>
  <si>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</si>
  <si>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</si>
  <si>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</si>
  <si>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</si>
  <si>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</si>
  <si>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</si>
  <si>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</si>
  <si>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</si>
  <si>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</si>
  <si>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</si>
  <si>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</si>
  <si>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</si>
  <si>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</si>
  <si>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</si>
  <si>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</si>
  <si>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</si>
  <si>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</si>
  <si>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</si>
  <si>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</si>
  <si>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</si>
  <si>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</si>
  <si>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</si>
  <si>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</si>
  <si>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</si>
  <si>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</si>
  <si>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</si>
  <si>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</si>
  <si>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</si>
  <si>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</si>
  <si>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</si>
  <si>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</si>
  <si>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</si>
  <si>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</si>
  <si>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</si>
  <si>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</si>
  <si>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</si>
  <si>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</si>
  <si>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</si>
  <si>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</si>
  <si>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</si>
  <si>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</si>
  <si>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</si>
  <si>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</si>
  <si>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</si>
  <si>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</si>
  <si>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</si>
  <si>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</si>
  <si>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</si>
  <si>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</si>
  <si>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</si>
  <si>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</si>
  <si>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</si>
  <si>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</si>
  <si>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</si>
  <si>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</si>
  <si>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</si>
  <si>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</si>
  <si>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biz.</t>
  </si>
  <si>
    <t>kgy,biz</t>
  </si>
  <si>
    <t xml:space="preserve"> - "Pannon -Tudás-Park" TÁMOP 4.2.1.C-14/1/Konv-2015-0006 projekt</t>
  </si>
  <si>
    <t xml:space="preserve"> - Városi Fedett uszoda műk.  támogatása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</si>
  <si>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</si>
  <si>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</si>
  <si>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</si>
  <si>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</si>
  <si>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</si>
  <si>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</si>
  <si>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-Ivóvízminőség javítása KEOP pályázathoz önrész (KEOP-1.3.0/09-11-2013-0013 )</t>
  </si>
  <si>
    <t xml:space="preserve"> - 2015. évi Vis maior támogatás</t>
  </si>
  <si>
    <t>045170 Parkoló, garázs üzemeltetése, fenntartása</t>
  </si>
  <si>
    <t xml:space="preserve"> - parkolási közszolgáltatási tevékenység ellátásával kapcsolatos bevétel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</si>
  <si>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</si>
  <si>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</si>
  <si>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</si>
  <si>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</si>
  <si>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</si>
  <si>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</si>
  <si>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Labdarúgó Stadion fejlesztéséhez költségvetési támogatás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</si>
  <si>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</si>
  <si>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</si>
  <si>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</si>
  <si>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</si>
  <si>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</si>
  <si>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</si>
  <si>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</si>
  <si>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</si>
  <si>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</si>
  <si>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</si>
  <si>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</si>
  <si>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</si>
  <si>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</si>
  <si>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</si>
  <si>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</si>
  <si>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</si>
  <si>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</si>
  <si>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</si>
  <si>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</si>
  <si>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</si>
  <si>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</si>
  <si>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</si>
  <si>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</si>
  <si>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</si>
  <si>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</si>
  <si>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</si>
  <si>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</si>
  <si>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</si>
  <si>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</si>
  <si>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</si>
  <si>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</si>
  <si>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</si>
  <si>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</si>
  <si>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</si>
  <si>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</si>
  <si>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 xml:space="preserve"> - új helyi adó bevétele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</si>
  <si>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</si>
  <si>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</si>
  <si>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</si>
  <si>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</si>
  <si>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</si>
  <si>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</si>
  <si>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</si>
  <si>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</si>
  <si>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</si>
  <si>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</si>
  <si>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</si>
  <si>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</si>
  <si>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</si>
  <si>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</si>
  <si>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</si>
  <si>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</si>
  <si>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</si>
  <si>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</si>
  <si>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</si>
  <si>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</si>
  <si>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</si>
  <si>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</si>
  <si>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</si>
  <si>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</si>
  <si>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</si>
  <si>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</si>
  <si>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</si>
  <si>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</si>
  <si>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</si>
  <si>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</si>
  <si>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</si>
  <si>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</si>
  <si>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</si>
  <si>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</si>
  <si>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</si>
  <si>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</si>
  <si>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</si>
  <si>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</si>
  <si>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</si>
  <si>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</si>
  <si>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</si>
  <si>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</si>
  <si>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</si>
  <si>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</si>
  <si>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</si>
  <si>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</si>
  <si>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</si>
  <si>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</si>
  <si>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</si>
  <si>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</si>
  <si>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</si>
  <si>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</si>
  <si>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</si>
  <si>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</si>
  <si>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</si>
  <si>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</si>
  <si>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</si>
  <si>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</si>
  <si>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</si>
  <si>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</si>
  <si>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</si>
  <si>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</si>
  <si>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</si>
  <si>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</si>
  <si>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</si>
  <si>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</si>
  <si>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</si>
  <si>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</si>
  <si>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</si>
  <si>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</si>
  <si>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</si>
  <si>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</si>
  <si>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</si>
  <si>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</si>
  <si>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</si>
  <si>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</si>
  <si>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</si>
  <si>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</si>
  <si>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</si>
  <si>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</si>
  <si>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</si>
  <si>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</si>
  <si>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</si>
  <si>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 xml:space="preserve"> - sportfeladatok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</si>
  <si>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</si>
  <si>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</si>
  <si>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</si>
  <si>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</si>
  <si>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</si>
  <si>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</si>
  <si>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</si>
  <si>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</si>
  <si>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</si>
  <si>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</si>
  <si>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</si>
  <si>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</si>
  <si>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</si>
  <si>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</si>
  <si>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</si>
  <si>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</si>
  <si>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</si>
  <si>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</si>
  <si>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</si>
  <si>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</si>
  <si>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</si>
  <si>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 xml:space="preserve">Kosztolányi téri óvoda felújítása 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</si>
  <si>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</si>
  <si>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</si>
  <si>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</si>
  <si>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</si>
  <si>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</si>
  <si>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</si>
  <si>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</si>
  <si>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</si>
  <si>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</si>
  <si>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</si>
  <si>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</si>
  <si>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</si>
  <si>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</si>
  <si>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</si>
  <si>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</si>
  <si>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</si>
  <si>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</si>
  <si>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</si>
  <si>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</si>
  <si>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</si>
  <si>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</si>
  <si>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</si>
  <si>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</si>
  <si>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</si>
  <si>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</si>
  <si>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Zrínyi Gimnázium gázellátásának szabályossá tétele</t>
  </si>
  <si>
    <t>1./3./2</t>
  </si>
  <si>
    <t>Városi Középiskolai Kollégium felújítás</t>
  </si>
  <si>
    <t>Dísz téri köztéri műalkotás</t>
  </si>
  <si>
    <t>B34</t>
  </si>
  <si>
    <t>Vagyoni típusú adók (építményadó)</t>
  </si>
  <si>
    <t xml:space="preserve">Értékesítési és forgalmi adók 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</si>
  <si>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</si>
  <si>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</si>
  <si>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</si>
  <si>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</si>
  <si>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</si>
  <si>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</si>
  <si>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 xml:space="preserve"> -Ivóvízminőség javítása KEOP pályázathoz önrész (KEOP-1.3.0/09-11-2013-0013 ) -állami hozzájárulás</t>
  </si>
  <si>
    <t xml:space="preserve"> -Ivóvízminőség javítása KEOP pályázathoz önrész (KEOP-1.3.0/09-11-2013-0013 ) állami hozzájárulás</t>
  </si>
  <si>
    <t>Módosítás
döntési
hatáskör
szerint *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</si>
  <si>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</si>
  <si>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</si>
  <si>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</si>
  <si>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</si>
  <si>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</si>
  <si>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</si>
  <si>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</si>
  <si>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</si>
  <si>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</si>
  <si>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</si>
  <si>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</si>
  <si>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</si>
  <si>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</si>
  <si>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</si>
  <si>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</si>
  <si>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</si>
  <si>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</si>
  <si>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</si>
  <si>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</si>
  <si>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</si>
  <si>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</si>
  <si>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</si>
  <si>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</si>
  <si>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</si>
  <si>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</si>
  <si>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</si>
  <si>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</si>
  <si>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</si>
  <si>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</si>
  <si>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</si>
  <si>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</si>
  <si>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</si>
  <si>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</si>
  <si>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</si>
  <si>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települési vízellátás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</si>
  <si>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</si>
  <si>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</si>
  <si>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</si>
  <si>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</si>
  <si>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</si>
  <si>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</si>
  <si>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</si>
  <si>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</si>
  <si>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</si>
  <si>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</si>
  <si>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</si>
  <si>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</si>
  <si>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</si>
  <si>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</si>
  <si>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</si>
  <si>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</si>
  <si>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</si>
  <si>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</si>
  <si>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</si>
  <si>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</si>
  <si>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</si>
  <si>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</si>
  <si>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</si>
  <si>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</si>
  <si>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</si>
  <si>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</si>
  <si>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</si>
  <si>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</si>
  <si>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</si>
  <si>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</si>
  <si>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</si>
  <si>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</si>
  <si>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</si>
  <si>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</si>
  <si>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</si>
  <si>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</si>
  <si>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</si>
  <si>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</si>
  <si>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</si>
  <si>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</si>
  <si>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</si>
  <si>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</si>
  <si>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1./8</t>
  </si>
  <si>
    <t>Göcseji úti temető ravatalozó épület felújítása</t>
  </si>
  <si>
    <t>Tervez.alapegység</t>
  </si>
  <si>
    <t>1./6</t>
  </si>
  <si>
    <t>1./7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</si>
  <si>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</si>
  <si>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</si>
  <si>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</si>
  <si>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</si>
  <si>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</si>
  <si>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</si>
  <si>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</si>
  <si>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</si>
  <si>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</si>
  <si>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</si>
  <si>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</si>
  <si>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</si>
  <si>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</si>
  <si>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</si>
  <si>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</si>
  <si>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</si>
  <si>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</si>
  <si>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</si>
  <si>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3./5</t>
  </si>
  <si>
    <t>3./6</t>
  </si>
  <si>
    <t>3./7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</si>
  <si>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</si>
  <si>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</si>
  <si>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</si>
  <si>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</si>
  <si>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</si>
  <si>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</si>
  <si>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</si>
  <si>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</si>
  <si>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</si>
  <si>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</si>
  <si>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</si>
  <si>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</si>
  <si>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</si>
  <si>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</si>
  <si>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</si>
  <si>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</si>
  <si>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</si>
  <si>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</si>
  <si>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</si>
  <si>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</si>
  <si>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</si>
  <si>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</si>
  <si>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</si>
  <si>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</si>
  <si>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</si>
  <si>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</si>
  <si>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</si>
  <si>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</si>
  <si>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</si>
  <si>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</si>
  <si>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</si>
  <si>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</si>
  <si>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</si>
  <si>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</si>
  <si>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</si>
  <si>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</si>
  <si>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</si>
  <si>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</si>
  <si>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</si>
  <si>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</si>
  <si>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</si>
  <si>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</si>
  <si>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</si>
  <si>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</si>
  <si>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</si>
  <si>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</si>
  <si>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16.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</si>
  <si>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</si>
  <si>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</si>
  <si>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</si>
  <si>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</si>
  <si>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</si>
  <si>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</si>
  <si>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</si>
  <si>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</si>
  <si>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</si>
  <si>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</si>
  <si>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</si>
  <si>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</si>
  <si>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</si>
  <si>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</si>
  <si>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</si>
  <si>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</si>
  <si>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</si>
  <si>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</si>
  <si>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</si>
  <si>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</si>
  <si>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</si>
  <si>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</si>
  <si>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</si>
  <si>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</si>
  <si>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</si>
  <si>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</si>
  <si>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</si>
  <si>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</si>
  <si>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</si>
  <si>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</si>
  <si>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</si>
  <si>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</si>
  <si>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</si>
  <si>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</si>
  <si>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</si>
  <si>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</si>
  <si>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</si>
  <si>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</si>
  <si>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</si>
  <si>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</si>
  <si>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</si>
  <si>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</si>
  <si>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</si>
  <si>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</si>
  <si>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</si>
  <si>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</si>
  <si>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</si>
  <si>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</si>
  <si>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</si>
  <si>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</si>
  <si>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</si>
  <si>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</si>
  <si>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</si>
  <si>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</si>
  <si>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</si>
  <si>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</si>
  <si>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</si>
  <si>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</si>
  <si>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</si>
  <si>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</si>
  <si>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</si>
  <si>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</si>
  <si>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</si>
  <si>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</si>
  <si>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</si>
  <si>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</si>
  <si>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</si>
  <si>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</si>
  <si>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</si>
  <si>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</si>
  <si>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</si>
  <si>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</si>
  <si>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</si>
  <si>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</si>
  <si>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</si>
  <si>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</si>
  <si>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</si>
  <si>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</si>
  <si>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</si>
  <si>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</si>
  <si>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</si>
  <si>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</si>
  <si>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</si>
  <si>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</si>
  <si>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</si>
  <si>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</si>
  <si>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</si>
  <si>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</si>
  <si>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</si>
  <si>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</si>
  <si>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</si>
  <si>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</si>
  <si>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</si>
  <si>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</si>
  <si>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</si>
  <si>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</si>
  <si>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</si>
  <si>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</si>
  <si>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</si>
  <si>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</si>
  <si>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</si>
  <si>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</si>
  <si>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</si>
  <si>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</si>
  <si>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</si>
  <si>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</si>
  <si>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</si>
  <si>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</si>
  <si>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</si>
  <si>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</si>
  <si>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</si>
  <si>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</si>
  <si>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</si>
  <si>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</si>
  <si>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</si>
  <si>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</si>
  <si>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</si>
  <si>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</si>
  <si>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</si>
  <si>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</si>
  <si>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</si>
  <si>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</si>
  <si>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</si>
  <si>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</si>
  <si>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</si>
  <si>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</si>
  <si>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</si>
  <si>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</si>
  <si>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</si>
  <si>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</si>
  <si>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</si>
  <si>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</si>
  <si>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</si>
  <si>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</si>
  <si>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</si>
  <si>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</si>
  <si>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</si>
  <si>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</si>
  <si>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</si>
  <si>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ebből: költségvetési szervek</t>
  </si>
  <si>
    <t>ÖNKORMÁNYZAT ÖSSZESEN:</t>
  </si>
  <si>
    <t>Városüzemelési feladatok összesen:</t>
  </si>
  <si>
    <t>Kiadások összesen</t>
  </si>
  <si>
    <t xml:space="preserve"> - Flórián u.19. melletti önkormányzati területek rendbetétele</t>
  </si>
  <si>
    <t>Rádió frekvencia vásárlására pe. átadás a Zalaegerszegi Televízió Kft. részére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</si>
  <si>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</si>
  <si>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</si>
  <si>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</si>
  <si>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</si>
  <si>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</si>
  <si>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</si>
  <si>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</si>
  <si>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</si>
  <si>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</si>
  <si>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</si>
  <si>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</si>
  <si>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</si>
  <si>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</si>
  <si>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</si>
  <si>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</si>
  <si>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</si>
  <si>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</si>
  <si>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</si>
  <si>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</si>
  <si>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</si>
  <si>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</si>
  <si>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</si>
  <si>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</si>
  <si>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</si>
  <si>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</si>
  <si>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</si>
  <si>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</si>
  <si>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</si>
  <si>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</si>
  <si>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</si>
  <si>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</si>
  <si>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Belvárosi zöldfelület és játszótér eszközbeszerzés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</si>
  <si>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</si>
  <si>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</si>
  <si>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</si>
  <si>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</si>
  <si>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</si>
  <si>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</si>
  <si>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</si>
  <si>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</si>
  <si>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</si>
  <si>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</si>
  <si>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</si>
  <si>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</si>
  <si>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</si>
  <si>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</si>
  <si>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</si>
  <si>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</si>
  <si>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</si>
  <si>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</si>
  <si>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</si>
  <si>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</si>
  <si>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</si>
  <si>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</si>
  <si>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</si>
  <si>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</si>
  <si>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</si>
  <si>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</si>
  <si>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</si>
  <si>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</si>
  <si>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</si>
  <si>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</si>
  <si>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</si>
  <si>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</si>
  <si>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</si>
  <si>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</si>
  <si>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</si>
  <si>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</si>
  <si>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</si>
  <si>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</si>
  <si>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</si>
  <si>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</si>
  <si>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</si>
  <si>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</si>
  <si>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</si>
  <si>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</si>
  <si>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Költségvetési kiadások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</si>
  <si>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</si>
  <si>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</si>
  <si>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</si>
  <si>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</si>
  <si>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</si>
  <si>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</si>
  <si>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</si>
  <si>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</si>
  <si>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</si>
  <si>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</si>
  <si>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</si>
  <si>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</si>
  <si>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</si>
  <si>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</si>
  <si>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</si>
  <si>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</si>
  <si>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</si>
  <si>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</si>
  <si>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</si>
  <si>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</si>
  <si>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</si>
  <si>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</si>
  <si>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</si>
  <si>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</si>
  <si>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</si>
  <si>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</si>
  <si>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</si>
  <si>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</si>
  <si>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</si>
  <si>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</si>
  <si>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</si>
  <si>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</si>
  <si>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</si>
  <si>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</si>
  <si>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</si>
  <si>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</si>
  <si>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</si>
  <si>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</si>
  <si>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</si>
  <si>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</si>
  <si>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</si>
  <si>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</si>
  <si>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</si>
  <si>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</si>
  <si>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</si>
  <si>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</si>
  <si>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</si>
  <si>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</si>
  <si>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</si>
  <si>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</si>
  <si>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</si>
  <si>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</si>
  <si>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</si>
  <si>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</si>
  <si>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</si>
  <si>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</si>
  <si>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</si>
  <si>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</si>
  <si>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</si>
  <si>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</si>
  <si>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</si>
  <si>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</si>
  <si>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</si>
  <si>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</si>
  <si>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</si>
  <si>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Temetői fejlesztések</t>
  </si>
  <si>
    <t>Bozsoki horhos partfal stabilizációk</t>
  </si>
  <si>
    <t>9.a/3</t>
  </si>
  <si>
    <t>9.a/4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</si>
  <si>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</si>
  <si>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</si>
  <si>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</si>
  <si>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</si>
  <si>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</si>
  <si>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</si>
  <si>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"Pannon -Tudás-Park" TÁMOP 4.2.1.C-14/1/Konv-2015-0006 projekt</t>
  </si>
  <si>
    <t>kgy</t>
  </si>
  <si>
    <t>"Pannon -Tudás-Park" TÁMOP 4.2.1.C-14/1/Konv-2015-0006 projekt támogatás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</si>
  <si>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</si>
  <si>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</si>
  <si>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</si>
  <si>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1.a/9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</si>
  <si>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</si>
  <si>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</si>
  <si>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</si>
  <si>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</si>
  <si>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</si>
  <si>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</si>
  <si>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</si>
  <si>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</si>
  <si>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</si>
  <si>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</si>
  <si>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</si>
  <si>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</si>
  <si>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</si>
  <si>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</si>
  <si>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</si>
  <si>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</si>
  <si>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</si>
  <si>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 xml:space="preserve">KEOP vízvezeték építések miatti úthelyreállítások  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</si>
  <si>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</si>
  <si>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</si>
  <si>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</si>
  <si>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</si>
  <si>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</si>
  <si>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</si>
  <si>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</si>
  <si>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</si>
  <si>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</si>
  <si>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</si>
  <si>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</si>
  <si>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</si>
  <si>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</si>
  <si>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</si>
  <si>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</si>
  <si>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</si>
  <si>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</si>
  <si>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</si>
  <si>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</si>
  <si>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</si>
  <si>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</si>
  <si>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</si>
  <si>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</si>
  <si>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</si>
  <si>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</si>
  <si>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</si>
  <si>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</si>
  <si>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</si>
  <si>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</si>
  <si>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</si>
  <si>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</si>
  <si>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</si>
  <si>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</si>
  <si>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</si>
  <si>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</si>
  <si>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</si>
  <si>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</si>
  <si>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</si>
  <si>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</si>
  <si>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</si>
  <si>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</si>
  <si>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</si>
  <si>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</si>
  <si>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</si>
  <si>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</si>
  <si>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</si>
  <si>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</si>
  <si>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</si>
  <si>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</si>
  <si>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</si>
  <si>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</si>
  <si>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</si>
  <si>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</si>
  <si>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</si>
  <si>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</si>
  <si>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</si>
  <si>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</si>
  <si>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</si>
  <si>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</si>
  <si>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</si>
  <si>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</si>
  <si>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</si>
  <si>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</si>
  <si>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</si>
  <si>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</si>
  <si>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</si>
  <si>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</si>
  <si>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</si>
  <si>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</si>
  <si>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</si>
  <si>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</si>
  <si>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</si>
  <si>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</si>
  <si>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</si>
  <si>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</si>
  <si>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</si>
  <si>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</si>
  <si>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</si>
  <si>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</si>
  <si>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</si>
  <si>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</si>
  <si>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</si>
  <si>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</si>
  <si>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</si>
  <si>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</si>
  <si>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</si>
  <si>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</si>
  <si>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</si>
  <si>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</si>
  <si>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</si>
  <si>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</si>
  <si>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</si>
  <si>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</si>
  <si>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</si>
  <si>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</si>
  <si>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</si>
  <si>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</si>
  <si>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</si>
  <si>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</si>
  <si>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</si>
  <si>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</si>
  <si>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</si>
  <si>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</si>
  <si>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</si>
  <si>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</si>
  <si>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</si>
  <si>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</si>
  <si>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</si>
  <si>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</si>
  <si>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</si>
  <si>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</si>
  <si>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</si>
  <si>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</si>
  <si>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</si>
  <si>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</si>
  <si>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</si>
  <si>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</si>
  <si>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</si>
  <si>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</si>
  <si>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</si>
  <si>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</si>
  <si>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</si>
  <si>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</si>
  <si>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</si>
  <si>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</si>
  <si>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</si>
  <si>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</si>
  <si>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</si>
  <si>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</si>
  <si>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</si>
  <si>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</si>
  <si>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</si>
  <si>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</si>
  <si>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</si>
  <si>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</si>
  <si>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</si>
  <si>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</si>
  <si>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</si>
  <si>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</si>
  <si>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</si>
  <si>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</si>
  <si>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</si>
  <si>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</si>
  <si>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</si>
  <si>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</si>
  <si>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</si>
  <si>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</si>
  <si>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</si>
  <si>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</si>
  <si>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</si>
  <si>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</si>
  <si>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</si>
  <si>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</si>
  <si>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</si>
  <si>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</si>
  <si>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</si>
  <si>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</si>
  <si>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</si>
  <si>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</si>
  <si>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</si>
  <si>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</si>
  <si>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</si>
  <si>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</si>
  <si>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</si>
  <si>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</si>
  <si>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</si>
  <si>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</si>
  <si>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</si>
  <si>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</si>
  <si>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</si>
  <si>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</si>
  <si>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</si>
  <si>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 xml:space="preserve"> - Városi Strandfürdő és Fedett uszoda műk.  támogatása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</si>
  <si>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</si>
  <si>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</si>
  <si>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</si>
  <si>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</si>
  <si>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</si>
  <si>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</si>
  <si>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</si>
  <si>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</si>
  <si>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</si>
  <si>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</si>
  <si>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</si>
  <si>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</si>
  <si>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</si>
  <si>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 xml:space="preserve"> - új idegenforgalmi koncepció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</si>
  <si>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</si>
  <si>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</si>
  <si>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</si>
  <si>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</si>
  <si>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</si>
  <si>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</si>
  <si>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</si>
  <si>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</si>
  <si>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</si>
  <si>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</si>
  <si>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</si>
  <si>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</si>
  <si>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</si>
  <si>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</si>
  <si>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</si>
  <si>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</si>
  <si>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</si>
  <si>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</si>
  <si>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</si>
  <si>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</si>
  <si>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</si>
  <si>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</si>
  <si>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</si>
  <si>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</si>
  <si>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</si>
  <si>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</si>
  <si>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</si>
  <si>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</si>
  <si>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</si>
  <si>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</si>
  <si>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</si>
  <si>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</si>
  <si>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</si>
  <si>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</si>
  <si>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</si>
  <si>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</si>
  <si>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</si>
  <si>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</si>
  <si>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</si>
  <si>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</si>
  <si>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</si>
  <si>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</si>
  <si>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</si>
  <si>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</si>
  <si>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</si>
  <si>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</si>
  <si>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</si>
  <si>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</si>
  <si>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</si>
  <si>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</si>
  <si>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</si>
  <si>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</si>
  <si>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</si>
  <si>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</si>
  <si>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</si>
  <si>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</si>
  <si>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</si>
  <si>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</si>
  <si>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</si>
  <si>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</si>
  <si>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</si>
  <si>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</si>
  <si>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</si>
  <si>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</si>
  <si>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</si>
  <si>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</si>
  <si>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</si>
  <si>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</si>
  <si>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</si>
  <si>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</si>
  <si>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</si>
  <si>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</si>
  <si>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</si>
  <si>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</si>
  <si>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</si>
  <si>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</si>
  <si>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</si>
  <si>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</si>
  <si>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</si>
  <si>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</si>
  <si>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</si>
  <si>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</si>
  <si>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</si>
  <si>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</si>
  <si>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</si>
  <si>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</si>
  <si>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</si>
  <si>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</si>
  <si>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</si>
  <si>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</si>
  <si>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</si>
  <si>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</si>
  <si>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</si>
  <si>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</si>
  <si>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</si>
  <si>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</si>
  <si>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</si>
  <si>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</si>
  <si>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</si>
  <si>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</si>
  <si>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</si>
  <si>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</si>
  <si>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</si>
  <si>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</si>
  <si>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</si>
  <si>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</si>
  <si>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</si>
  <si>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</si>
  <si>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</si>
  <si>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</si>
  <si>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</si>
  <si>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</si>
  <si>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</si>
  <si>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</si>
  <si>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</si>
  <si>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</si>
  <si>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</si>
  <si>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</si>
  <si>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</si>
  <si>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</si>
  <si>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</si>
  <si>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</si>
  <si>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</si>
  <si>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</si>
  <si>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</si>
  <si>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</si>
  <si>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</si>
  <si>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</si>
  <si>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</si>
  <si>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</si>
  <si>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</si>
  <si>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</si>
  <si>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</si>
  <si>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</si>
  <si>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</si>
  <si>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</si>
  <si>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</si>
  <si>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</si>
  <si>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</si>
  <si>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</si>
  <si>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</si>
  <si>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</si>
  <si>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</si>
  <si>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</si>
  <si>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</si>
  <si>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</si>
  <si>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</si>
  <si>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</si>
  <si>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</si>
  <si>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</si>
  <si>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</si>
  <si>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</si>
  <si>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</si>
  <si>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</si>
  <si>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</si>
  <si>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</si>
  <si>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</si>
  <si>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</si>
  <si>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</si>
  <si>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</si>
  <si>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</si>
  <si>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Tervezési alapegység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</si>
</sst>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8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8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19" fillId="10" borderId="0" applyNumberFormat="0" applyBorder="0" applyAlignment="0" applyProtection="0"/>
    <xf numFmtId="0" fontId="38" fillId="11" borderId="0" applyNumberFormat="0" applyBorder="0" applyAlignment="0" applyProtection="0"/>
    <xf numFmtId="0" fontId="1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19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19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20" fillId="22" borderId="0" applyNumberFormat="0" applyBorder="0" applyAlignment="0" applyProtection="0"/>
    <xf numFmtId="0" fontId="39" fillId="23" borderId="0" applyNumberFormat="0" applyBorder="0" applyAlignment="0" applyProtection="0"/>
    <xf numFmtId="0" fontId="20" fillId="16" borderId="0" applyNumberFormat="0" applyBorder="0" applyAlignment="0" applyProtection="0"/>
    <xf numFmtId="0" fontId="39" fillId="17" borderId="0" applyNumberFormat="0" applyBorder="0" applyAlignment="0" applyProtection="0"/>
    <xf numFmtId="0" fontId="20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40" fillId="4" borderId="0" applyNumberFormat="0" applyBorder="0" applyAlignment="0" applyProtection="0"/>
    <xf numFmtId="0" fontId="21" fillId="12" borderId="1" applyNumberFormat="0" applyAlignment="0" applyProtection="0"/>
    <xf numFmtId="0" fontId="48" fillId="13" borderId="1" applyNumberFormat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5" fillId="0" borderId="4" applyNumberFormat="0" applyFill="0" applyAlignment="0" applyProtection="0"/>
    <xf numFmtId="0" fontId="24" fillId="0" borderId="5" applyNumberFormat="0" applyFill="0" applyAlignment="0" applyProtection="0"/>
    <xf numFmtId="0" fontId="46" fillId="0" borderId="6" applyNumberFormat="0" applyFill="0" applyAlignment="0" applyProtection="0"/>
    <xf numFmtId="0" fontId="25" fillId="0" borderId="7" applyNumberFormat="0" applyFill="0" applyAlignment="0" applyProtection="0"/>
    <xf numFmtId="0" fontId="47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35" borderId="2" applyNumberFormat="0" applyAlignment="0" applyProtection="0"/>
    <xf numFmtId="0" fontId="42" fillId="36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9" fillId="0" borderId="9" applyNumberFormat="0" applyFill="0" applyAlignment="0" applyProtection="0"/>
    <xf numFmtId="0" fontId="48" fillId="12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30" borderId="0" applyNumberFormat="0" applyBorder="0" applyAlignment="0" applyProtection="0"/>
    <xf numFmtId="0" fontId="39" fillId="39" borderId="0" applyNumberFormat="0" applyBorder="0" applyAlignment="0" applyProtection="0"/>
    <xf numFmtId="0" fontId="20" fillId="31" borderId="0" applyNumberFormat="0" applyBorder="0" applyAlignment="0" applyProtection="0"/>
    <xf numFmtId="0" fontId="39" fillId="40" borderId="0" applyNumberFormat="0" applyBorder="0" applyAlignment="0" applyProtection="0"/>
    <xf numFmtId="0" fontId="20" fillId="32" borderId="0" applyNumberFormat="0" applyBorder="0" applyAlignment="0" applyProtection="0"/>
    <xf numFmtId="0" fontId="39" fillId="41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33" borderId="0" applyNumberFormat="0" applyBorder="0" applyAlignment="0" applyProtection="0"/>
    <xf numFmtId="0" fontId="39" fillId="42" borderId="0" applyNumberFormat="0" applyBorder="0" applyAlignment="0" applyProtection="0"/>
    <xf numFmtId="0" fontId="29" fillId="6" borderId="0" applyNumberFormat="0" applyBorder="0" applyAlignment="0" applyProtection="0"/>
    <xf numFmtId="0" fontId="44" fillId="7" borderId="0" applyNumberFormat="0" applyBorder="0" applyAlignment="0" applyProtection="0"/>
    <xf numFmtId="0" fontId="30" fillId="34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37" borderId="10" applyNumberFormat="0" applyFont="0" applyAlignment="0" applyProtection="0"/>
    <xf numFmtId="0" fontId="52" fillId="34" borderId="11" applyNumberFormat="0" applyAlignment="0" applyProtection="0"/>
    <xf numFmtId="0" fontId="3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0" fillId="5" borderId="0" applyNumberFormat="0" applyBorder="0" applyAlignment="0" applyProtection="0"/>
    <xf numFmtId="0" fontId="34" fillId="44" borderId="0" applyNumberFormat="0" applyBorder="0" applyAlignment="0" applyProtection="0"/>
    <xf numFmtId="0" fontId="50" fillId="45" borderId="0" applyNumberFormat="0" applyBorder="0" applyAlignment="0" applyProtection="0"/>
    <xf numFmtId="0" fontId="35" fillId="34" borderId="1" applyNumberFormat="0" applyAlignment="0" applyProtection="0"/>
    <xf numFmtId="0" fontId="41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745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56" applyNumberFormat="1" applyFont="1" applyFill="1" applyBorder="1" applyAlignment="1">
      <alignment horizontal="center" vertical="center" wrapText="1"/>
      <protection/>
    </xf>
    <xf numFmtId="3" fontId="12" fillId="0" borderId="14" xfId="156" applyNumberFormat="1" applyFont="1" applyFill="1" applyBorder="1" applyAlignment="1">
      <alignment vertical="center"/>
      <protection/>
    </xf>
    <xf numFmtId="3" fontId="12" fillId="0" borderId="13" xfId="156" applyNumberFormat="1" applyFont="1" applyFill="1" applyBorder="1" applyAlignment="1">
      <alignment horizontal="center" vertical="center" wrapText="1"/>
      <protection/>
    </xf>
    <xf numFmtId="3" fontId="13" fillId="0" borderId="13" xfId="156" applyNumberFormat="1" applyFont="1" applyBorder="1" applyAlignment="1">
      <alignment horizontal="center" vertical="center"/>
      <protection/>
    </xf>
    <xf numFmtId="3" fontId="13" fillId="0" borderId="13" xfId="156" applyNumberFormat="1" applyFont="1" applyBorder="1" applyAlignment="1">
      <alignment horizontal="right" vertical="center"/>
      <protection/>
    </xf>
    <xf numFmtId="3" fontId="13" fillId="0" borderId="13" xfId="156" applyNumberFormat="1" applyFont="1" applyBorder="1" applyAlignment="1">
      <alignment vertical="center"/>
      <protection/>
    </xf>
    <xf numFmtId="3" fontId="13" fillId="0" borderId="13" xfId="156" applyNumberFormat="1" applyFont="1" applyFill="1" applyBorder="1" applyAlignment="1">
      <alignment horizontal="center" vertical="center"/>
      <protection/>
    </xf>
    <xf numFmtId="3" fontId="13" fillId="0" borderId="13" xfId="156" applyNumberFormat="1" applyFont="1" applyFill="1" applyBorder="1" applyAlignment="1">
      <alignment vertical="center"/>
      <protection/>
    </xf>
    <xf numFmtId="3" fontId="12" fillId="6" borderId="13" xfId="156" applyNumberFormat="1" applyFont="1" applyFill="1" applyBorder="1" applyAlignment="1">
      <alignment horizontal="right" vertical="center"/>
      <protection/>
    </xf>
    <xf numFmtId="3" fontId="12" fillId="0" borderId="13" xfId="156" applyNumberFormat="1" applyFont="1" applyFill="1" applyBorder="1" applyAlignment="1">
      <alignment horizontal="center" vertical="center"/>
      <protection/>
    </xf>
    <xf numFmtId="3" fontId="13" fillId="0" borderId="15" xfId="156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18" fillId="0" borderId="0" xfId="156" applyNumberFormat="1" applyFont="1" applyFill="1" applyAlignment="1">
      <alignment vertical="center"/>
      <protection/>
    </xf>
    <xf numFmtId="3" fontId="6" fillId="0" borderId="0" xfId="156" applyNumberFormat="1" applyFont="1" applyAlignment="1">
      <alignment vertical="center"/>
      <protection/>
    </xf>
    <xf numFmtId="3" fontId="6" fillId="0" borderId="0" xfId="156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56" applyNumberFormat="1" applyFont="1" applyBorder="1" applyAlignment="1">
      <alignment horizontal="left" vertical="center" wrapText="1"/>
      <protection/>
    </xf>
    <xf numFmtId="3" fontId="13" fillId="0" borderId="13" xfId="156" applyNumberFormat="1" applyFont="1" applyBorder="1" applyAlignment="1">
      <alignment horizontal="left" vertical="center"/>
      <protection/>
    </xf>
    <xf numFmtId="3" fontId="13" fillId="6" borderId="13" xfId="156" applyNumberFormat="1" applyFont="1" applyFill="1" applyBorder="1" applyAlignment="1">
      <alignment horizontal="center" vertical="center"/>
      <protection/>
    </xf>
    <xf numFmtId="3" fontId="12" fillId="6" borderId="17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6" borderId="13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horizontal="left" vertical="center" wrapText="1"/>
    </xf>
    <xf numFmtId="3" fontId="12" fillId="6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vertical="center" wrapText="1"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6" borderId="13" xfId="156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3" fontId="8" fillId="0" borderId="13" xfId="148" applyNumberFormat="1" applyFont="1" applyFill="1" applyBorder="1" applyAlignment="1">
      <alignment horizontal="right" vertical="center"/>
      <protection/>
    </xf>
    <xf numFmtId="3" fontId="18" fillId="0" borderId="0" xfId="156" applyNumberFormat="1" applyFont="1" applyAlignment="1">
      <alignment vertical="center"/>
      <protection/>
    </xf>
    <xf numFmtId="3" fontId="9" fillId="0" borderId="13" xfId="156" applyNumberFormat="1" applyFont="1" applyFill="1" applyBorder="1" applyAlignment="1">
      <alignment horizontal="left" vertical="center" wrapText="1"/>
      <protection/>
    </xf>
    <xf numFmtId="3" fontId="8" fillId="0" borderId="13" xfId="156" applyNumberFormat="1" applyFont="1" applyFill="1" applyBorder="1" applyAlignment="1">
      <alignment horizontal="center" vertical="center" wrapText="1"/>
      <protection/>
    </xf>
    <xf numFmtId="3" fontId="8" fillId="0" borderId="13" xfId="156" applyNumberFormat="1" applyFont="1" applyFill="1" applyBorder="1" applyAlignment="1">
      <alignment horizontal="left" vertical="center" wrapText="1"/>
      <protection/>
    </xf>
    <xf numFmtId="3" fontId="8" fillId="0" borderId="13" xfId="156" applyNumberFormat="1" applyFont="1" applyFill="1" applyBorder="1" applyAlignment="1">
      <alignment vertical="center" wrapText="1"/>
      <protection/>
    </xf>
    <xf numFmtId="3" fontId="6" fillId="0" borderId="0" xfId="156" applyNumberFormat="1" applyFont="1" applyFill="1" applyAlignment="1">
      <alignment vertical="center"/>
      <protection/>
    </xf>
    <xf numFmtId="3" fontId="8" fillId="0" borderId="13" xfId="156" applyNumberFormat="1" applyFont="1" applyBorder="1" applyAlignment="1">
      <alignment horizontal="left" vertical="center" wrapText="1"/>
      <protection/>
    </xf>
    <xf numFmtId="3" fontId="8" fillId="0" borderId="13" xfId="156" applyNumberFormat="1" applyFont="1" applyBorder="1" applyAlignment="1">
      <alignment vertical="center"/>
      <protection/>
    </xf>
    <xf numFmtId="3" fontId="8" fillId="0" borderId="13" xfId="156" applyNumberFormat="1" applyFont="1" applyBorder="1" applyAlignment="1">
      <alignment horizontal="left" vertical="center"/>
      <protection/>
    </xf>
    <xf numFmtId="3" fontId="8" fillId="0" borderId="13" xfId="156" applyNumberFormat="1" applyFont="1" applyFill="1" applyBorder="1" applyAlignment="1">
      <alignment vertical="center"/>
      <protection/>
    </xf>
    <xf numFmtId="3" fontId="9" fillId="0" borderId="13" xfId="156" applyNumberFormat="1" applyFont="1" applyBorder="1" applyAlignment="1">
      <alignment vertical="center"/>
      <protection/>
    </xf>
    <xf numFmtId="3" fontId="9" fillId="0" borderId="13" xfId="156" applyNumberFormat="1" applyFont="1" applyBorder="1" applyAlignment="1">
      <alignment horizontal="left" vertical="center" wrapText="1"/>
      <protection/>
    </xf>
    <xf numFmtId="3" fontId="8" fillId="0" borderId="13" xfId="156" applyNumberFormat="1" applyFont="1" applyBorder="1" applyAlignment="1">
      <alignment horizontal="center" vertical="center"/>
      <protection/>
    </xf>
    <xf numFmtId="3" fontId="9" fillId="0" borderId="13" xfId="156" applyNumberFormat="1" applyFont="1" applyFill="1" applyBorder="1" applyAlignment="1">
      <alignment vertical="center"/>
      <protection/>
    </xf>
    <xf numFmtId="3" fontId="8" fillId="6" borderId="13" xfId="156" applyNumberFormat="1" applyFont="1" applyFill="1" applyBorder="1" applyAlignment="1">
      <alignment horizontal="center" vertical="center"/>
      <protection/>
    </xf>
    <xf numFmtId="3" fontId="9" fillId="6" borderId="13" xfId="156" applyNumberFormat="1" applyFont="1" applyFill="1" applyBorder="1" applyAlignment="1">
      <alignment horizontal="left" vertical="center" wrapText="1"/>
      <protection/>
    </xf>
    <xf numFmtId="3" fontId="9" fillId="6" borderId="13" xfId="156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3" fontId="8" fillId="0" borderId="13" xfId="0" applyNumberFormat="1" applyFont="1" applyFill="1" applyBorder="1" applyAlignment="1">
      <alignment horizontal="right" vertical="center" wrapText="1"/>
    </xf>
    <xf numFmtId="3" fontId="12" fillId="6" borderId="24" xfId="156" applyNumberFormat="1" applyFont="1" applyFill="1" applyBorder="1" applyAlignment="1">
      <alignment horizontal="center" vertical="center" wrapText="1"/>
      <protection/>
    </xf>
    <xf numFmtId="3" fontId="12" fillId="6" borderId="13" xfId="156" applyNumberFormat="1" applyFont="1" applyFill="1" applyBorder="1" applyAlignment="1">
      <alignment horizontal="center" vertical="center" wrapText="1"/>
      <protection/>
    </xf>
    <xf numFmtId="3" fontId="13" fillId="6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3" fontId="13" fillId="0" borderId="25" xfId="145" applyNumberFormat="1" applyFont="1" applyFill="1" applyBorder="1" applyAlignment="1">
      <alignment vertical="center" wrapText="1"/>
      <protection/>
    </xf>
    <xf numFmtId="0" fontId="8" fillId="0" borderId="26" xfId="133" applyFont="1" applyBorder="1" applyAlignment="1">
      <alignment vertical="center"/>
      <protection/>
    </xf>
    <xf numFmtId="49" fontId="13" fillId="0" borderId="26" xfId="146" applyNumberFormat="1" applyFont="1" applyBorder="1" applyAlignment="1">
      <alignment horizontal="left" vertical="center" wrapText="1"/>
      <protection/>
    </xf>
    <xf numFmtId="49" fontId="8" fillId="47" borderId="26" xfId="150" applyNumberFormat="1" applyFont="1" applyFill="1" applyBorder="1" applyAlignment="1">
      <alignment horizontal="left" vertical="top" wrapText="1"/>
      <protection/>
    </xf>
    <xf numFmtId="0" fontId="8" fillId="0" borderId="26" xfId="154" applyFont="1" applyBorder="1" applyAlignment="1">
      <alignment vertical="center"/>
      <protection/>
    </xf>
    <xf numFmtId="0" fontId="9" fillId="0" borderId="26" xfId="143" applyFont="1" applyFill="1" applyBorder="1" applyAlignment="1">
      <alignment vertical="top"/>
      <protection/>
    </xf>
    <xf numFmtId="0" fontId="8" fillId="0" borderId="26" xfId="150" applyFont="1" applyFill="1" applyBorder="1">
      <alignment/>
      <protection/>
    </xf>
    <xf numFmtId="49" fontId="0" fillId="0" borderId="26" xfId="146" applyNumberFormat="1" applyFont="1" applyFill="1" applyBorder="1" applyAlignment="1">
      <alignment horizontal="left" vertical="center" wrapText="1"/>
      <protection/>
    </xf>
    <xf numFmtId="0" fontId="8" fillId="0" borderId="26" xfId="138" applyFont="1" applyFill="1" applyBorder="1" applyAlignment="1">
      <alignment vertical="top" wrapText="1"/>
      <protection/>
    </xf>
    <xf numFmtId="0" fontId="13" fillId="0" borderId="26" xfId="150" applyFont="1" applyBorder="1" applyAlignment="1">
      <alignment wrapText="1"/>
      <protection/>
    </xf>
    <xf numFmtId="49" fontId="8" fillId="0" borderId="26" xfId="150" applyNumberFormat="1" applyFont="1" applyFill="1" applyBorder="1" applyAlignment="1">
      <alignment horizontal="left" vertical="top" wrapText="1"/>
      <protection/>
    </xf>
    <xf numFmtId="49" fontId="8" fillId="47" borderId="27" xfId="150" applyNumberFormat="1" applyFont="1" applyFill="1" applyBorder="1" applyAlignment="1">
      <alignment horizontal="left" vertical="top" wrapText="1"/>
      <protection/>
    </xf>
    <xf numFmtId="0" fontId="13" fillId="0" borderId="26" xfId="150" applyFont="1" applyFill="1" applyBorder="1" applyAlignment="1">
      <alignment horizontal="left" vertical="top" wrapText="1"/>
      <protection/>
    </xf>
    <xf numFmtId="0" fontId="13" fillId="0" borderId="26" xfId="150" applyFont="1" applyBorder="1">
      <alignment/>
      <protection/>
    </xf>
    <xf numFmtId="0" fontId="8" fillId="0" borderId="26" xfId="143" applyFont="1" applyFill="1" applyBorder="1" applyAlignment="1">
      <alignment vertical="top" wrapText="1"/>
      <protection/>
    </xf>
    <xf numFmtId="0" fontId="13" fillId="0" borderId="26" xfId="150" applyFont="1" applyFill="1" applyBorder="1" applyAlignment="1">
      <alignment wrapText="1"/>
      <protection/>
    </xf>
    <xf numFmtId="3" fontId="8" fillId="0" borderId="26" xfId="150" applyNumberFormat="1" applyFont="1" applyFill="1" applyBorder="1" applyAlignment="1">
      <alignment vertical="center" wrapText="1"/>
      <protection/>
    </xf>
    <xf numFmtId="49" fontId="0" fillId="0" borderId="26" xfId="150" applyNumberFormat="1" applyFont="1" applyBorder="1" applyAlignment="1">
      <alignment horizontal="left" vertical="center" wrapText="1"/>
      <protection/>
    </xf>
    <xf numFmtId="0" fontId="8" fillId="47" borderId="26" xfId="143" applyFont="1" applyFill="1" applyBorder="1" applyAlignment="1">
      <alignment vertical="top" wrapText="1"/>
      <protection/>
    </xf>
    <xf numFmtId="0" fontId="9" fillId="0" borderId="26" xfId="154" applyFont="1" applyBorder="1" applyAlignment="1">
      <alignment vertical="center"/>
      <protection/>
    </xf>
    <xf numFmtId="0" fontId="13" fillId="0" borderId="26" xfId="150" applyFont="1" applyBorder="1" applyAlignment="1">
      <alignment horizontal="left" wrapText="1"/>
      <protection/>
    </xf>
    <xf numFmtId="0" fontId="13" fillId="0" borderId="26" xfId="150" applyFont="1" applyFill="1" applyBorder="1">
      <alignment/>
      <protection/>
    </xf>
    <xf numFmtId="49" fontId="37" fillId="0" borderId="26" xfId="146" applyNumberFormat="1" applyFont="1" applyFill="1" applyBorder="1" applyAlignment="1">
      <alignment horizontal="left" vertical="center" wrapText="1"/>
      <protection/>
    </xf>
    <xf numFmtId="0" fontId="8" fillId="0" borderId="26" xfId="154" applyFont="1" applyFill="1" applyBorder="1" applyAlignment="1">
      <alignment vertical="center" wrapText="1"/>
      <protection/>
    </xf>
    <xf numFmtId="0" fontId="13" fillId="0" borderId="26" xfId="154" applyFont="1" applyFill="1" applyBorder="1" applyAlignment="1">
      <alignment vertical="center" wrapText="1"/>
      <protection/>
    </xf>
    <xf numFmtId="0" fontId="13" fillId="0" borderId="26" xfId="154" applyFont="1" applyBorder="1" applyAlignment="1">
      <alignment vertical="center"/>
      <protection/>
    </xf>
    <xf numFmtId="3" fontId="13" fillId="0" borderId="21" xfId="156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6" borderId="28" xfId="0" applyNumberFormat="1" applyFont="1" applyFill="1" applyBorder="1" applyAlignment="1">
      <alignment vertical="center" wrapText="1"/>
    </xf>
    <xf numFmtId="3" fontId="12" fillId="6" borderId="29" xfId="0" applyNumberFormat="1" applyFont="1" applyFill="1" applyBorder="1" applyAlignment="1">
      <alignment vertical="center"/>
    </xf>
    <xf numFmtId="3" fontId="12" fillId="6" borderId="29" xfId="0" applyNumberFormat="1" applyFont="1" applyFill="1" applyBorder="1" applyAlignment="1">
      <alignment vertical="center" wrapText="1"/>
    </xf>
    <xf numFmtId="3" fontId="12" fillId="6" borderId="30" xfId="0" applyNumberFormat="1" applyFont="1" applyFill="1" applyBorder="1" applyAlignment="1">
      <alignment vertical="center" wrapText="1"/>
    </xf>
    <xf numFmtId="3" fontId="12" fillId="6" borderId="31" xfId="0" applyNumberFormat="1" applyFont="1" applyFill="1" applyBorder="1" applyAlignment="1">
      <alignment vertical="center"/>
    </xf>
    <xf numFmtId="3" fontId="12" fillId="6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center" vertical="center" wrapText="1"/>
    </xf>
    <xf numFmtId="3" fontId="9" fillId="0" borderId="20" xfId="156" applyNumberFormat="1" applyFont="1" applyFill="1" applyBorder="1" applyAlignment="1">
      <alignment horizontal="center" vertical="center" wrapText="1"/>
      <protection/>
    </xf>
    <xf numFmtId="3" fontId="9" fillId="0" borderId="20" xfId="156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53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3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56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56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56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52" applyNumberFormat="1" applyFont="1" applyFill="1" applyBorder="1" applyAlignment="1">
      <alignment vertical="center"/>
      <protection/>
    </xf>
    <xf numFmtId="3" fontId="9" fillId="48" borderId="22" xfId="156" applyNumberFormat="1" applyFont="1" applyFill="1" applyBorder="1" applyAlignment="1">
      <alignment horizontal="center" vertical="center" wrapText="1"/>
      <protection/>
    </xf>
    <xf numFmtId="0" fontId="55" fillId="6" borderId="13" xfId="0" applyFont="1" applyFill="1" applyBorder="1" applyAlignment="1">
      <alignment horizontal="center" vertical="center" wrapText="1"/>
    </xf>
    <xf numFmtId="0" fontId="12" fillId="6" borderId="13" xfId="132" applyFont="1" applyFill="1" applyBorder="1" applyAlignment="1">
      <alignment horizontal="center" vertical="center"/>
      <protection/>
    </xf>
    <xf numFmtId="0" fontId="5" fillId="0" borderId="0" xfId="132" applyAlignment="1">
      <alignment vertical="center"/>
      <protection/>
    </xf>
    <xf numFmtId="0" fontId="12" fillId="6" borderId="13" xfId="132" applyFont="1" applyFill="1" applyBorder="1" applyAlignment="1">
      <alignment horizontal="center" vertical="top" wrapText="1"/>
      <protection/>
    </xf>
    <xf numFmtId="0" fontId="12" fillId="6" borderId="13" xfId="132" applyFont="1" applyFill="1" applyBorder="1" applyAlignment="1">
      <alignment horizontal="center" vertical="center" wrapText="1"/>
      <protection/>
    </xf>
    <xf numFmtId="0" fontId="55" fillId="6" borderId="15" xfId="0" applyFont="1" applyFill="1" applyBorder="1" applyAlignment="1">
      <alignment horizontal="center" vertical="center" wrapText="1"/>
    </xf>
    <xf numFmtId="0" fontId="5" fillId="0" borderId="0" xfId="132" applyAlignment="1">
      <alignment vertical="top"/>
      <protection/>
    </xf>
    <xf numFmtId="0" fontId="13" fillId="0" borderId="13" xfId="132" applyFont="1" applyBorder="1" applyAlignment="1">
      <alignment vertical="center"/>
      <protection/>
    </xf>
    <xf numFmtId="0" fontId="13" fillId="0" borderId="21" xfId="132" applyFont="1" applyBorder="1" applyAlignment="1">
      <alignment vertical="center"/>
      <protection/>
    </xf>
    <xf numFmtId="0" fontId="13" fillId="0" borderId="13" xfId="132" applyFont="1" applyBorder="1" applyAlignment="1">
      <alignment horizontal="center" vertical="center"/>
      <protection/>
    </xf>
    <xf numFmtId="0" fontId="13" fillId="0" borderId="13" xfId="132" applyFont="1" applyBorder="1" applyAlignment="1">
      <alignment vertical="center" wrapText="1"/>
      <protection/>
    </xf>
    <xf numFmtId="3" fontId="13" fillId="0" borderId="13" xfId="132" applyNumberFormat="1" applyFont="1" applyBorder="1" applyAlignment="1">
      <alignment vertical="center"/>
      <protection/>
    </xf>
    <xf numFmtId="0" fontId="8" fillId="0" borderId="13" xfId="152" applyFont="1" applyFill="1" applyBorder="1" applyAlignment="1">
      <alignment vertical="center"/>
      <protection/>
    </xf>
    <xf numFmtId="0" fontId="12" fillId="6" borderId="13" xfId="132" applyFont="1" applyFill="1" applyBorder="1" applyAlignment="1">
      <alignment vertical="center" wrapText="1"/>
      <protection/>
    </xf>
    <xf numFmtId="3" fontId="12" fillId="6" borderId="13" xfId="132" applyNumberFormat="1" applyFont="1" applyFill="1" applyBorder="1" applyAlignment="1">
      <alignment vertical="center"/>
      <protection/>
    </xf>
    <xf numFmtId="0" fontId="8" fillId="0" borderId="13" xfId="132" applyFont="1" applyBorder="1" applyAlignment="1">
      <alignment horizontal="center" vertical="center"/>
      <protection/>
    </xf>
    <xf numFmtId="0" fontId="12" fillId="6" borderId="13" xfId="132" applyFont="1" applyFill="1" applyBorder="1" applyAlignment="1">
      <alignment vertical="center"/>
      <protection/>
    </xf>
    <xf numFmtId="0" fontId="74" fillId="0" borderId="0" xfId="132" applyFont="1" applyAlignment="1">
      <alignment vertical="center"/>
      <protection/>
    </xf>
    <xf numFmtId="3" fontId="5" fillId="0" borderId="0" xfId="132" applyNumberFormat="1" applyAlignment="1">
      <alignment vertical="center"/>
      <protection/>
    </xf>
    <xf numFmtId="3" fontId="13" fillId="0" borderId="13" xfId="156" applyNumberFormat="1" applyFont="1" applyFill="1" applyBorder="1" applyAlignment="1">
      <alignment horizontal="left" vertical="center"/>
      <protection/>
    </xf>
    <xf numFmtId="0" fontId="13" fillId="0" borderId="13" xfId="152" applyFont="1" applyFill="1" applyBorder="1" applyAlignment="1">
      <alignment vertical="center" wrapText="1"/>
      <protection/>
    </xf>
    <xf numFmtId="0" fontId="13" fillId="0" borderId="13" xfId="132" applyFont="1" applyFill="1" applyBorder="1" applyAlignment="1">
      <alignment vertical="center"/>
      <protection/>
    </xf>
    <xf numFmtId="3" fontId="12" fillId="0" borderId="13" xfId="156" applyNumberFormat="1" applyFont="1" applyFill="1" applyBorder="1" applyAlignment="1">
      <alignment horizontal="right" vertical="center"/>
      <protection/>
    </xf>
    <xf numFmtId="0" fontId="5" fillId="0" borderId="0" xfId="135">
      <alignment/>
      <protection/>
    </xf>
    <xf numFmtId="0" fontId="9" fillId="6" borderId="32" xfId="132" applyFont="1" applyFill="1" applyBorder="1" applyAlignment="1">
      <alignment horizontal="center" vertical="top" wrapText="1"/>
      <protection/>
    </xf>
    <xf numFmtId="0" fontId="9" fillId="6" borderId="20" xfId="132" applyFont="1" applyFill="1" applyBorder="1" applyAlignment="1">
      <alignment horizontal="center" vertical="top" wrapText="1"/>
      <protection/>
    </xf>
    <xf numFmtId="0" fontId="3" fillId="6" borderId="21" xfId="0" applyFont="1" applyFill="1" applyBorder="1" applyAlignment="1">
      <alignment horizontal="center" vertical="center" wrapText="1"/>
    </xf>
    <xf numFmtId="0" fontId="9" fillId="6" borderId="20" xfId="132" applyFont="1" applyFill="1" applyBorder="1" applyAlignment="1">
      <alignment horizontal="center" vertical="center" wrapText="1"/>
      <protection/>
    </xf>
    <xf numFmtId="0" fontId="3" fillId="6" borderId="33" xfId="0" applyFont="1" applyFill="1" applyBorder="1" applyAlignment="1">
      <alignment horizontal="center" vertical="center" wrapText="1"/>
    </xf>
    <xf numFmtId="0" fontId="5" fillId="0" borderId="0" xfId="135" applyAlignment="1">
      <alignment vertical="center"/>
      <protection/>
    </xf>
    <xf numFmtId="0" fontId="8" fillId="0" borderId="13" xfId="152" applyFont="1" applyBorder="1" applyAlignment="1">
      <alignment horizontal="center" vertical="center"/>
      <protection/>
    </xf>
    <xf numFmtId="0" fontId="9" fillId="0" borderId="21" xfId="152" applyFont="1" applyBorder="1" applyAlignment="1">
      <alignment vertical="center"/>
      <protection/>
    </xf>
    <xf numFmtId="0" fontId="8" fillId="0" borderId="13" xfId="152" applyFont="1" applyBorder="1" applyAlignment="1">
      <alignment vertical="center"/>
      <protection/>
    </xf>
    <xf numFmtId="0" fontId="8" fillId="0" borderId="21" xfId="152" applyFont="1" applyBorder="1" applyAlignment="1">
      <alignment vertical="center"/>
      <protection/>
    </xf>
    <xf numFmtId="0" fontId="9" fillId="0" borderId="13" xfId="152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2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75" fillId="0" borderId="0" xfId="135" applyFont="1" applyAlignment="1">
      <alignment vertical="center"/>
      <protection/>
    </xf>
    <xf numFmtId="0" fontId="13" fillId="0" borderId="15" xfId="152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52" applyFont="1" applyFill="1" applyBorder="1" applyAlignment="1">
      <alignment horizontal="center" vertical="center"/>
      <protection/>
    </xf>
    <xf numFmtId="3" fontId="8" fillId="0" borderId="16" xfId="152" applyNumberFormat="1" applyFont="1" applyFill="1" applyBorder="1" applyAlignment="1">
      <alignment vertical="center"/>
      <protection/>
    </xf>
    <xf numFmtId="0" fontId="9" fillId="6" borderId="13" xfId="152" applyFont="1" applyFill="1" applyBorder="1" applyAlignment="1">
      <alignment horizontal="center" vertical="center"/>
      <protection/>
    </xf>
    <xf numFmtId="3" fontId="9" fillId="6" borderId="13" xfId="0" applyNumberFormat="1" applyFont="1" applyFill="1" applyBorder="1" applyAlignment="1">
      <alignment vertical="center"/>
    </xf>
    <xf numFmtId="3" fontId="9" fillId="6" borderId="13" xfId="152" applyNumberFormat="1" applyFont="1" applyFill="1" applyBorder="1" applyAlignment="1">
      <alignment vertical="center"/>
      <protection/>
    </xf>
    <xf numFmtId="0" fontId="9" fillId="0" borderId="13" xfId="15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52" applyNumberFormat="1" applyFont="1" applyFill="1" applyBorder="1" applyAlignment="1">
      <alignment vertical="center"/>
      <protection/>
    </xf>
    <xf numFmtId="0" fontId="8" fillId="0" borderId="13" xfId="152" applyFont="1" applyBorder="1" applyAlignment="1">
      <alignment vertical="center" wrapText="1"/>
      <protection/>
    </xf>
    <xf numFmtId="0" fontId="8" fillId="0" borderId="13" xfId="152" applyFont="1" applyFill="1" applyBorder="1" applyAlignment="1">
      <alignment vertical="center" wrapText="1"/>
      <protection/>
    </xf>
    <xf numFmtId="0" fontId="36" fillId="0" borderId="13" xfId="152" applyFont="1" applyFill="1" applyBorder="1" applyAlignment="1">
      <alignment vertical="center" wrapText="1"/>
      <protection/>
    </xf>
    <xf numFmtId="3" fontId="8" fillId="0" borderId="15" xfId="142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52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2" applyNumberFormat="1" applyFont="1" applyFill="1" applyBorder="1" applyAlignment="1">
      <alignment vertical="center" wrapText="1"/>
      <protection/>
    </xf>
    <xf numFmtId="0" fontId="8" fillId="0" borderId="13" xfId="142" applyFont="1" applyBorder="1" applyAlignment="1">
      <alignment vertical="center" wrapText="1"/>
      <protection/>
    </xf>
    <xf numFmtId="3" fontId="9" fillId="6" borderId="16" xfId="152" applyNumberFormat="1" applyFont="1" applyFill="1" applyBorder="1" applyAlignment="1">
      <alignment vertical="center"/>
      <protection/>
    </xf>
    <xf numFmtId="3" fontId="8" fillId="0" borderId="13" xfId="152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52" applyFont="1" applyBorder="1" applyAlignment="1">
      <alignment vertical="center"/>
      <protection/>
    </xf>
    <xf numFmtId="0" fontId="8" fillId="0" borderId="15" xfId="142" applyFont="1" applyBorder="1" applyAlignment="1">
      <alignment vertical="center" wrapText="1"/>
      <protection/>
    </xf>
    <xf numFmtId="0" fontId="13" fillId="0" borderId="15" xfId="152" applyFont="1" applyFill="1" applyBorder="1" applyAlignment="1">
      <alignment vertical="center" wrapText="1"/>
      <protection/>
    </xf>
    <xf numFmtId="0" fontId="5" fillId="0" borderId="0" xfId="135" applyFont="1" applyAlignment="1">
      <alignment vertical="center"/>
      <protection/>
    </xf>
    <xf numFmtId="0" fontId="8" fillId="0" borderId="15" xfId="152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52" applyNumberFormat="1" applyFont="1" applyBorder="1" applyAlignment="1">
      <alignment vertical="center" wrapText="1"/>
      <protection/>
    </xf>
    <xf numFmtId="3" fontId="8" fillId="0" borderId="13" xfId="152" applyNumberFormat="1" applyFont="1" applyFill="1" applyBorder="1" applyAlignment="1">
      <alignment vertical="center" wrapText="1"/>
      <protection/>
    </xf>
    <xf numFmtId="0" fontId="9" fillId="6" borderId="15" xfId="152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34" xfId="142" applyFont="1" applyFill="1" applyBorder="1" applyAlignment="1">
      <alignment vertical="top" wrapText="1"/>
      <protection/>
    </xf>
    <xf numFmtId="0" fontId="8" fillId="0" borderId="34" xfId="132" applyFont="1" applyFill="1" applyBorder="1" applyAlignment="1">
      <alignment horizontal="left" vertical="center" wrapText="1"/>
      <protection/>
    </xf>
    <xf numFmtId="0" fontId="8" fillId="0" borderId="26" xfId="130" applyFont="1" applyFill="1" applyBorder="1" applyAlignment="1">
      <alignment horizontal="left" vertical="center" wrapText="1"/>
      <protection/>
    </xf>
    <xf numFmtId="0" fontId="8" fillId="0" borderId="13" xfId="132" applyFont="1" applyFill="1" applyBorder="1" applyAlignment="1">
      <alignment horizontal="left" vertical="center" wrapText="1"/>
      <protection/>
    </xf>
    <xf numFmtId="0" fontId="8" fillId="0" borderId="13" xfId="140" applyFont="1" applyFill="1" applyBorder="1" applyAlignment="1">
      <alignment vertical="top" wrapText="1"/>
      <protection/>
    </xf>
    <xf numFmtId="0" fontId="8" fillId="0" borderId="35" xfId="142" applyFont="1" applyFill="1" applyBorder="1" applyAlignment="1">
      <alignment vertical="top" wrapText="1"/>
      <protection/>
    </xf>
    <xf numFmtId="0" fontId="8" fillId="0" borderId="15" xfId="142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36" applyFont="1" applyFill="1" applyBorder="1" applyAlignment="1">
      <alignment vertical="top" wrapText="1"/>
      <protection/>
    </xf>
    <xf numFmtId="0" fontId="9" fillId="6" borderId="13" xfId="152" applyFont="1" applyFill="1" applyBorder="1" applyAlignment="1">
      <alignment vertical="center"/>
      <protection/>
    </xf>
    <xf numFmtId="0" fontId="8" fillId="0" borderId="0" xfId="152" applyFont="1" applyBorder="1" applyAlignment="1">
      <alignment vertical="center"/>
      <protection/>
    </xf>
    <xf numFmtId="0" fontId="8" fillId="0" borderId="36" xfId="149" applyFont="1" applyBorder="1" applyAlignment="1">
      <alignment wrapText="1"/>
      <protection/>
    </xf>
    <xf numFmtId="0" fontId="8" fillId="0" borderId="13" xfId="135" applyFont="1" applyBorder="1" applyAlignment="1">
      <alignment vertical="center"/>
      <protection/>
    </xf>
    <xf numFmtId="0" fontId="8" fillId="0" borderId="23" xfId="152" applyFont="1" applyBorder="1" applyAlignment="1">
      <alignment horizontal="center" vertical="center"/>
      <protection/>
    </xf>
    <xf numFmtId="3" fontId="8" fillId="0" borderId="23" xfId="152" applyNumberFormat="1" applyFont="1" applyBorder="1" applyAlignment="1">
      <alignment vertical="center"/>
      <protection/>
    </xf>
    <xf numFmtId="0" fontId="8" fillId="0" borderId="21" xfId="152" applyFont="1" applyBorder="1" applyAlignment="1">
      <alignment horizontal="center" vertical="center"/>
      <protection/>
    </xf>
    <xf numFmtId="3" fontId="8" fillId="0" borderId="21" xfId="152" applyNumberFormat="1" applyFont="1" applyBorder="1" applyAlignment="1">
      <alignment vertical="center"/>
      <protection/>
    </xf>
    <xf numFmtId="0" fontId="8" fillId="0" borderId="13" xfId="135" applyFont="1" applyBorder="1" applyAlignment="1">
      <alignment vertical="center" wrapText="1"/>
      <protection/>
    </xf>
    <xf numFmtId="0" fontId="8" fillId="0" borderId="21" xfId="152" applyFont="1" applyFill="1" applyBorder="1" applyAlignment="1">
      <alignment vertical="center" wrapText="1"/>
      <protection/>
    </xf>
    <xf numFmtId="0" fontId="8" fillId="0" borderId="23" xfId="135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6" borderId="13" xfId="152" applyNumberFormat="1" applyFont="1" applyFill="1" applyBorder="1" applyAlignment="1">
      <alignment vertical="center" wrapText="1"/>
      <protection/>
    </xf>
    <xf numFmtId="0" fontId="8" fillId="0" borderId="23" xfId="135" applyFont="1" applyBorder="1" applyAlignment="1">
      <alignment vertical="center" wrapText="1"/>
      <protection/>
    </xf>
    <xf numFmtId="3" fontId="8" fillId="0" borderId="13" xfId="135" applyNumberFormat="1" applyFont="1" applyBorder="1" applyAlignment="1">
      <alignment vertical="center"/>
      <protection/>
    </xf>
    <xf numFmtId="0" fontId="8" fillId="0" borderId="15" xfId="152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6" borderId="13" xfId="15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6" borderId="15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 wrapText="1"/>
    </xf>
    <xf numFmtId="0" fontId="9" fillId="0" borderId="13" xfId="152" applyFont="1" applyFill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6" xfId="0" applyNumberFormat="1" applyFont="1" applyBorder="1" applyAlignment="1">
      <alignment vertical="center" wrapText="1"/>
    </xf>
    <xf numFmtId="0" fontId="9" fillId="6" borderId="13" xfId="132" applyFont="1" applyFill="1" applyBorder="1" applyAlignment="1">
      <alignment vertical="center" wrapText="1"/>
      <protection/>
    </xf>
    <xf numFmtId="3" fontId="8" fillId="0" borderId="0" xfId="135" applyNumberFormat="1" applyFont="1" applyAlignment="1">
      <alignment vertical="center"/>
      <protection/>
    </xf>
    <xf numFmtId="0" fontId="9" fillId="6" borderId="22" xfId="152" applyFont="1" applyFill="1" applyBorder="1" applyAlignment="1">
      <alignment vertical="center"/>
      <protection/>
    </xf>
    <xf numFmtId="0" fontId="8" fillId="0" borderId="0" xfId="135" applyFont="1" applyAlignment="1">
      <alignment vertical="center"/>
      <protection/>
    </xf>
    <xf numFmtId="0" fontId="8" fillId="0" borderId="0" xfId="135" applyFont="1">
      <alignment/>
      <protection/>
    </xf>
    <xf numFmtId="3" fontId="8" fillId="0" borderId="0" xfId="135" applyNumberFormat="1" applyFont="1">
      <alignment/>
      <protection/>
    </xf>
    <xf numFmtId="3" fontId="17" fillId="6" borderId="37" xfId="156" applyNumberFormat="1" applyFont="1" applyFill="1" applyBorder="1" applyAlignment="1">
      <alignment horizontal="center" vertical="center"/>
      <protection/>
    </xf>
    <xf numFmtId="3" fontId="12" fillId="6" borderId="38" xfId="156" applyNumberFormat="1" applyFont="1" applyFill="1" applyBorder="1" applyAlignment="1">
      <alignment horizontal="center" vertical="center" wrapText="1"/>
      <protection/>
    </xf>
    <xf numFmtId="3" fontId="12" fillId="6" borderId="21" xfId="156" applyNumberFormat="1" applyFont="1" applyFill="1" applyBorder="1" applyAlignment="1">
      <alignment horizontal="center" vertical="center" wrapText="1"/>
      <protection/>
    </xf>
    <xf numFmtId="3" fontId="12" fillId="6" borderId="33" xfId="156" applyNumberFormat="1" applyFont="1" applyFill="1" applyBorder="1" applyAlignment="1">
      <alignment horizontal="center" vertical="center" wrapText="1"/>
      <protection/>
    </xf>
    <xf numFmtId="3" fontId="17" fillId="6" borderId="29" xfId="156" applyNumberFormat="1" applyFont="1" applyFill="1" applyBorder="1" applyAlignment="1">
      <alignment horizontal="center" vertical="center"/>
      <protection/>
    </xf>
    <xf numFmtId="3" fontId="13" fillId="0" borderId="39" xfId="156" applyNumberFormat="1" applyFont="1" applyFill="1" applyBorder="1" applyAlignment="1">
      <alignment horizontal="center" vertical="center" wrapText="1"/>
      <protection/>
    </xf>
    <xf numFmtId="3" fontId="15" fillId="0" borderId="13" xfId="156" applyNumberFormat="1" applyFont="1" applyFill="1" applyBorder="1" applyAlignment="1">
      <alignment vertical="center"/>
      <protection/>
    </xf>
    <xf numFmtId="0" fontId="13" fillId="0" borderId="15" xfId="132" applyFont="1" applyBorder="1" applyAlignment="1">
      <alignment vertical="center"/>
      <protection/>
    </xf>
    <xf numFmtId="3" fontId="12" fillId="0" borderId="13" xfId="156" applyNumberFormat="1" applyFont="1" applyFill="1" applyBorder="1" applyAlignment="1">
      <alignment horizontal="left" vertical="center"/>
      <protection/>
    </xf>
    <xf numFmtId="3" fontId="13" fillId="0" borderId="15" xfId="156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6" fillId="0" borderId="13" xfId="156" applyNumberFormat="1" applyFont="1" applyFill="1" applyBorder="1" applyAlignment="1">
      <alignment horizontal="right" vertical="center"/>
      <protection/>
    </xf>
    <xf numFmtId="3" fontId="76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6" fillId="0" borderId="13" xfId="156" applyNumberFormat="1" applyFont="1" applyFill="1" applyBorder="1" applyAlignment="1">
      <alignment vertical="center"/>
      <protection/>
    </xf>
    <xf numFmtId="3" fontId="56" fillId="0" borderId="13" xfId="156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vertical="center"/>
    </xf>
    <xf numFmtId="0" fontId="13" fillId="0" borderId="15" xfId="152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56" applyNumberFormat="1" applyFont="1" applyBorder="1" applyAlignment="1">
      <alignment horizontal="left" vertical="center"/>
      <protection/>
    </xf>
    <xf numFmtId="3" fontId="12" fillId="6" borderId="15" xfId="0" applyNumberFormat="1" applyFont="1" applyFill="1" applyBorder="1" applyAlignment="1">
      <alignment horizontal="center" vertical="center"/>
    </xf>
    <xf numFmtId="3" fontId="12" fillId="6" borderId="16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13" fillId="0" borderId="40" xfId="145" applyNumberFormat="1" applyFont="1" applyFill="1" applyBorder="1" applyAlignment="1">
      <alignment vertical="center" wrapText="1"/>
      <protection/>
    </xf>
    <xf numFmtId="0" fontId="16" fillId="0" borderId="15" xfId="132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46" applyNumberFormat="1" applyFont="1" applyFill="1" applyBorder="1" applyAlignment="1">
      <alignment horizontal="left" vertical="center" wrapText="1"/>
      <protection/>
    </xf>
    <xf numFmtId="49" fontId="13" fillId="0" borderId="26" xfId="146" applyNumberFormat="1" applyFont="1" applyFill="1" applyBorder="1" applyAlignment="1">
      <alignment horizontal="left" vertical="center" wrapText="1"/>
      <protection/>
    </xf>
    <xf numFmtId="49" fontId="8" fillId="0" borderId="26" xfId="146" applyNumberFormat="1" applyFont="1" applyBorder="1" applyAlignment="1">
      <alignment horizontal="left" vertical="center" wrapText="1"/>
      <protection/>
    </xf>
    <xf numFmtId="3" fontId="12" fillId="0" borderId="26" xfId="146" applyNumberFormat="1" applyFont="1" applyBorder="1" applyAlignment="1">
      <alignment vertical="top" wrapText="1"/>
      <protection/>
    </xf>
    <xf numFmtId="3" fontId="57" fillId="0" borderId="26" xfId="146" applyNumberFormat="1" applyFont="1" applyBorder="1" applyAlignment="1">
      <alignment vertical="top" wrapText="1"/>
      <protection/>
    </xf>
    <xf numFmtId="49" fontId="8" fillId="0" borderId="25" xfId="146" applyNumberFormat="1" applyFont="1" applyFill="1" applyBorder="1" applyAlignment="1">
      <alignment horizontal="left" vertical="center" wrapText="1"/>
      <protection/>
    </xf>
    <xf numFmtId="49" fontId="8" fillId="0" borderId="42" xfId="146" applyNumberFormat="1" applyFont="1" applyBorder="1" applyAlignment="1">
      <alignment horizontal="left" vertical="center" wrapText="1"/>
      <protection/>
    </xf>
    <xf numFmtId="0" fontId="8" fillId="0" borderId="27" xfId="154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3" xfId="154" applyFont="1" applyFill="1" applyBorder="1" applyAlignment="1">
      <alignment horizontal="left" vertical="top" wrapText="1"/>
      <protection/>
    </xf>
    <xf numFmtId="0" fontId="8" fillId="0" borderId="44" xfId="143" applyFont="1" applyBorder="1" applyAlignment="1">
      <alignment horizontal="left" vertical="center" wrapText="1"/>
      <protection/>
    </xf>
    <xf numFmtId="0" fontId="8" fillId="0" borderId="45" xfId="132" applyFont="1" applyFill="1" applyBorder="1" applyAlignment="1">
      <alignment horizontal="left" vertical="center" wrapText="1"/>
      <protection/>
    </xf>
    <xf numFmtId="0" fontId="8" fillId="49" borderId="15" xfId="132" applyFont="1" applyFill="1" applyBorder="1" applyAlignment="1">
      <alignment horizontal="left" vertical="center" wrapText="1"/>
      <protection/>
    </xf>
    <xf numFmtId="0" fontId="8" fillId="0" borderId="40" xfId="150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52" applyFont="1" applyFill="1" applyBorder="1" applyAlignment="1">
      <alignment vertical="center"/>
      <protection/>
    </xf>
    <xf numFmtId="3" fontId="13" fillId="6" borderId="16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0" fontId="8" fillId="0" borderId="26" xfId="136" applyFont="1" applyFill="1" applyBorder="1" applyAlignment="1">
      <alignment vertical="top" wrapText="1"/>
      <protection/>
    </xf>
    <xf numFmtId="0" fontId="8" fillId="0" borderId="26" xfId="141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6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37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50" applyNumberFormat="1" applyFont="1" applyFill="1" applyBorder="1" applyAlignment="1">
      <alignment horizontal="left" vertical="center" wrapText="1"/>
      <protection/>
    </xf>
    <xf numFmtId="0" fontId="8" fillId="47" borderId="46" xfId="150" applyFont="1" applyFill="1" applyBorder="1" applyAlignment="1">
      <alignment horizontal="left" vertical="top" wrapText="1"/>
      <protection/>
    </xf>
    <xf numFmtId="0" fontId="8" fillId="47" borderId="47" xfId="150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43" applyFont="1" applyFill="1" applyBorder="1" applyAlignment="1">
      <alignment horizontal="left" vertical="top" wrapText="1"/>
      <protection/>
    </xf>
    <xf numFmtId="3" fontId="37" fillId="0" borderId="26" xfId="0" applyNumberFormat="1" applyFont="1" applyFill="1" applyBorder="1" applyAlignment="1">
      <alignment horizontal="left" vertical="center" wrapText="1"/>
    </xf>
    <xf numFmtId="3" fontId="37" fillId="0" borderId="47" xfId="0" applyNumberFormat="1" applyFont="1" applyFill="1" applyBorder="1" applyAlignment="1">
      <alignment vertical="center" wrapText="1"/>
    </xf>
    <xf numFmtId="3" fontId="37" fillId="0" borderId="46" xfId="0" applyNumberFormat="1" applyFont="1" applyFill="1" applyBorder="1" applyAlignment="1">
      <alignment horizontal="left" vertical="center" wrapText="1"/>
    </xf>
    <xf numFmtId="3" fontId="37" fillId="0" borderId="27" xfId="0" applyNumberFormat="1" applyFont="1" applyFill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6" xfId="129" applyNumberFormat="1" applyFont="1" applyFill="1" applyBorder="1" applyAlignment="1">
      <alignment horizontal="left" vertical="center" wrapText="1"/>
      <protection/>
    </xf>
    <xf numFmtId="49" fontId="37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37" fillId="0" borderId="27" xfId="0" applyNumberFormat="1" applyFont="1" applyBorder="1" applyAlignment="1">
      <alignment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7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50" applyNumberFormat="1" applyFont="1" applyBorder="1" applyAlignment="1">
      <alignment horizontal="left" vertical="center" wrapText="1"/>
      <protection/>
    </xf>
    <xf numFmtId="49" fontId="37" fillId="0" borderId="46" xfId="150" applyNumberFormat="1" applyFont="1" applyFill="1" applyBorder="1" applyAlignment="1">
      <alignment horizontal="left" vertical="center" wrapText="1"/>
      <protection/>
    </xf>
    <xf numFmtId="49" fontId="13" fillId="0" borderId="48" xfId="150" applyNumberFormat="1" applyFont="1" applyBorder="1" applyAlignment="1">
      <alignment horizontal="left" vertical="center" wrapText="1"/>
      <protection/>
    </xf>
    <xf numFmtId="49" fontId="13" fillId="0" borderId="47" xfId="150" applyNumberFormat="1" applyFont="1" applyBorder="1" applyAlignment="1">
      <alignment horizontal="left" vertical="center" wrapText="1"/>
      <protection/>
    </xf>
    <xf numFmtId="49" fontId="37" fillId="0" borderId="15" xfId="150" applyNumberFormat="1" applyFont="1" applyFill="1" applyBorder="1" applyAlignment="1">
      <alignment horizontal="left" vertical="center" wrapText="1"/>
      <protection/>
    </xf>
    <xf numFmtId="0" fontId="8" fillId="47" borderId="26" xfId="144" applyFont="1" applyFill="1" applyBorder="1" applyAlignment="1">
      <alignment vertical="top"/>
      <protection/>
    </xf>
    <xf numFmtId="0" fontId="9" fillId="47" borderId="36" xfId="144" applyFont="1" applyFill="1" applyBorder="1" applyAlignment="1">
      <alignment horizontal="center" vertical="top" wrapText="1"/>
      <protection/>
    </xf>
    <xf numFmtId="0" fontId="9" fillId="47" borderId="26" xfId="144" applyFont="1" applyFill="1" applyBorder="1" applyAlignment="1">
      <alignment vertical="top"/>
      <protection/>
    </xf>
    <xf numFmtId="49" fontId="8" fillId="47" borderId="15" xfId="150" applyNumberFormat="1" applyFont="1" applyFill="1" applyBorder="1" applyAlignment="1">
      <alignment horizontal="left" vertical="top" wrapText="1"/>
      <protection/>
    </xf>
    <xf numFmtId="0" fontId="8" fillId="0" borderId="15" xfId="150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52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6" borderId="15" xfId="0" applyNumberFormat="1" applyFont="1" applyFill="1" applyBorder="1" applyAlignment="1">
      <alignment horizontal="center" vertical="center"/>
    </xf>
    <xf numFmtId="0" fontId="9" fillId="0" borderId="49" xfId="144" applyFont="1" applyFill="1" applyBorder="1" applyAlignment="1">
      <alignment horizontal="center" vertical="center"/>
      <protection/>
    </xf>
    <xf numFmtId="3" fontId="13" fillId="0" borderId="50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44" applyFont="1" applyFill="1" applyBorder="1" applyAlignment="1">
      <alignment horizontal="center" vertical="center"/>
      <protection/>
    </xf>
    <xf numFmtId="49" fontId="8" fillId="0" borderId="15" xfId="146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44" applyFont="1" applyFill="1" applyBorder="1" applyAlignment="1">
      <alignment horizontal="center" vertical="center"/>
      <protection/>
    </xf>
    <xf numFmtId="0" fontId="8" fillId="0" borderId="15" xfId="155" applyFont="1" applyBorder="1" applyAlignment="1">
      <alignment vertical="center"/>
      <protection/>
    </xf>
    <xf numFmtId="0" fontId="8" fillId="0" borderId="51" xfId="144" applyFont="1" applyFill="1" applyBorder="1" applyAlignment="1">
      <alignment horizontal="center" vertical="center"/>
      <protection/>
    </xf>
    <xf numFmtId="0" fontId="13" fillId="0" borderId="25" xfId="150" applyFont="1" applyBorder="1" applyAlignment="1">
      <alignment horizontal="left" vertical="top" wrapText="1"/>
      <protection/>
    </xf>
    <xf numFmtId="3" fontId="13" fillId="0" borderId="5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44" applyFont="1" applyFill="1" applyBorder="1" applyAlignment="1">
      <alignment horizontal="center" vertical="center"/>
      <protection/>
    </xf>
    <xf numFmtId="0" fontId="9" fillId="0" borderId="36" xfId="144" applyFont="1" applyBorder="1" applyAlignment="1">
      <alignment horizontal="center" vertical="center"/>
      <protection/>
    </xf>
    <xf numFmtId="0" fontId="9" fillId="0" borderId="26" xfId="144" applyFont="1" applyBorder="1" applyAlignment="1">
      <alignment vertical="center"/>
      <protection/>
    </xf>
    <xf numFmtId="0" fontId="8" fillId="0" borderId="36" xfId="144" applyFont="1" applyBorder="1" applyAlignment="1">
      <alignment horizontal="center" vertical="center"/>
      <protection/>
    </xf>
    <xf numFmtId="0" fontId="8" fillId="0" borderId="26" xfId="155" applyFont="1" applyBorder="1" applyAlignment="1">
      <alignment vertical="center"/>
      <protection/>
    </xf>
    <xf numFmtId="0" fontId="8" fillId="47" borderId="26" xfId="137" applyFont="1" applyFill="1" applyBorder="1" applyAlignment="1">
      <alignment vertical="top" wrapText="1"/>
      <protection/>
    </xf>
    <xf numFmtId="0" fontId="8" fillId="47" borderId="36" xfId="144" applyFont="1" applyFill="1" applyBorder="1" applyAlignment="1">
      <alignment horizontal="center" vertical="top" wrapText="1"/>
      <protection/>
    </xf>
    <xf numFmtId="49" fontId="13" fillId="0" borderId="40" xfId="150" applyNumberFormat="1" applyFont="1" applyBorder="1" applyAlignment="1">
      <alignment horizontal="left" vertical="center" wrapText="1"/>
      <protection/>
    </xf>
    <xf numFmtId="0" fontId="8" fillId="47" borderId="40" xfId="150" applyFont="1" applyFill="1" applyBorder="1" applyAlignment="1">
      <alignment horizontal="left" vertical="top" wrapText="1"/>
      <protection/>
    </xf>
    <xf numFmtId="0" fontId="8" fillId="47" borderId="36" xfId="144" applyFont="1" applyFill="1" applyBorder="1" applyAlignment="1">
      <alignment vertical="top"/>
      <protection/>
    </xf>
    <xf numFmtId="0" fontId="8" fillId="47" borderId="0" xfId="143" applyFont="1" applyFill="1" applyBorder="1" applyAlignment="1">
      <alignment vertical="top"/>
      <protection/>
    </xf>
    <xf numFmtId="0" fontId="8" fillId="0" borderId="26" xfId="141" applyFont="1" applyFill="1" applyBorder="1" applyAlignment="1">
      <alignment vertical="top"/>
      <protection/>
    </xf>
    <xf numFmtId="0" fontId="8" fillId="0" borderId="36" xfId="144" applyFont="1" applyFill="1" applyBorder="1" applyAlignment="1">
      <alignment horizontal="center" vertical="top" wrapText="1"/>
      <protection/>
    </xf>
    <xf numFmtId="0" fontId="8" fillId="0" borderId="26" xfId="144" applyFont="1" applyFill="1" applyBorder="1" applyAlignment="1">
      <alignment vertical="top"/>
      <protection/>
    </xf>
    <xf numFmtId="0" fontId="8" fillId="0" borderId="26" xfId="144" applyFont="1" applyBorder="1">
      <alignment/>
      <protection/>
    </xf>
    <xf numFmtId="0" fontId="8" fillId="0" borderId="26" xfId="144" applyFont="1" applyFill="1" applyBorder="1" applyAlignment="1">
      <alignment vertical="top" wrapText="1"/>
      <protection/>
    </xf>
    <xf numFmtId="0" fontId="8" fillId="0" borderId="26" xfId="134" applyFont="1" applyFill="1" applyBorder="1" applyAlignment="1">
      <alignment horizontal="left" vertical="center" wrapText="1"/>
      <protection/>
    </xf>
    <xf numFmtId="0" fontId="8" fillId="0" borderId="26" xfId="141" applyFont="1" applyFill="1" applyBorder="1" applyAlignment="1">
      <alignment vertical="top" wrapText="1"/>
      <protection/>
    </xf>
    <xf numFmtId="0" fontId="8" fillId="47" borderId="26" xfId="144" applyFont="1" applyFill="1" applyBorder="1" applyAlignment="1">
      <alignment horizontal="left" vertical="top" wrapText="1"/>
      <protection/>
    </xf>
    <xf numFmtId="49" fontId="8" fillId="0" borderId="26" xfId="147" applyNumberFormat="1" applyFont="1" applyFill="1" applyBorder="1" applyAlignment="1">
      <alignment horizontal="left" vertical="center"/>
      <protection/>
    </xf>
    <xf numFmtId="49" fontId="8" fillId="0" borderId="26" xfId="146" applyNumberFormat="1" applyFont="1" applyFill="1" applyBorder="1" applyAlignment="1">
      <alignment horizontal="left" vertical="center"/>
      <protection/>
    </xf>
    <xf numFmtId="0" fontId="8" fillId="0" borderId="26" xfId="139" applyFont="1" applyFill="1" applyBorder="1" applyAlignment="1">
      <alignment vertical="top" wrapText="1"/>
      <protection/>
    </xf>
    <xf numFmtId="0" fontId="8" fillId="0" borderId="26" xfId="134" applyFont="1" applyFill="1" applyBorder="1" applyAlignment="1">
      <alignment horizontal="left" vertical="center" wrapText="1"/>
      <protection/>
    </xf>
    <xf numFmtId="0" fontId="8" fillId="0" borderId="26" xfId="131" applyFont="1" applyFill="1" applyBorder="1" applyAlignment="1">
      <alignment horizontal="left" vertical="center" wrapText="1"/>
      <protection/>
    </xf>
    <xf numFmtId="0" fontId="9" fillId="0" borderId="26" xfId="144" applyFont="1" applyFill="1" applyBorder="1" applyAlignment="1">
      <alignment vertical="top"/>
      <protection/>
    </xf>
    <xf numFmtId="49" fontId="8" fillId="0" borderId="26" xfId="146" applyNumberFormat="1" applyFont="1" applyFill="1" applyBorder="1" applyAlignment="1">
      <alignment horizontal="left" vertical="center" wrapText="1"/>
      <protection/>
    </xf>
    <xf numFmtId="0" fontId="8" fillId="0" borderId="26" xfId="150" applyFont="1" applyBorder="1" applyAlignment="1">
      <alignment horizontal="left" vertical="top" wrapText="1"/>
      <protection/>
    </xf>
    <xf numFmtId="0" fontId="8" fillId="0" borderId="26" xfId="150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2" xfId="155" applyFont="1" applyFill="1" applyBorder="1" applyAlignment="1">
      <alignment vertical="center" wrapText="1"/>
      <protection/>
    </xf>
    <xf numFmtId="0" fontId="8" fillId="47" borderId="26" xfId="144" applyFont="1" applyFill="1" applyBorder="1" applyAlignment="1">
      <alignment vertical="top" wrapText="1"/>
      <protection/>
    </xf>
    <xf numFmtId="0" fontId="8" fillId="0" borderId="26" xfId="143" applyFont="1" applyFill="1" applyBorder="1" applyAlignment="1">
      <alignment vertical="center" wrapText="1"/>
      <protection/>
    </xf>
    <xf numFmtId="0" fontId="13" fillId="0" borderId="14" xfId="153" applyFont="1" applyFill="1" applyBorder="1" applyAlignment="1">
      <alignment vertical="center" wrapText="1"/>
      <protection/>
    </xf>
    <xf numFmtId="0" fontId="13" fillId="0" borderId="0" xfId="155" applyFont="1" applyFill="1" applyBorder="1" applyAlignment="1">
      <alignment vertical="center" wrapText="1"/>
      <protection/>
    </xf>
    <xf numFmtId="3" fontId="14" fillId="0" borderId="13" xfId="156" applyNumberFormat="1" applyFont="1" applyFill="1" applyBorder="1" applyAlignment="1">
      <alignment horizontal="center" vertical="top" wrapText="1"/>
      <protection/>
    </xf>
    <xf numFmtId="3" fontId="13" fillId="0" borderId="13" xfId="156" applyNumberFormat="1" applyFont="1" applyFill="1" applyBorder="1" applyAlignment="1">
      <alignment horizontal="right" vertical="top" wrapText="1"/>
      <protection/>
    </xf>
    <xf numFmtId="3" fontId="14" fillId="0" borderId="13" xfId="156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77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2" applyFont="1" applyFill="1" applyBorder="1" applyAlignment="1">
      <alignment vertical="center" wrapText="1"/>
      <protection/>
    </xf>
    <xf numFmtId="3" fontId="12" fillId="6" borderId="16" xfId="0" applyNumberFormat="1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17" fillId="46" borderId="13" xfId="156" applyNumberFormat="1" applyFont="1" applyFill="1" applyBorder="1" applyAlignment="1">
      <alignment horizontal="center" vertical="top" wrapText="1"/>
      <protection/>
    </xf>
    <xf numFmtId="3" fontId="13" fillId="46" borderId="15" xfId="156" applyNumberFormat="1" applyFont="1" applyFill="1" applyBorder="1" applyAlignment="1">
      <alignment horizontal="left" vertical="top"/>
      <protection/>
    </xf>
    <xf numFmtId="3" fontId="13" fillId="46" borderId="13" xfId="156" applyNumberFormat="1" applyFont="1" applyFill="1" applyBorder="1" applyAlignment="1">
      <alignment horizontal="right" vertical="top" wrapText="1"/>
      <protection/>
    </xf>
    <xf numFmtId="3" fontId="17" fillId="46" borderId="13" xfId="156" applyNumberFormat="1" applyFont="1" applyFill="1" applyBorder="1" applyAlignment="1">
      <alignment horizontal="center" vertical="center" wrapText="1"/>
      <protection/>
    </xf>
    <xf numFmtId="3" fontId="8" fillId="46" borderId="13" xfId="156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0" fontId="12" fillId="6" borderId="15" xfId="132" applyFont="1" applyFill="1" applyBorder="1" applyAlignment="1">
      <alignment vertical="center" wrapText="1"/>
      <protection/>
    </xf>
    <xf numFmtId="0" fontId="0" fillId="6" borderId="50" xfId="0" applyFill="1" applyBorder="1" applyAlignment="1">
      <alignment vertical="center"/>
    </xf>
    <xf numFmtId="3" fontId="12" fillId="6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6" borderId="52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vertical="center"/>
    </xf>
    <xf numFmtId="3" fontId="12" fillId="46" borderId="53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42" xfId="146" applyNumberFormat="1" applyFont="1" applyBorder="1" applyAlignment="1">
      <alignment horizontal="left" vertical="center" wrapText="1"/>
      <protection/>
    </xf>
    <xf numFmtId="49" fontId="13" fillId="0" borderId="25" xfId="146" applyNumberFormat="1" applyFont="1" applyFill="1" applyBorder="1" applyAlignment="1">
      <alignment horizontal="left" vertical="center" wrapText="1"/>
      <protection/>
    </xf>
    <xf numFmtId="0" fontId="13" fillId="0" borderId="26" xfId="136" applyFont="1" applyFill="1" applyBorder="1" applyAlignment="1">
      <alignment vertical="top" wrapText="1"/>
      <protection/>
    </xf>
    <xf numFmtId="0" fontId="13" fillId="0" borderId="26" xfId="141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46" xfId="0" applyNumberFormat="1" applyFont="1" applyBorder="1" applyAlignment="1">
      <alignment vertical="center"/>
    </xf>
    <xf numFmtId="0" fontId="13" fillId="47" borderId="46" xfId="150" applyFont="1" applyFill="1" applyBorder="1" applyAlignment="1">
      <alignment horizontal="left" vertical="top" wrapText="1"/>
      <protection/>
    </xf>
    <xf numFmtId="0" fontId="13" fillId="47" borderId="47" xfId="150" applyFont="1" applyFill="1" applyBorder="1" applyAlignment="1">
      <alignment horizontal="left" vertical="top" wrapText="1"/>
      <protection/>
    </xf>
    <xf numFmtId="0" fontId="13" fillId="47" borderId="15" xfId="150" applyFont="1" applyFill="1" applyBorder="1" applyAlignment="1">
      <alignment horizontal="left" vertical="top" wrapText="1"/>
      <protection/>
    </xf>
    <xf numFmtId="0" fontId="13" fillId="0" borderId="26" xfId="137" applyFont="1" applyFill="1" applyBorder="1" applyAlignment="1">
      <alignment horizontal="left" vertical="top"/>
      <protection/>
    </xf>
    <xf numFmtId="0" fontId="13" fillId="47" borderId="26" xfId="144" applyFont="1" applyFill="1" applyBorder="1" applyAlignment="1">
      <alignment vertical="top"/>
      <protection/>
    </xf>
    <xf numFmtId="49" fontId="13" fillId="0" borderId="15" xfId="150" applyNumberFormat="1" applyFont="1" applyFill="1" applyBorder="1" applyAlignment="1">
      <alignment horizontal="left" vertical="center" wrapText="1"/>
      <protection/>
    </xf>
    <xf numFmtId="49" fontId="13" fillId="47" borderId="27" xfId="150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43" applyFont="1" applyFill="1" applyBorder="1" applyAlignment="1">
      <alignment horizontal="left" vertical="top" wrapText="1"/>
      <protection/>
    </xf>
    <xf numFmtId="0" fontId="12" fillId="0" borderId="26" xfId="143" applyFont="1" applyFill="1" applyBorder="1" applyAlignment="1">
      <alignment vertical="top"/>
      <protection/>
    </xf>
    <xf numFmtId="0" fontId="12" fillId="47" borderId="26" xfId="144" applyFont="1" applyFill="1" applyBorder="1" applyAlignment="1">
      <alignment vertical="top"/>
      <protection/>
    </xf>
    <xf numFmtId="49" fontId="13" fillId="47" borderId="15" xfId="150" applyNumberFormat="1" applyFont="1" applyFill="1" applyBorder="1" applyAlignment="1">
      <alignment horizontal="left" vertical="top" wrapText="1"/>
      <protection/>
    </xf>
    <xf numFmtId="0" fontId="13" fillId="0" borderId="15" xfId="150" applyFont="1" applyFill="1" applyBorder="1" applyAlignment="1">
      <alignment horizontal="left" vertical="top" wrapText="1"/>
      <protection/>
    </xf>
    <xf numFmtId="3" fontId="13" fillId="0" borderId="47" xfId="0" applyNumberFormat="1" applyFont="1" applyFill="1" applyBorder="1" applyAlignment="1">
      <alignment vertical="center" wrapText="1"/>
    </xf>
    <xf numFmtId="3" fontId="13" fillId="0" borderId="46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29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46" xfId="150" applyNumberFormat="1" applyFont="1" applyFill="1" applyBorder="1" applyAlignment="1">
      <alignment horizontal="left" vertical="center" wrapText="1"/>
      <protection/>
    </xf>
    <xf numFmtId="49" fontId="13" fillId="0" borderId="26" xfId="150" applyNumberFormat="1" applyFont="1" applyBorder="1" applyAlignment="1">
      <alignment horizontal="left" vertical="center" wrapText="1"/>
      <protection/>
    </xf>
    <xf numFmtId="49" fontId="13" fillId="0" borderId="47" xfId="0" applyNumberFormat="1" applyFont="1" applyBorder="1" applyAlignment="1">
      <alignment vertical="center" wrapText="1"/>
    </xf>
    <xf numFmtId="0" fontId="13" fillId="0" borderId="46" xfId="155" applyFont="1" applyFill="1" applyBorder="1" applyAlignment="1">
      <alignment vertical="center" wrapText="1"/>
      <protection/>
    </xf>
    <xf numFmtId="3" fontId="16" fillId="0" borderId="46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13" fillId="46" borderId="53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13" fillId="0" borderId="26" xfId="143" applyFont="1" applyFill="1" applyBorder="1" applyAlignment="1">
      <alignment vertical="top" wrapText="1"/>
      <protection/>
    </xf>
    <xf numFmtId="3" fontId="78" fillId="0" borderId="0" xfId="0" applyNumberFormat="1" applyFont="1" applyBorder="1" applyAlignment="1">
      <alignment vertical="center"/>
    </xf>
    <xf numFmtId="3" fontId="15" fillId="0" borderId="15" xfId="156" applyNumberFormat="1" applyFont="1" applyFill="1" applyBorder="1" applyAlignment="1">
      <alignment vertical="center"/>
      <protection/>
    </xf>
    <xf numFmtId="3" fontId="9" fillId="6" borderId="15" xfId="0" applyNumberFormat="1" applyFont="1" applyFill="1" applyBorder="1" applyAlignment="1">
      <alignment vertical="center"/>
    </xf>
    <xf numFmtId="3" fontId="13" fillId="6" borderId="15" xfId="0" applyNumberFormat="1" applyFont="1" applyFill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6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6" borderId="41" xfId="0" applyNumberFormat="1" applyFont="1" applyFill="1" applyBorder="1" applyAlignment="1">
      <alignment vertical="center"/>
    </xf>
    <xf numFmtId="3" fontId="76" fillId="0" borderId="13" xfId="0" applyNumberFormat="1" applyFont="1" applyBorder="1" applyAlignment="1">
      <alignment vertical="center"/>
    </xf>
    <xf numFmtId="3" fontId="6" fillId="6" borderId="13" xfId="0" applyNumberFormat="1" applyFont="1" applyFill="1" applyBorder="1" applyAlignment="1">
      <alignment vertical="center"/>
    </xf>
    <xf numFmtId="0" fontId="8" fillId="0" borderId="13" xfId="151" applyFont="1" applyBorder="1" applyAlignment="1">
      <alignment vertical="center" wrapText="1"/>
      <protection/>
    </xf>
    <xf numFmtId="49" fontId="8" fillId="0" borderId="0" xfId="146" applyNumberFormat="1" applyFont="1" applyBorder="1" applyAlignment="1">
      <alignment horizontal="left" vertical="center" wrapText="1"/>
      <protection/>
    </xf>
    <xf numFmtId="3" fontId="8" fillId="0" borderId="13" xfId="156" applyNumberFormat="1" applyFont="1" applyFill="1" applyBorder="1" applyAlignment="1">
      <alignment horizontal="right" vertical="center" wrapText="1"/>
      <protection/>
    </xf>
    <xf numFmtId="3" fontId="8" fillId="0" borderId="13" xfId="156" applyNumberFormat="1" applyFont="1" applyBorder="1" applyAlignment="1">
      <alignment horizontal="right" vertical="center" wrapText="1"/>
      <protection/>
    </xf>
    <xf numFmtId="3" fontId="8" fillId="0" borderId="13" xfId="156" applyNumberFormat="1" applyFont="1" applyBorder="1" applyAlignment="1">
      <alignment horizontal="right" vertical="center"/>
      <protection/>
    </xf>
    <xf numFmtId="0" fontId="9" fillId="0" borderId="21" xfId="152" applyFont="1" applyBorder="1" applyAlignment="1">
      <alignment horizontal="center" vertical="center"/>
      <protection/>
    </xf>
    <xf numFmtId="0" fontId="9" fillId="0" borderId="13" xfId="152" applyFont="1" applyBorder="1" applyAlignment="1">
      <alignment horizontal="center" vertical="center"/>
      <protection/>
    </xf>
    <xf numFmtId="0" fontId="8" fillId="0" borderId="16" xfId="132" applyFont="1" applyBorder="1" applyAlignment="1">
      <alignment horizontal="center" vertical="center"/>
      <protection/>
    </xf>
    <xf numFmtId="0" fontId="13" fillId="0" borderId="15" xfId="152" applyFont="1" applyBorder="1" applyAlignment="1">
      <alignment horizontal="center" vertical="center" wrapText="1"/>
      <protection/>
    </xf>
    <xf numFmtId="3" fontId="9" fillId="6" borderId="13" xfId="0" applyNumberFormat="1" applyFont="1" applyFill="1" applyBorder="1" applyAlignment="1">
      <alignment horizontal="center" vertical="center"/>
    </xf>
    <xf numFmtId="0" fontId="8" fillId="0" borderId="16" xfId="152" applyFont="1" applyBorder="1" applyAlignment="1">
      <alignment horizontal="center" vertical="center" wrapText="1"/>
      <protection/>
    </xf>
    <xf numFmtId="0" fontId="9" fillId="6" borderId="13" xfId="132" applyFont="1" applyFill="1" applyBorder="1" applyAlignment="1">
      <alignment horizontal="center" vertical="center" wrapText="1"/>
      <protection/>
    </xf>
    <xf numFmtId="0" fontId="9" fillId="6" borderId="20" xfId="152" applyFont="1" applyFill="1" applyBorder="1" applyAlignment="1">
      <alignment horizontal="center" vertical="center"/>
      <protection/>
    </xf>
    <xf numFmtId="0" fontId="8" fillId="0" borderId="0" xfId="135" applyFont="1" applyAlignment="1">
      <alignment horizontal="center" vertical="center"/>
      <protection/>
    </xf>
    <xf numFmtId="0" fontId="8" fillId="0" borderId="0" xfId="135" applyFont="1" applyAlignment="1">
      <alignment horizontal="center"/>
      <protection/>
    </xf>
    <xf numFmtId="0" fontId="5" fillId="0" borderId="0" xfId="135" applyAlignment="1">
      <alignment horizontal="center"/>
      <protection/>
    </xf>
    <xf numFmtId="3" fontId="8" fillId="0" borderId="16" xfId="152" applyNumberFormat="1" applyFont="1" applyFill="1" applyBorder="1" applyAlignment="1">
      <alignment horizontal="center" vertical="center"/>
      <protection/>
    </xf>
    <xf numFmtId="202" fontId="8" fillId="0" borderId="16" xfId="92" applyNumberFormat="1" applyFont="1" applyFill="1" applyBorder="1" applyAlignment="1">
      <alignment horizontal="center" vertical="center" wrapText="1"/>
    </xf>
    <xf numFmtId="202" fontId="8" fillId="0" borderId="52" xfId="92" applyNumberFormat="1" applyFont="1" applyBorder="1" applyAlignment="1">
      <alignment horizontal="center" vertical="center" wrapText="1"/>
    </xf>
    <xf numFmtId="202" fontId="8" fillId="0" borderId="16" xfId="92" applyNumberFormat="1" applyFont="1" applyBorder="1" applyAlignment="1">
      <alignment horizontal="center" vertical="center" wrapText="1"/>
    </xf>
    <xf numFmtId="202" fontId="9" fillId="6" borderId="16" xfId="92" applyNumberFormat="1" applyFont="1" applyFill="1" applyBorder="1" applyAlignment="1">
      <alignment horizontal="center" vertical="center"/>
    </xf>
    <xf numFmtId="202" fontId="9" fillId="0" borderId="13" xfId="92" applyNumberFormat="1" applyFont="1" applyBorder="1" applyAlignment="1">
      <alignment horizontal="center" vertical="center"/>
    </xf>
    <xf numFmtId="202" fontId="8" fillId="0" borderId="15" xfId="92" applyNumberFormat="1" applyFont="1" applyBorder="1" applyAlignment="1">
      <alignment horizontal="center" vertical="center" wrapText="1"/>
    </xf>
    <xf numFmtId="202" fontId="8" fillId="0" borderId="13" xfId="92" applyNumberFormat="1" applyFont="1" applyBorder="1" applyAlignment="1">
      <alignment horizontal="center" vertical="center" wrapText="1"/>
    </xf>
    <xf numFmtId="202" fontId="8" fillId="0" borderId="15" xfId="92" applyNumberFormat="1" applyFont="1" applyBorder="1" applyAlignment="1">
      <alignment horizontal="center" vertical="center"/>
    </xf>
    <xf numFmtId="202" fontId="13" fillId="0" borderId="15" xfId="92" applyNumberFormat="1" applyFont="1" applyFill="1" applyBorder="1" applyAlignment="1">
      <alignment horizontal="center" vertical="center" wrapText="1"/>
    </xf>
    <xf numFmtId="202" fontId="8" fillId="0" borderId="15" xfId="92" applyNumberFormat="1" applyFont="1" applyFill="1" applyBorder="1" applyAlignment="1">
      <alignment horizontal="center" vertical="center" wrapText="1"/>
    </xf>
    <xf numFmtId="202" fontId="8" fillId="0" borderId="13" xfId="92" applyNumberFormat="1" applyFont="1" applyFill="1" applyBorder="1" applyAlignment="1">
      <alignment horizontal="center" vertical="top" wrapText="1"/>
    </xf>
    <xf numFmtId="202" fontId="8" fillId="0" borderId="0" xfId="92" applyNumberFormat="1" applyFont="1" applyFill="1" applyBorder="1" applyAlignment="1">
      <alignment horizontal="center" vertical="top" wrapText="1"/>
    </xf>
    <xf numFmtId="202" fontId="8" fillId="0" borderId="13" xfId="92" applyNumberFormat="1" applyFont="1" applyFill="1" applyBorder="1" applyAlignment="1">
      <alignment horizontal="center" vertical="center" wrapText="1"/>
    </xf>
    <xf numFmtId="202" fontId="9" fillId="6" borderId="15" xfId="92" applyNumberFormat="1" applyFont="1" applyFill="1" applyBorder="1" applyAlignment="1">
      <alignment horizontal="center" vertical="center"/>
    </xf>
    <xf numFmtId="202" fontId="8" fillId="0" borderId="13" xfId="92" applyNumberFormat="1" applyFont="1" applyBorder="1" applyAlignment="1">
      <alignment horizontal="center" vertical="center"/>
    </xf>
    <xf numFmtId="202" fontId="8" fillId="0" borderId="0" xfId="92" applyNumberFormat="1" applyFont="1" applyFill="1" applyBorder="1" applyAlignment="1">
      <alignment horizontal="center" vertical="center" wrapText="1"/>
    </xf>
    <xf numFmtId="202" fontId="8" fillId="0" borderId="21" xfId="92" applyNumberFormat="1" applyFont="1" applyBorder="1" applyAlignment="1">
      <alignment horizontal="center" vertical="center" wrapText="1"/>
    </xf>
    <xf numFmtId="202" fontId="8" fillId="0" borderId="15" xfId="92" applyNumberFormat="1" applyFont="1" applyFill="1" applyBorder="1" applyAlignment="1">
      <alignment horizontal="center" vertical="top" wrapText="1"/>
    </xf>
    <xf numFmtId="202" fontId="9" fillId="6" borderId="13" xfId="92" applyNumberFormat="1" applyFont="1" applyFill="1" applyBorder="1" applyAlignment="1">
      <alignment horizontal="center" vertical="center"/>
    </xf>
    <xf numFmtId="3" fontId="8" fillId="0" borderId="15" xfId="92" applyNumberFormat="1" applyFont="1" applyBorder="1" applyAlignment="1">
      <alignment horizontal="center" vertical="center"/>
    </xf>
    <xf numFmtId="3" fontId="8" fillId="0" borderId="15" xfId="92" applyNumberFormat="1" applyFont="1" applyBorder="1" applyAlignment="1">
      <alignment horizontal="center" vertical="center" wrapText="1"/>
    </xf>
    <xf numFmtId="3" fontId="8" fillId="0" borderId="13" xfId="92" applyNumberFormat="1" applyFont="1" applyBorder="1" applyAlignment="1">
      <alignment horizontal="center" vertical="center"/>
    </xf>
    <xf numFmtId="3" fontId="8" fillId="0" borderId="0" xfId="92" applyNumberFormat="1" applyFont="1" applyBorder="1" applyAlignment="1">
      <alignment horizontal="center" vertical="center"/>
    </xf>
    <xf numFmtId="3" fontId="8" fillId="0" borderId="0" xfId="92" applyNumberFormat="1" applyFont="1" applyBorder="1" applyAlignment="1">
      <alignment horizontal="center" wrapText="1"/>
    </xf>
    <xf numFmtId="3" fontId="8" fillId="0" borderId="13" xfId="92" applyNumberFormat="1" applyFont="1" applyBorder="1" applyAlignment="1">
      <alignment horizontal="center" vertical="center" wrapText="1"/>
    </xf>
    <xf numFmtId="3" fontId="8" fillId="0" borderId="21" xfId="92" applyNumberFormat="1" applyFont="1" applyBorder="1" applyAlignment="1">
      <alignment horizontal="center" vertical="center"/>
    </xf>
    <xf numFmtId="3" fontId="8" fillId="0" borderId="21" xfId="92" applyNumberFormat="1" applyFont="1" applyBorder="1" applyAlignment="1">
      <alignment horizontal="center" vertical="center" wrapText="1"/>
    </xf>
    <xf numFmtId="3" fontId="8" fillId="0" borderId="21" xfId="92" applyNumberFormat="1" applyFont="1" applyFill="1" applyBorder="1" applyAlignment="1">
      <alignment horizontal="center" vertical="center" wrapText="1"/>
    </xf>
    <xf numFmtId="3" fontId="8" fillId="0" borderId="23" xfId="92" applyNumberFormat="1" applyFont="1" applyBorder="1" applyAlignment="1">
      <alignment horizontal="center" vertical="center"/>
    </xf>
    <xf numFmtId="3" fontId="8" fillId="0" borderId="15" xfId="92" applyNumberFormat="1" applyFont="1" applyFill="1" applyBorder="1" applyAlignment="1">
      <alignment horizontal="center" vertical="center" wrapText="1"/>
    </xf>
    <xf numFmtId="3" fontId="13" fillId="0" borderId="15" xfId="92" applyNumberFormat="1" applyFont="1" applyBorder="1" applyAlignment="1">
      <alignment horizontal="center" vertical="center" wrapText="1"/>
    </xf>
    <xf numFmtId="3" fontId="9" fillId="6" borderId="13" xfId="92" applyNumberFormat="1" applyFont="1" applyFill="1" applyBorder="1" applyAlignment="1">
      <alignment horizontal="center" vertical="center"/>
    </xf>
    <xf numFmtId="3" fontId="8" fillId="0" borderId="13" xfId="92" applyNumberFormat="1" applyFont="1" applyFill="1" applyBorder="1" applyAlignment="1">
      <alignment horizontal="center" vertical="center" wrapText="1"/>
    </xf>
    <xf numFmtId="3" fontId="9" fillId="0" borderId="13" xfId="92" applyNumberFormat="1" applyFont="1" applyBorder="1" applyAlignment="1">
      <alignment horizontal="center" vertical="center"/>
    </xf>
    <xf numFmtId="3" fontId="8" fillId="0" borderId="23" xfId="92" applyNumberFormat="1" applyFont="1" applyBorder="1" applyAlignment="1">
      <alignment horizontal="center" vertical="center" wrapText="1"/>
    </xf>
    <xf numFmtId="3" fontId="8" fillId="0" borderId="13" xfId="92" applyNumberFormat="1" applyFont="1" applyFill="1" applyBorder="1" applyAlignment="1">
      <alignment horizontal="center" vertical="center"/>
    </xf>
    <xf numFmtId="3" fontId="13" fillId="0" borderId="15" xfId="92" applyNumberFormat="1" applyFont="1" applyFill="1" applyBorder="1" applyAlignment="1">
      <alignment horizontal="center" vertical="center" wrapText="1"/>
    </xf>
    <xf numFmtId="3" fontId="9" fillId="6" borderId="15" xfId="92" applyNumberFormat="1" applyFont="1" applyFill="1" applyBorder="1" applyAlignment="1">
      <alignment horizontal="center" vertical="center"/>
    </xf>
    <xf numFmtId="3" fontId="9" fillId="0" borderId="13" xfId="92" applyNumberFormat="1" applyFont="1" applyFill="1" applyBorder="1" applyAlignment="1">
      <alignment horizontal="center" vertical="center"/>
    </xf>
    <xf numFmtId="3" fontId="8" fillId="0" borderId="16" xfId="92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6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6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0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3" fillId="0" borderId="0" xfId="155" applyNumberFormat="1" applyFont="1" applyFill="1" applyBorder="1" applyAlignment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56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0" fillId="6" borderId="50" xfId="0" applyNumberFormat="1" applyFill="1" applyBorder="1" applyAlignment="1">
      <alignment horizontal="center" vertical="center"/>
    </xf>
    <xf numFmtId="3" fontId="12" fillId="6" borderId="52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/>
    </xf>
    <xf numFmtId="3" fontId="8" fillId="0" borderId="36" xfId="0" applyNumberFormat="1" applyFont="1" applyFill="1" applyBorder="1" applyAlignment="1">
      <alignment horizontal="left" vertical="center" wrapText="1"/>
    </xf>
    <xf numFmtId="0" fontId="9" fillId="0" borderId="33" xfId="152" applyFont="1" applyBorder="1" applyAlignment="1">
      <alignment vertical="center"/>
      <protection/>
    </xf>
    <xf numFmtId="0" fontId="9" fillId="0" borderId="15" xfId="152" applyFont="1" applyBorder="1" applyAlignment="1">
      <alignment vertical="center"/>
      <protection/>
    </xf>
    <xf numFmtId="0" fontId="8" fillId="0" borderId="15" xfId="132" applyFont="1" applyBorder="1" applyAlignment="1">
      <alignment vertical="center"/>
      <protection/>
    </xf>
    <xf numFmtId="0" fontId="8" fillId="0" borderId="15" xfId="153" applyFont="1" applyFill="1" applyBorder="1" applyAlignment="1">
      <alignment vertical="center" wrapText="1"/>
      <protection/>
    </xf>
    <xf numFmtId="0" fontId="8" fillId="0" borderId="33" xfId="152" applyFont="1" applyBorder="1" applyAlignment="1">
      <alignment vertical="center" wrapText="1"/>
      <protection/>
    </xf>
    <xf numFmtId="0" fontId="8" fillId="0" borderId="15" xfId="0" applyFont="1" applyFill="1" applyBorder="1" applyAlignment="1">
      <alignment vertical="top" wrapText="1"/>
    </xf>
    <xf numFmtId="0" fontId="8" fillId="0" borderId="54" xfId="142" applyFont="1" applyFill="1" applyBorder="1" applyAlignment="1">
      <alignment vertical="top" wrapText="1"/>
      <protection/>
    </xf>
    <xf numFmtId="0" fontId="8" fillId="0" borderId="54" xfId="132" applyFont="1" applyFill="1" applyBorder="1" applyAlignment="1">
      <alignment horizontal="left" vertical="center" wrapText="1"/>
      <protection/>
    </xf>
    <xf numFmtId="0" fontId="8" fillId="0" borderId="15" xfId="132" applyFont="1" applyFill="1" applyBorder="1" applyAlignment="1">
      <alignment horizontal="left" vertical="center" wrapText="1"/>
      <protection/>
    </xf>
    <xf numFmtId="0" fontId="8" fillId="0" borderId="15" xfId="140" applyFont="1" applyFill="1" applyBorder="1" applyAlignment="1">
      <alignment vertical="top" wrapText="1"/>
      <protection/>
    </xf>
    <xf numFmtId="0" fontId="8" fillId="0" borderId="55" xfId="142" applyFont="1" applyFill="1" applyBorder="1" applyAlignment="1">
      <alignment vertical="top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26" xfId="149" applyFont="1" applyBorder="1" applyAlignment="1">
      <alignment wrapText="1"/>
      <protection/>
    </xf>
    <xf numFmtId="0" fontId="8" fillId="0" borderId="15" xfId="135" applyFont="1" applyBorder="1" applyAlignment="1">
      <alignment vertical="center"/>
      <protection/>
    </xf>
    <xf numFmtId="0" fontId="8" fillId="0" borderId="33" xfId="152" applyFont="1" applyBorder="1" applyAlignment="1">
      <alignment vertical="center"/>
      <protection/>
    </xf>
    <xf numFmtId="0" fontId="8" fillId="0" borderId="15" xfId="135" applyFont="1" applyBorder="1" applyAlignment="1">
      <alignment vertical="center" wrapText="1"/>
      <protection/>
    </xf>
    <xf numFmtId="0" fontId="8" fillId="0" borderId="33" xfId="152" applyFont="1" applyFill="1" applyBorder="1" applyAlignment="1">
      <alignment vertical="center" wrapText="1"/>
      <protection/>
    </xf>
    <xf numFmtId="0" fontId="8" fillId="0" borderId="41" xfId="135" applyFont="1" applyBorder="1" applyAlignment="1">
      <alignment vertical="center"/>
      <protection/>
    </xf>
    <xf numFmtId="0" fontId="8" fillId="0" borderId="41" xfId="135" applyFont="1" applyBorder="1" applyAlignment="1">
      <alignment vertical="center" wrapText="1"/>
      <protection/>
    </xf>
    <xf numFmtId="0" fontId="8" fillId="0" borderId="15" xfId="151" applyFont="1" applyBorder="1" applyAlignment="1">
      <alignment vertical="center" wrapText="1"/>
      <protection/>
    </xf>
    <xf numFmtId="0" fontId="9" fillId="0" borderId="15" xfId="152" applyFont="1" applyFill="1" applyBorder="1" applyAlignment="1">
      <alignment vertical="center"/>
      <protection/>
    </xf>
    <xf numFmtId="0" fontId="9" fillId="6" borderId="15" xfId="132" applyFont="1" applyFill="1" applyBorder="1" applyAlignment="1">
      <alignment vertical="center" wrapText="1"/>
      <protection/>
    </xf>
    <xf numFmtId="0" fontId="9" fillId="6" borderId="56" xfId="152" applyFont="1" applyFill="1" applyBorder="1" applyAlignment="1">
      <alignment vertical="center"/>
      <protection/>
    </xf>
    <xf numFmtId="0" fontId="8" fillId="0" borderId="16" xfId="152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8" fillId="0" borderId="16" xfId="152" applyNumberFormat="1" applyFont="1" applyBorder="1" applyAlignment="1">
      <alignment vertical="center"/>
      <protection/>
    </xf>
    <xf numFmtId="0" fontId="8" fillId="0" borderId="16" xfId="0" applyFont="1" applyBorder="1" applyAlignment="1">
      <alignment vertical="center"/>
    </xf>
    <xf numFmtId="3" fontId="8" fillId="0" borderId="16" xfId="152" applyNumberFormat="1" applyFont="1" applyBorder="1" applyAlignment="1">
      <alignment vertical="center" wrapText="1"/>
      <protection/>
    </xf>
    <xf numFmtId="3" fontId="8" fillId="0" borderId="16" xfId="152" applyNumberFormat="1" applyFont="1" applyFill="1" applyBorder="1" applyAlignment="1">
      <alignment vertical="center" wrapText="1"/>
      <protection/>
    </xf>
    <xf numFmtId="3" fontId="56" fillId="0" borderId="16" xfId="0" applyNumberFormat="1" applyFont="1" applyBorder="1" applyAlignment="1">
      <alignment horizontal="left" vertical="center" wrapText="1"/>
    </xf>
    <xf numFmtId="3" fontId="13" fillId="0" borderId="16" xfId="0" applyNumberFormat="1" applyFont="1" applyBorder="1" applyAlignment="1">
      <alignment horizontal="left" vertical="center"/>
    </xf>
    <xf numFmtId="3" fontId="8" fillId="0" borderId="50" xfId="152" applyNumberFormat="1" applyFont="1" applyBorder="1" applyAlignment="1">
      <alignment vertical="center"/>
      <protection/>
    </xf>
    <xf numFmtId="3" fontId="8" fillId="0" borderId="52" xfId="152" applyNumberFormat="1" applyFont="1" applyBorder="1" applyAlignment="1">
      <alignment vertical="center"/>
      <protection/>
    </xf>
    <xf numFmtId="0" fontId="8" fillId="0" borderId="16" xfId="0" applyFont="1" applyBorder="1" applyAlignment="1">
      <alignment vertical="center" wrapText="1"/>
    </xf>
    <xf numFmtId="3" fontId="9" fillId="0" borderId="16" xfId="152" applyNumberFormat="1" applyFont="1" applyFill="1" applyBorder="1" applyAlignment="1">
      <alignment vertical="center"/>
      <protection/>
    </xf>
    <xf numFmtId="3" fontId="9" fillId="6" borderId="16" xfId="152" applyNumberFormat="1" applyFont="1" applyFill="1" applyBorder="1" applyAlignment="1">
      <alignment vertical="center" wrapText="1"/>
      <protection/>
    </xf>
    <xf numFmtId="3" fontId="13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13" fillId="0" borderId="13" xfId="152" applyFont="1" applyBorder="1" applyAlignment="1">
      <alignment horizontal="center" vertical="center" wrapText="1"/>
      <protection/>
    </xf>
    <xf numFmtId="3" fontId="8" fillId="0" borderId="13" xfId="152" applyNumberFormat="1" applyFont="1" applyFill="1" applyBorder="1" applyAlignment="1">
      <alignment horizontal="center" vertical="center"/>
      <protection/>
    </xf>
    <xf numFmtId="0" fontId="8" fillId="0" borderId="13" xfId="152" applyFont="1" applyBorder="1" applyAlignment="1">
      <alignment horizontal="center" vertical="center" wrapText="1"/>
      <protection/>
    </xf>
    <xf numFmtId="202" fontId="13" fillId="0" borderId="13" xfId="92" applyNumberFormat="1" applyFont="1" applyFill="1" applyBorder="1" applyAlignment="1">
      <alignment horizontal="center" vertical="center" wrapText="1"/>
    </xf>
    <xf numFmtId="3" fontId="8" fillId="0" borderId="13" xfId="92" applyNumberFormat="1" applyFont="1" applyBorder="1" applyAlignment="1">
      <alignment horizontal="center" wrapText="1"/>
    </xf>
    <xf numFmtId="3" fontId="13" fillId="0" borderId="13" xfId="92" applyNumberFormat="1" applyFont="1" applyBorder="1" applyAlignment="1">
      <alignment horizontal="center" vertical="center" wrapText="1"/>
    </xf>
    <xf numFmtId="3" fontId="13" fillId="0" borderId="13" xfId="92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vertical="center"/>
    </xf>
    <xf numFmtId="3" fontId="12" fillId="0" borderId="15" xfId="156" applyNumberFormat="1" applyFont="1" applyFill="1" applyBorder="1" applyAlignment="1">
      <alignment horizontal="left" vertical="center"/>
      <protection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3" fontId="12" fillId="6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0" fontId="57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right" wrapText="1"/>
    </xf>
    <xf numFmtId="3" fontId="13" fillId="0" borderId="1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6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3" fontId="13" fillId="0" borderId="5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46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 wrapText="1"/>
    </xf>
    <xf numFmtId="3" fontId="12" fillId="6" borderId="14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left" vertical="center"/>
    </xf>
    <xf numFmtId="3" fontId="13" fillId="46" borderId="15" xfId="156" applyNumberFormat="1" applyFont="1" applyFill="1" applyBorder="1" applyAlignment="1">
      <alignment horizontal="right" vertical="top" wrapText="1"/>
      <protection/>
    </xf>
    <xf numFmtId="0" fontId="16" fillId="0" borderId="15" xfId="0" applyFont="1" applyBorder="1" applyAlignment="1">
      <alignment vertical="center" wrapText="1"/>
    </xf>
    <xf numFmtId="0" fontId="0" fillId="6" borderId="53" xfId="0" applyFill="1" applyBorder="1" applyAlignment="1">
      <alignment vertical="center"/>
    </xf>
    <xf numFmtId="3" fontId="12" fillId="6" borderId="57" xfId="0" applyNumberFormat="1" applyFont="1" applyFill="1" applyBorder="1" applyAlignment="1">
      <alignment vertical="center"/>
    </xf>
    <xf numFmtId="3" fontId="13" fillId="0" borderId="13" xfId="155" applyNumberFormat="1" applyFont="1" applyFill="1" applyBorder="1" applyAlignment="1">
      <alignment horizontal="center" vertical="center" wrapText="1"/>
      <protection/>
    </xf>
    <xf numFmtId="3" fontId="0" fillId="6" borderId="13" xfId="0" applyNumberForma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2" fillId="6" borderId="13" xfId="132" applyFont="1" applyFill="1" applyBorder="1" applyAlignment="1">
      <alignment horizontal="center" vertical="center"/>
      <protection/>
    </xf>
    <xf numFmtId="0" fontId="12" fillId="6" borderId="15" xfId="132" applyFont="1" applyFill="1" applyBorder="1" applyAlignment="1">
      <alignment horizontal="center" vertical="center"/>
      <protection/>
    </xf>
    <xf numFmtId="0" fontId="55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/>
    </xf>
    <xf numFmtId="0" fontId="9" fillId="6" borderId="58" xfId="132" applyFont="1" applyFill="1" applyBorder="1" applyAlignment="1">
      <alignment horizontal="center" vertical="center"/>
      <protection/>
    </xf>
    <xf numFmtId="0" fontId="9" fillId="6" borderId="59" xfId="132" applyFont="1" applyFill="1" applyBorder="1" applyAlignment="1">
      <alignment horizontal="center" vertical="center"/>
      <protection/>
    </xf>
    <xf numFmtId="0" fontId="9" fillId="6" borderId="30" xfId="135" applyFont="1" applyFill="1" applyBorder="1" applyAlignment="1">
      <alignment horizontal="center"/>
      <protection/>
    </xf>
    <xf numFmtId="0" fontId="9" fillId="6" borderId="58" xfId="135" applyFont="1" applyFill="1" applyBorder="1" applyAlignment="1">
      <alignment horizontal="center"/>
      <protection/>
    </xf>
    <xf numFmtId="0" fontId="3" fillId="6" borderId="37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/>
    </xf>
    <xf numFmtId="3" fontId="12" fillId="6" borderId="13" xfId="156" applyNumberFormat="1" applyFont="1" applyFill="1" applyBorder="1" applyAlignment="1">
      <alignment horizontal="center" vertical="center" wrapText="1"/>
      <protection/>
    </xf>
    <xf numFmtId="3" fontId="12" fillId="6" borderId="30" xfId="156" applyNumberFormat="1" applyFont="1" applyFill="1" applyBorder="1" applyAlignment="1">
      <alignment horizontal="center" vertical="center" wrapText="1"/>
      <protection/>
    </xf>
    <xf numFmtId="3" fontId="12" fillId="6" borderId="59" xfId="156" applyNumberFormat="1" applyFont="1" applyFill="1" applyBorder="1" applyAlignment="1">
      <alignment horizontal="center" vertical="center" wrapText="1"/>
      <protection/>
    </xf>
    <xf numFmtId="3" fontId="17" fillId="6" borderId="37" xfId="156" applyNumberFormat="1" applyFont="1" applyFill="1" applyBorder="1" applyAlignment="1">
      <alignment horizontal="center" vertical="center" wrapText="1"/>
      <protection/>
    </xf>
    <xf numFmtId="3" fontId="17" fillId="6" borderId="29" xfId="156" applyNumberFormat="1" applyFont="1" applyFill="1" applyBorder="1" applyAlignment="1">
      <alignment horizontal="center" vertical="center" wrapText="1"/>
      <protection/>
    </xf>
    <xf numFmtId="3" fontId="17" fillId="6" borderId="62" xfId="156" applyNumberFormat="1" applyFont="1" applyFill="1" applyBorder="1" applyAlignment="1">
      <alignment horizontal="center" vertical="center"/>
      <protection/>
    </xf>
    <xf numFmtId="3" fontId="17" fillId="6" borderId="28" xfId="156" applyNumberFormat="1" applyFont="1" applyFill="1" applyBorder="1" applyAlignment="1">
      <alignment horizontal="center" vertical="center"/>
      <protection/>
    </xf>
    <xf numFmtId="3" fontId="17" fillId="6" borderId="62" xfId="156" applyNumberFormat="1" applyFont="1" applyFill="1" applyBorder="1" applyAlignment="1">
      <alignment horizontal="center" vertical="center" wrapText="1"/>
      <protection/>
    </xf>
    <xf numFmtId="3" fontId="17" fillId="6" borderId="28" xfId="156" applyNumberFormat="1" applyFont="1" applyFill="1" applyBorder="1" applyAlignment="1">
      <alignment horizontal="center" vertical="center" wrapText="1"/>
      <protection/>
    </xf>
    <xf numFmtId="0" fontId="12" fillId="6" borderId="14" xfId="0" applyFont="1" applyFill="1" applyBorder="1" applyAlignment="1">
      <alignment horizontal="center" vertical="center"/>
    </xf>
    <xf numFmtId="3" fontId="17" fillId="6" borderId="13" xfId="156" applyNumberFormat="1" applyFont="1" applyFill="1" applyBorder="1" applyAlignment="1">
      <alignment horizontal="center" vertical="center" wrapText="1"/>
      <protection/>
    </xf>
    <xf numFmtId="0" fontId="3" fillId="6" borderId="6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3" fontId="79" fillId="6" borderId="63" xfId="0" applyNumberFormat="1" applyFont="1" applyFill="1" applyBorder="1" applyAlignment="1">
      <alignment horizontal="center" vertical="center" wrapText="1"/>
    </xf>
    <xf numFmtId="0" fontId="36" fillId="6" borderId="64" xfId="0" applyFont="1" applyFill="1" applyBorder="1" applyAlignment="1">
      <alignment horizontal="center" vertical="center"/>
    </xf>
    <xf numFmtId="3" fontId="17" fillId="6" borderId="60" xfId="156" applyNumberFormat="1" applyFont="1" applyFill="1" applyBorder="1" applyAlignment="1">
      <alignment horizontal="center" vertical="center"/>
      <protection/>
    </xf>
    <xf numFmtId="3" fontId="17" fillId="6" borderId="65" xfId="156" applyNumberFormat="1" applyFont="1" applyFill="1" applyBorder="1" applyAlignment="1">
      <alignment horizontal="center" vertical="center"/>
      <protection/>
    </xf>
    <xf numFmtId="3" fontId="17" fillId="6" borderId="66" xfId="156" applyNumberFormat="1" applyFont="1" applyFill="1" applyBorder="1" applyAlignment="1">
      <alignment horizontal="center" vertical="center" wrapText="1"/>
      <protection/>
    </xf>
    <xf numFmtId="0" fontId="12" fillId="6" borderId="67" xfId="0" applyFont="1" applyFill="1" applyBorder="1" applyAlignment="1">
      <alignment horizontal="center" vertical="center"/>
    </xf>
    <xf numFmtId="3" fontId="17" fillId="6" borderId="60" xfId="156" applyNumberFormat="1" applyFont="1" applyFill="1" applyBorder="1" applyAlignment="1">
      <alignment horizontal="center" vertical="center" wrapText="1"/>
      <protection/>
    </xf>
    <xf numFmtId="3" fontId="17" fillId="6" borderId="65" xfId="156" applyNumberFormat="1" applyFont="1" applyFill="1" applyBorder="1" applyAlignment="1">
      <alignment horizontal="center" vertical="center" wrapText="1"/>
      <protection/>
    </xf>
  </cellXfs>
  <cellStyles count="16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sor 1" xfId="81"/>
    <cellStyle name="Címsor 1 2" xfId="82"/>
    <cellStyle name="Címsor 2" xfId="83"/>
    <cellStyle name="Címsor 2 2" xfId="84"/>
    <cellStyle name="Címsor 3" xfId="85"/>
    <cellStyle name="Címsor 3 2" xfId="86"/>
    <cellStyle name="Címsor 4" xfId="87"/>
    <cellStyle name="Címsor 4 2" xfId="88"/>
    <cellStyle name="Ellenőrzőcella" xfId="89"/>
    <cellStyle name="Ellenőrzőcella 2" xfId="90"/>
    <cellStyle name="Explanatory Text" xfId="91"/>
    <cellStyle name="Comma" xfId="92"/>
    <cellStyle name="Comma [0]" xfId="93"/>
    <cellStyle name="Figyelmeztetés" xfId="94"/>
    <cellStyle name="Figyelmeztetés 2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Hivatkozott cella" xfId="102"/>
    <cellStyle name="Hivatkozott cella 2" xfId="103"/>
    <cellStyle name="Input" xfId="104"/>
    <cellStyle name="Jegyzet" xfId="105"/>
    <cellStyle name="Jegyzet 2" xfId="106"/>
    <cellStyle name="Jelölőszín (1)" xfId="107"/>
    <cellStyle name="Jelölőszín (1) 2" xfId="108"/>
    <cellStyle name="Jelölőszín (2)" xfId="109"/>
    <cellStyle name="Jelölőszín (2) 2" xfId="110"/>
    <cellStyle name="Jelölőszín (3)" xfId="111"/>
    <cellStyle name="Jelölőszín (3) 2" xfId="112"/>
    <cellStyle name="Jelölőszín (4)" xfId="113"/>
    <cellStyle name="Jelölőszín (4) 2" xfId="114"/>
    <cellStyle name="Jelölőszín (5)" xfId="115"/>
    <cellStyle name="Jelölőszín (5) 2" xfId="116"/>
    <cellStyle name="Jelölőszín (6)" xfId="117"/>
    <cellStyle name="Jelölőszín (6) 2" xfId="118"/>
    <cellStyle name="Jó" xfId="119"/>
    <cellStyle name="Jó 2" xfId="120"/>
    <cellStyle name="Kimenet" xfId="121"/>
    <cellStyle name="Kimenet 2" xfId="122"/>
    <cellStyle name="Followed Hyperlink" xfId="123"/>
    <cellStyle name="Linked Cell" xfId="124"/>
    <cellStyle name="Magyarázó szöveg" xfId="125"/>
    <cellStyle name="Magyarázó szöveg 2" xfId="126"/>
    <cellStyle name="Neutral" xfId="127"/>
    <cellStyle name="Normál 2" xfId="128"/>
    <cellStyle name="Normál 3" xfId="129"/>
    <cellStyle name="Normál_   5    (2)_7" xfId="130"/>
    <cellStyle name="Normál_   5    (2)_7_6.a" xfId="131"/>
    <cellStyle name="Normál_   5    (2)_KÖLTSÉGVETÉS_2015." xfId="132"/>
    <cellStyle name="Normál_   5    (2)_Másolat eredetije2014. műk-beru-felúj." xfId="133"/>
    <cellStyle name="Normál_   5    (2)_Másolat eredetije2014. műk-beru-felúj._6.a" xfId="134"/>
    <cellStyle name="Normál_   5-a    (2)_KÖLTSÉGVETÉS_2015." xfId="135"/>
    <cellStyle name="Normál_   7   x_2012. III.negyedévi ei. módosítás" xfId="136"/>
    <cellStyle name="Normál_   7   x_2012. III.negyedévi ei. módosítás_6.a" xfId="137"/>
    <cellStyle name="Normál_   7   x_2014_ktsv tervezet_btcs" xfId="138"/>
    <cellStyle name="Normál_   7   x_2014_ktsv tervezet_btcs_6.a" xfId="139"/>
    <cellStyle name="Normál_   7   x_7" xfId="140"/>
    <cellStyle name="Normál_   7   x_7_6.a" xfId="141"/>
    <cellStyle name="Normál_   7   x_KÖLTSÉGVETÉS_2015." xfId="142"/>
    <cellStyle name="Normál_   7   x_Másolat eredetije2014. műk-beru-felúj." xfId="143"/>
    <cellStyle name="Normál_   7   x_Másolat eredetije2014. műk-beru-felúj._6.a" xfId="144"/>
    <cellStyle name="Normál_2012. évi beszámoló 5.a 6a" xfId="145"/>
    <cellStyle name="Normál_213_évi_költségvetés_MCS" xfId="146"/>
    <cellStyle name="Normál_213_évi_költségvetés_MCS_6.a" xfId="147"/>
    <cellStyle name="Normál_INTKIA96" xfId="148"/>
    <cellStyle name="Normál_KTGVTERV" xfId="149"/>
    <cellStyle name="Normál_Másolat eredetije2014. műk-beru-felúj." xfId="150"/>
    <cellStyle name="Normál_Munka2 (2)" xfId="151"/>
    <cellStyle name="Normál_Munka2 (2)_KÖLTSÉGVETÉS_2015." xfId="152"/>
    <cellStyle name="Normál_Munka3 (2)" xfId="153"/>
    <cellStyle name="Normál_Munka3 (2)_Másolat eredetije2014. műk-beru-felúj." xfId="154"/>
    <cellStyle name="Normál_Munka3 (2)_Másolat eredetije2014. műk-beru-felúj._6.a" xfId="155"/>
    <cellStyle name="Normál_ÖKIADELÖ" xfId="156"/>
    <cellStyle name="Normal_tanusitv" xfId="157"/>
    <cellStyle name="Note" xfId="158"/>
    <cellStyle name="Output" xfId="159"/>
    <cellStyle name="Összesen" xfId="160"/>
    <cellStyle name="Összesen 2" xfId="161"/>
    <cellStyle name="Currency" xfId="162"/>
    <cellStyle name="Currency [0]" xfId="163"/>
    <cellStyle name="Rossz" xfId="164"/>
    <cellStyle name="Rossz 2" xfId="165"/>
    <cellStyle name="Semleges" xfId="166"/>
    <cellStyle name="Semleges 2" xfId="167"/>
    <cellStyle name="Számítás" xfId="168"/>
    <cellStyle name="Számítás 2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5.125" style="56" customWidth="1"/>
    <col min="2" max="2" width="13.00390625" style="56" customWidth="1"/>
    <col min="3" max="3" width="13.625" style="56" customWidth="1"/>
    <col min="4" max="4" width="12.625" style="1" customWidth="1"/>
    <col min="5" max="5" width="2.00390625" style="55" customWidth="1"/>
    <col min="6" max="6" width="44.875" style="56" customWidth="1"/>
    <col min="7" max="7" width="14.125" style="56" customWidth="1"/>
    <col min="8" max="8" width="13.875" style="56" customWidth="1"/>
    <col min="9" max="9" width="12.50390625" style="1" customWidth="1"/>
    <col min="10" max="16384" width="9.375" style="31" customWidth="1"/>
  </cols>
  <sheetData>
    <row r="1" spans="1:9" s="44" customFormat="1" ht="39.75" customHeight="1" thickBot="1">
      <c r="A1" s="40"/>
      <c r="B1" s="42" t="s">
        <v>59</v>
      </c>
      <c r="C1" s="41" t="s">
        <v>672</v>
      </c>
      <c r="D1" s="42" t="s">
        <v>673</v>
      </c>
      <c r="E1" s="43"/>
      <c r="F1" s="40" t="s">
        <v>636</v>
      </c>
      <c r="G1" s="42" t="s">
        <v>59</v>
      </c>
      <c r="H1" s="41" t="s">
        <v>672</v>
      </c>
      <c r="I1" s="42" t="s">
        <v>673</v>
      </c>
    </row>
    <row r="2" spans="1:9" s="47" customFormat="1" ht="12.75" customHeight="1">
      <c r="A2" s="45" t="s">
        <v>495</v>
      </c>
      <c r="B2" s="27"/>
      <c r="C2" s="71"/>
      <c r="D2" s="27"/>
      <c r="E2" s="46"/>
      <c r="F2" s="45" t="s">
        <v>496</v>
      </c>
      <c r="G2" s="45"/>
      <c r="H2" s="45"/>
      <c r="I2" s="26"/>
    </row>
    <row r="3" spans="1:9" ht="24.75" customHeight="1">
      <c r="A3" s="48" t="s">
        <v>369</v>
      </c>
      <c r="B3" s="25">
        <v>3247199</v>
      </c>
      <c r="C3" s="48">
        <v>70990</v>
      </c>
      <c r="D3" s="25">
        <f>SUM(B3:C3)</f>
        <v>3318189</v>
      </c>
      <c r="E3" s="49"/>
      <c r="F3" s="48" t="s">
        <v>572</v>
      </c>
      <c r="G3" s="25">
        <v>6113765</v>
      </c>
      <c r="H3" s="48">
        <v>15293</v>
      </c>
      <c r="I3" s="25">
        <f>SUM(G3:H3)</f>
        <v>6129058</v>
      </c>
    </row>
    <row r="4" spans="1:9" ht="15" customHeight="1">
      <c r="A4" s="48" t="s">
        <v>370</v>
      </c>
      <c r="B4" s="15">
        <v>3952000</v>
      </c>
      <c r="C4" s="48"/>
      <c r="D4" s="25">
        <f>SUM(B4:C4)</f>
        <v>3952000</v>
      </c>
      <c r="E4" s="49"/>
      <c r="F4" s="51" t="s">
        <v>573</v>
      </c>
      <c r="G4" s="25">
        <v>2978990</v>
      </c>
      <c r="H4" s="48">
        <v>79863</v>
      </c>
      <c r="I4" s="25">
        <f>SUM(G4:H4)</f>
        <v>3058853</v>
      </c>
    </row>
    <row r="5" spans="1:9" ht="22.5" customHeight="1">
      <c r="A5" s="48" t="s">
        <v>371</v>
      </c>
      <c r="B5" s="15">
        <v>2069746</v>
      </c>
      <c r="C5" s="48">
        <v>36284</v>
      </c>
      <c r="D5" s="25">
        <f>SUM(B5:C5)</f>
        <v>2106030</v>
      </c>
      <c r="E5" s="49"/>
      <c r="F5" s="48" t="s">
        <v>60</v>
      </c>
      <c r="G5" s="25">
        <v>1299296</v>
      </c>
      <c r="H5" s="48">
        <v>-8242</v>
      </c>
      <c r="I5" s="25">
        <f>SUM(G5:H5)</f>
        <v>1291054</v>
      </c>
    </row>
    <row r="6" spans="1:9" ht="19.5" customHeight="1">
      <c r="A6" s="48" t="s">
        <v>372</v>
      </c>
      <c r="B6" s="25">
        <v>67000</v>
      </c>
      <c r="C6" s="48"/>
      <c r="D6" s="25">
        <f>SUM(B6:C6)</f>
        <v>67000</v>
      </c>
      <c r="E6" s="49"/>
      <c r="F6" s="48" t="s">
        <v>497</v>
      </c>
      <c r="G6" s="15">
        <v>287136</v>
      </c>
      <c r="H6" s="48">
        <v>-5329</v>
      </c>
      <c r="I6" s="25">
        <f>SUM(G6:H6)</f>
        <v>281807</v>
      </c>
    </row>
    <row r="7" spans="1:9" ht="13.5" customHeight="1">
      <c r="A7" s="50" t="s">
        <v>500</v>
      </c>
      <c r="B7" s="50">
        <f>SUM(B3+B4+B5+B6)</f>
        <v>9335945</v>
      </c>
      <c r="C7" s="50">
        <f>SUM(C3+C4+C5+C6)</f>
        <v>107274</v>
      </c>
      <c r="D7" s="50">
        <f>SUM(D3+D4+D5+D6)</f>
        <v>9443219</v>
      </c>
      <c r="E7" s="49"/>
      <c r="F7" s="48" t="s">
        <v>498</v>
      </c>
      <c r="G7" s="25">
        <v>5000</v>
      </c>
      <c r="H7" s="48"/>
      <c r="I7" s="25">
        <f>SUM(G7:H7)</f>
        <v>5000</v>
      </c>
    </row>
    <row r="8" spans="1:9" ht="13.5" customHeight="1">
      <c r="A8" s="51" t="s">
        <v>373</v>
      </c>
      <c r="B8" s="50"/>
      <c r="C8" s="50"/>
      <c r="D8" s="50"/>
      <c r="E8" s="49"/>
      <c r="F8" s="50" t="s">
        <v>499</v>
      </c>
      <c r="G8" s="45">
        <f>SUM(G2:G7)</f>
        <v>10684187</v>
      </c>
      <c r="H8" s="45">
        <f>SUM(H2:H7)</f>
        <v>81585</v>
      </c>
      <c r="I8" s="45">
        <f>SUM(I2:I7)</f>
        <v>10765772</v>
      </c>
    </row>
    <row r="9" spans="1:9" ht="24.75" customHeight="1">
      <c r="A9" s="51" t="s">
        <v>374</v>
      </c>
      <c r="B9" s="72">
        <v>1348242</v>
      </c>
      <c r="C9" s="51">
        <v>-13929</v>
      </c>
      <c r="D9" s="72">
        <f>SUM(B9:C9)</f>
        <v>1334313</v>
      </c>
      <c r="E9" s="49"/>
      <c r="F9" s="51" t="s">
        <v>727</v>
      </c>
      <c r="G9" s="45"/>
      <c r="H9" s="48"/>
      <c r="I9" s="45"/>
    </row>
    <row r="10" spans="1:9" s="47" customFormat="1" ht="24.75" customHeight="1">
      <c r="A10" s="51" t="s">
        <v>375</v>
      </c>
      <c r="B10" s="29"/>
      <c r="C10" s="51"/>
      <c r="D10" s="29"/>
      <c r="E10" s="49"/>
      <c r="F10" s="51"/>
      <c r="G10" s="25"/>
      <c r="H10" s="48"/>
      <c r="I10" s="25"/>
    </row>
    <row r="11" spans="1:9" s="47" customFormat="1" ht="12" customHeight="1">
      <c r="A11" s="53" t="s">
        <v>503</v>
      </c>
      <c r="B11" s="54">
        <f>SUM(B7:B10)</f>
        <v>10684187</v>
      </c>
      <c r="C11" s="54">
        <f>SUM(C7:C10)</f>
        <v>93345</v>
      </c>
      <c r="D11" s="54">
        <f>SUM(D7:D10)</f>
        <v>10777532</v>
      </c>
      <c r="E11" s="49"/>
      <c r="F11" s="52" t="s">
        <v>501</v>
      </c>
      <c r="G11" s="52">
        <f>SUM(G8:G10)</f>
        <v>10684187</v>
      </c>
      <c r="H11" s="52">
        <f>SUM(H8:H10)</f>
        <v>81585</v>
      </c>
      <c r="I11" s="52">
        <f>SUM(I8:I10)</f>
        <v>10765772</v>
      </c>
    </row>
    <row r="12" spans="1:9" ht="13.5" customHeight="1">
      <c r="A12" s="45" t="s">
        <v>504</v>
      </c>
      <c r="B12" s="25"/>
      <c r="C12" s="45"/>
      <c r="D12" s="25"/>
      <c r="E12" s="49"/>
      <c r="F12" s="45" t="s">
        <v>502</v>
      </c>
      <c r="G12" s="50"/>
      <c r="H12" s="45"/>
      <c r="I12" s="50"/>
    </row>
    <row r="13" spans="1:9" ht="24" customHeight="1">
      <c r="A13" s="48" t="s">
        <v>376</v>
      </c>
      <c r="B13" s="25">
        <v>3540847</v>
      </c>
      <c r="C13" s="48">
        <v>-49380</v>
      </c>
      <c r="D13" s="25">
        <f>SUM(B13:C13)</f>
        <v>3491467</v>
      </c>
      <c r="E13" s="49"/>
      <c r="F13" s="48" t="s">
        <v>377</v>
      </c>
      <c r="G13" s="48">
        <v>850585</v>
      </c>
      <c r="H13" s="48">
        <v>36690</v>
      </c>
      <c r="I13" s="48">
        <f aca="true" t="shared" si="0" ref="I13:I19">SUM(G13:H13)</f>
        <v>887275</v>
      </c>
    </row>
    <row r="14" spans="1:9" ht="19.5" customHeight="1">
      <c r="A14" s="48" t="s">
        <v>370</v>
      </c>
      <c r="B14" s="25">
        <v>600000</v>
      </c>
      <c r="C14" s="48"/>
      <c r="D14" s="25">
        <f>SUM(B14:C14)</f>
        <v>600000</v>
      </c>
      <c r="E14" s="49"/>
      <c r="F14" s="48" t="s">
        <v>505</v>
      </c>
      <c r="G14" s="25">
        <v>4983224</v>
      </c>
      <c r="H14" s="48">
        <v>21906</v>
      </c>
      <c r="I14" s="48">
        <f t="shared" si="0"/>
        <v>5005130</v>
      </c>
    </row>
    <row r="15" spans="1:9" ht="15" customHeight="1">
      <c r="A15" s="48" t="s">
        <v>378</v>
      </c>
      <c r="B15" s="29">
        <v>149480</v>
      </c>
      <c r="C15" s="48">
        <v>-5000</v>
      </c>
      <c r="D15" s="25">
        <f>SUM(B15:C15)</f>
        <v>144480</v>
      </c>
      <c r="E15" s="49"/>
      <c r="F15" s="48" t="s">
        <v>574</v>
      </c>
      <c r="G15" s="29">
        <v>54246</v>
      </c>
      <c r="H15" s="48"/>
      <c r="I15" s="48">
        <f t="shared" si="0"/>
        <v>54246</v>
      </c>
    </row>
    <row r="16" spans="1:9" ht="24.75" customHeight="1">
      <c r="A16" s="48" t="s">
        <v>379</v>
      </c>
      <c r="B16" s="29">
        <v>320000</v>
      </c>
      <c r="C16" s="48"/>
      <c r="D16" s="25">
        <f>SUM(B16:C16)</f>
        <v>320000</v>
      </c>
      <c r="E16" s="49"/>
      <c r="F16" s="48" t="s">
        <v>506</v>
      </c>
      <c r="G16" s="25">
        <v>684941</v>
      </c>
      <c r="H16" s="48">
        <v>-26990</v>
      </c>
      <c r="I16" s="48">
        <f t="shared" si="0"/>
        <v>657951</v>
      </c>
    </row>
    <row r="17" spans="1:9" ht="15" customHeight="1">
      <c r="A17" s="48" t="s">
        <v>380</v>
      </c>
      <c r="B17" s="29">
        <v>420346</v>
      </c>
      <c r="C17" s="48"/>
      <c r="D17" s="25">
        <f>SUM(B17:C17)</f>
        <v>420346</v>
      </c>
      <c r="E17" s="46"/>
      <c r="F17" s="48" t="s">
        <v>574</v>
      </c>
      <c r="G17" s="25">
        <v>33921</v>
      </c>
      <c r="H17" s="48"/>
      <c r="I17" s="48">
        <f t="shared" si="0"/>
        <v>33921</v>
      </c>
    </row>
    <row r="18" spans="1:9" ht="12.75" customHeight="1">
      <c r="A18" s="50" t="s">
        <v>514</v>
      </c>
      <c r="B18" s="45">
        <f>SUM(B12:B17)</f>
        <v>5030673</v>
      </c>
      <c r="C18" s="45">
        <f>SUM(C12:C17)</f>
        <v>-54380</v>
      </c>
      <c r="D18" s="45">
        <f>SUM(D12:D17)</f>
        <v>4976293</v>
      </c>
      <c r="E18" s="46"/>
      <c r="F18" s="48" t="s">
        <v>507</v>
      </c>
      <c r="G18" s="25">
        <v>61490</v>
      </c>
      <c r="H18" s="48"/>
      <c r="I18" s="48">
        <f t="shared" si="0"/>
        <v>61490</v>
      </c>
    </row>
    <row r="19" spans="1:9" ht="24" customHeight="1">
      <c r="A19" s="51" t="s">
        <v>373</v>
      </c>
      <c r="B19" s="45"/>
      <c r="C19" s="45"/>
      <c r="D19" s="45"/>
      <c r="E19" s="49"/>
      <c r="F19" s="48" t="s">
        <v>382</v>
      </c>
      <c r="G19" s="25">
        <v>22050</v>
      </c>
      <c r="H19" s="48"/>
      <c r="I19" s="48">
        <f t="shared" si="0"/>
        <v>22050</v>
      </c>
    </row>
    <row r="20" spans="1:9" ht="12.75" customHeight="1">
      <c r="A20" s="51" t="s">
        <v>645</v>
      </c>
      <c r="B20" s="48">
        <v>378018</v>
      </c>
      <c r="C20" s="48"/>
      <c r="D20" s="48">
        <f>SUM(B20:C20)</f>
        <v>378018</v>
      </c>
      <c r="E20" s="49"/>
      <c r="F20" s="50" t="s">
        <v>515</v>
      </c>
      <c r="G20" s="45">
        <f>SUM(G13+G14+G16+G18+G19)</f>
        <v>6602290</v>
      </c>
      <c r="H20" s="45">
        <f>SUM(H13+H14+H16+H18+H19)</f>
        <v>31606</v>
      </c>
      <c r="I20" s="45">
        <f>SUM(I13+I14+I16+I18+I19)</f>
        <v>6633896</v>
      </c>
    </row>
    <row r="21" spans="1:9" ht="24.75" customHeight="1">
      <c r="A21" s="51" t="s">
        <v>381</v>
      </c>
      <c r="B21" s="72">
        <v>1119675</v>
      </c>
      <c r="C21" s="48"/>
      <c r="D21" s="48">
        <f>SUM(B21:C21)</f>
        <v>1119675</v>
      </c>
      <c r="E21" s="49"/>
      <c r="F21" s="51" t="s">
        <v>383</v>
      </c>
      <c r="G21" s="25"/>
      <c r="H21" s="45"/>
      <c r="I21" s="25"/>
    </row>
    <row r="22" spans="1:9" ht="12.75" customHeight="1">
      <c r="A22" s="67" t="s">
        <v>61</v>
      </c>
      <c r="B22" s="48">
        <v>73924</v>
      </c>
      <c r="C22" s="48">
        <v>74226</v>
      </c>
      <c r="D22" s="48">
        <f>SUM(B22:C22)</f>
        <v>148150</v>
      </c>
      <c r="E22" s="49"/>
      <c r="F22" s="51" t="s">
        <v>384</v>
      </c>
      <c r="G22" s="25"/>
      <c r="H22" s="51"/>
      <c r="I22" s="25"/>
    </row>
    <row r="23" spans="1:9" ht="24.75" customHeight="1">
      <c r="A23" s="51"/>
      <c r="B23" s="72"/>
      <c r="C23" s="48"/>
      <c r="D23" s="72"/>
      <c r="E23" s="49"/>
      <c r="F23" s="50"/>
      <c r="G23" s="45"/>
      <c r="H23" s="45"/>
      <c r="I23" s="45"/>
    </row>
    <row r="24" spans="1:9" ht="12.75" customHeight="1">
      <c r="A24" s="48"/>
      <c r="B24" s="72"/>
      <c r="C24" s="48"/>
      <c r="D24" s="72"/>
      <c r="E24" s="49"/>
      <c r="F24" s="51"/>
      <c r="G24" s="45"/>
      <c r="H24" s="45"/>
      <c r="I24" s="45"/>
    </row>
    <row r="25" spans="1:9" ht="12.75" customHeight="1">
      <c r="A25" s="51"/>
      <c r="B25" s="48"/>
      <c r="C25" s="48"/>
      <c r="D25" s="48"/>
      <c r="E25" s="49"/>
      <c r="F25" s="51"/>
      <c r="G25" s="15"/>
      <c r="H25" s="51"/>
      <c r="I25" s="15"/>
    </row>
    <row r="26" spans="1:9" s="44" customFormat="1" ht="22.5" customHeight="1" thickBot="1">
      <c r="A26" s="130" t="s">
        <v>516</v>
      </c>
      <c r="B26" s="131">
        <f>SUM(B18:B25)</f>
        <v>6602290</v>
      </c>
      <c r="C26" s="131">
        <f>SUM(C18:C25)</f>
        <v>19846</v>
      </c>
      <c r="D26" s="131">
        <f>SUM(D18:D25)</f>
        <v>6622136</v>
      </c>
      <c r="E26" s="46"/>
      <c r="F26" s="132" t="s">
        <v>517</v>
      </c>
      <c r="G26" s="131">
        <f>SUM(G20:G25)</f>
        <v>6602290</v>
      </c>
      <c r="H26" s="131">
        <f>SUM(H20:H25)</f>
        <v>31606</v>
      </c>
      <c r="I26" s="131">
        <f>SUM(I20:I25)</f>
        <v>6633896</v>
      </c>
    </row>
    <row r="27" spans="1:9" s="44" customFormat="1" ht="19.5" customHeight="1" thickBot="1">
      <c r="A27" s="133" t="s">
        <v>575</v>
      </c>
      <c r="B27" s="134">
        <f>SUM(B11+B26)</f>
        <v>17286477</v>
      </c>
      <c r="C27" s="134">
        <f>SUM(C11+C26)</f>
        <v>113191</v>
      </c>
      <c r="D27" s="134">
        <f>SUM(D11+D26)</f>
        <v>17399668</v>
      </c>
      <c r="E27" s="49"/>
      <c r="F27" s="133" t="s">
        <v>575</v>
      </c>
      <c r="G27" s="135">
        <f>SUM(G11+G26)</f>
        <v>17286477</v>
      </c>
      <c r="H27" s="135">
        <f>SUM(H11+H26)</f>
        <v>113191</v>
      </c>
      <c r="I27" s="135">
        <f>SUM(I11+I26)</f>
        <v>17399668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8">
      <selection activeCell="D24" sqref="D24"/>
    </sheetView>
  </sheetViews>
  <sheetFormatPr defaultColWidth="9.00390625" defaultRowHeight="12.75"/>
  <cols>
    <col min="1" max="1" width="8.375" style="68" customWidth="1"/>
    <col min="2" max="2" width="58.375" style="56" customWidth="1"/>
    <col min="3" max="3" width="11.875" style="56" customWidth="1"/>
    <col min="4" max="5" width="11.875" style="31" customWidth="1"/>
    <col min="6" max="16384" width="9.375" style="31" customWidth="1"/>
  </cols>
  <sheetData>
    <row r="1" spans="1:5" s="44" customFormat="1" ht="69.75" customHeight="1" thickBot="1">
      <c r="A1" s="57" t="s">
        <v>992</v>
      </c>
      <c r="B1" s="58" t="s">
        <v>636</v>
      </c>
      <c r="C1" s="64" t="s">
        <v>674</v>
      </c>
      <c r="D1" s="478" t="s">
        <v>672</v>
      </c>
      <c r="E1" s="478" t="s">
        <v>675</v>
      </c>
    </row>
    <row r="2" spans="1:5" s="61" customFormat="1" ht="14.25" customHeight="1">
      <c r="A2" s="59" t="s">
        <v>993</v>
      </c>
      <c r="B2" s="60" t="s">
        <v>518</v>
      </c>
      <c r="C2" s="60"/>
      <c r="D2" s="517"/>
      <c r="E2" s="517"/>
    </row>
    <row r="3" spans="1:5" s="44" customFormat="1" ht="14.25" customHeight="1">
      <c r="A3" s="59" t="s">
        <v>994</v>
      </c>
      <c r="B3" s="60" t="s">
        <v>995</v>
      </c>
      <c r="C3" s="62"/>
      <c r="D3" s="516"/>
      <c r="E3" s="516"/>
    </row>
    <row r="4" spans="1:5" s="44" customFormat="1" ht="14.25" customHeight="1">
      <c r="A4" s="136" t="s">
        <v>996</v>
      </c>
      <c r="B4" s="62" t="s">
        <v>997</v>
      </c>
      <c r="C4" s="62"/>
      <c r="D4" s="516"/>
      <c r="E4" s="516"/>
    </row>
    <row r="5" spans="1:5" s="44" customFormat="1" ht="14.25" customHeight="1">
      <c r="A5" s="94" t="s">
        <v>998</v>
      </c>
      <c r="B5" s="62" t="s">
        <v>999</v>
      </c>
      <c r="C5" s="164">
        <v>100</v>
      </c>
      <c r="D5" s="473">
        <v>6969</v>
      </c>
      <c r="E5" s="473">
        <f aca="true" t="shared" si="0" ref="E5:E10">SUM(C5:D5)</f>
        <v>7069</v>
      </c>
    </row>
    <row r="6" spans="1:5" s="44" customFormat="1" ht="14.25" customHeight="1">
      <c r="A6" s="94" t="s">
        <v>1000</v>
      </c>
      <c r="B6" s="62" t="s">
        <v>1001</v>
      </c>
      <c r="C6" s="164">
        <v>886883</v>
      </c>
      <c r="D6" s="473"/>
      <c r="E6" s="473">
        <f t="shared" si="0"/>
        <v>886883</v>
      </c>
    </row>
    <row r="7" spans="1:5" s="44" customFormat="1" ht="24.75" customHeight="1">
      <c r="A7" s="94" t="s">
        <v>1002</v>
      </c>
      <c r="B7" s="62" t="s">
        <v>1003</v>
      </c>
      <c r="C7" s="164">
        <v>695886</v>
      </c>
      <c r="D7" s="473"/>
      <c r="E7" s="473">
        <f t="shared" si="0"/>
        <v>695886</v>
      </c>
    </row>
    <row r="8" spans="1:5" s="44" customFormat="1" ht="15" customHeight="1">
      <c r="A8" s="94" t="s">
        <v>1004</v>
      </c>
      <c r="B8" s="62" t="s">
        <v>1005</v>
      </c>
      <c r="C8" s="164">
        <v>656366</v>
      </c>
      <c r="D8" s="473"/>
      <c r="E8" s="473">
        <f t="shared" si="0"/>
        <v>656366</v>
      </c>
    </row>
    <row r="9" spans="1:5" s="44" customFormat="1" ht="15" customHeight="1">
      <c r="A9" s="94" t="s">
        <v>1006</v>
      </c>
      <c r="B9" s="62" t="s">
        <v>1009</v>
      </c>
      <c r="C9" s="62"/>
      <c r="D9" s="473"/>
      <c r="E9" s="473">
        <f t="shared" si="0"/>
        <v>0</v>
      </c>
    </row>
    <row r="10" spans="1:5" s="44" customFormat="1" ht="24.75" customHeight="1">
      <c r="A10" s="136" t="s">
        <v>1010</v>
      </c>
      <c r="B10" s="62" t="s">
        <v>1011</v>
      </c>
      <c r="C10" s="62">
        <v>1007964</v>
      </c>
      <c r="D10" s="473">
        <v>64021</v>
      </c>
      <c r="E10" s="473">
        <f t="shared" si="0"/>
        <v>1071985</v>
      </c>
    </row>
    <row r="11" spans="1:5" s="47" customFormat="1" ht="22.5" customHeight="1">
      <c r="A11" s="64"/>
      <c r="B11" s="65" t="s">
        <v>1012</v>
      </c>
      <c r="C11" s="65">
        <f>SUM(C4:C10)</f>
        <v>3247199</v>
      </c>
      <c r="D11" s="65">
        <f>SUM(D4:D10)</f>
        <v>70990</v>
      </c>
      <c r="E11" s="65">
        <f>SUM(E4:E10)</f>
        <v>3318189</v>
      </c>
    </row>
    <row r="12" spans="1:5" s="44" customFormat="1" ht="14.25" customHeight="1">
      <c r="A12" s="59" t="s">
        <v>1013</v>
      </c>
      <c r="B12" s="60" t="s">
        <v>1014</v>
      </c>
      <c r="C12" s="62"/>
      <c r="D12" s="473"/>
      <c r="E12" s="213"/>
    </row>
    <row r="13" spans="1:5" s="44" customFormat="1" ht="14.25" customHeight="1">
      <c r="A13" s="136" t="s">
        <v>1015</v>
      </c>
      <c r="B13" s="62" t="s">
        <v>1016</v>
      </c>
      <c r="C13" s="62"/>
      <c r="D13" s="473">
        <v>87959</v>
      </c>
      <c r="E13" s="473">
        <f>SUM(C13:D13)</f>
        <v>87959</v>
      </c>
    </row>
    <row r="14" spans="1:5" s="44" customFormat="1" ht="23.25" customHeight="1">
      <c r="A14" s="136" t="s">
        <v>1017</v>
      </c>
      <c r="B14" s="62" t="s">
        <v>1018</v>
      </c>
      <c r="C14" s="62">
        <v>3540847</v>
      </c>
      <c r="D14" s="473">
        <v>-137339</v>
      </c>
      <c r="E14" s="473">
        <f>SUM(C14:D14)</f>
        <v>3403508</v>
      </c>
    </row>
    <row r="15" spans="1:5" s="47" customFormat="1" ht="23.25" customHeight="1">
      <c r="A15" s="64"/>
      <c r="B15" s="65" t="s">
        <v>1019</v>
      </c>
      <c r="C15" s="65">
        <f>SUM(C13:C14)</f>
        <v>3540847</v>
      </c>
      <c r="D15" s="65">
        <f>SUM(D13:D14)</f>
        <v>-49380</v>
      </c>
      <c r="E15" s="65">
        <f>SUM(E13:E14)</f>
        <v>3491467</v>
      </c>
    </row>
    <row r="16" spans="1:5" s="44" customFormat="1" ht="14.25" customHeight="1">
      <c r="A16" s="59" t="s">
        <v>1020</v>
      </c>
      <c r="B16" s="60" t="s">
        <v>401</v>
      </c>
      <c r="C16" s="62"/>
      <c r="D16" s="213"/>
      <c r="E16" s="213"/>
    </row>
    <row r="17" spans="1:5" s="44" customFormat="1" ht="14.25" customHeight="1">
      <c r="A17" s="44" t="s">
        <v>273</v>
      </c>
      <c r="B17" s="616" t="s">
        <v>274</v>
      </c>
      <c r="C17" s="62"/>
      <c r="D17" s="473">
        <v>600000</v>
      </c>
      <c r="E17" s="473">
        <v>600000</v>
      </c>
    </row>
    <row r="18" spans="1:5" s="44" customFormat="1" ht="14.25" customHeight="1">
      <c r="A18" s="136" t="s">
        <v>1021</v>
      </c>
      <c r="B18" s="62" t="s">
        <v>1022</v>
      </c>
      <c r="C18" s="62"/>
      <c r="D18" s="473"/>
      <c r="E18" s="213"/>
    </row>
    <row r="19" spans="1:5" s="44" customFormat="1" ht="14.25" customHeight="1">
      <c r="A19" s="94" t="s">
        <v>1023</v>
      </c>
      <c r="B19" s="62" t="s">
        <v>275</v>
      </c>
      <c r="C19" s="62">
        <v>4312000</v>
      </c>
      <c r="D19" s="473">
        <v>-600000</v>
      </c>
      <c r="E19" s="473">
        <f>SUM(C19:D19)</f>
        <v>3712000</v>
      </c>
    </row>
    <row r="20" spans="1:5" s="44" customFormat="1" ht="14.25" customHeight="1">
      <c r="A20" s="94" t="s">
        <v>1024</v>
      </c>
      <c r="B20" s="62" t="s">
        <v>1025</v>
      </c>
      <c r="C20" s="62">
        <v>228000</v>
      </c>
      <c r="D20" s="213"/>
      <c r="E20" s="473">
        <f>SUM(C20:D20)</f>
        <v>228000</v>
      </c>
    </row>
    <row r="21" spans="1:5" s="44" customFormat="1" ht="14.25" customHeight="1">
      <c r="A21" s="94" t="s">
        <v>1026</v>
      </c>
      <c r="B21" s="62" t="s">
        <v>1027</v>
      </c>
      <c r="C21" s="62">
        <v>5000</v>
      </c>
      <c r="D21" s="213"/>
      <c r="E21" s="473">
        <f>SUM(C21:D21)</f>
        <v>5000</v>
      </c>
    </row>
    <row r="22" spans="1:5" s="44" customFormat="1" ht="14.25" customHeight="1">
      <c r="A22" s="136" t="s">
        <v>1028</v>
      </c>
      <c r="B22" s="62" t="s">
        <v>1029</v>
      </c>
      <c r="C22" s="62">
        <v>7000</v>
      </c>
      <c r="D22" s="213"/>
      <c r="E22" s="473">
        <f>SUM(C22:D22)</f>
        <v>7000</v>
      </c>
    </row>
    <row r="23" spans="1:5" ht="15" customHeight="1">
      <c r="A23" s="64"/>
      <c r="B23" s="65" t="s">
        <v>1030</v>
      </c>
      <c r="C23" s="65">
        <f>SUM(C16:C22)</f>
        <v>4552000</v>
      </c>
      <c r="D23" s="65">
        <f>SUM(D16:D22)</f>
        <v>0</v>
      </c>
      <c r="E23" s="65">
        <f>SUM(E16:E22)</f>
        <v>4552000</v>
      </c>
    </row>
    <row r="24" spans="1:5" s="44" customFormat="1" ht="15" customHeight="1">
      <c r="A24" s="64" t="s">
        <v>1031</v>
      </c>
      <c r="B24" s="65" t="s">
        <v>664</v>
      </c>
      <c r="C24" s="65">
        <v>2490092</v>
      </c>
      <c r="D24" s="210">
        <v>36284</v>
      </c>
      <c r="E24" s="210">
        <f>SUM(C24:D24)</f>
        <v>2526376</v>
      </c>
    </row>
    <row r="25" spans="1:5" s="44" customFormat="1" ht="15" customHeight="1">
      <c r="A25" s="59" t="s">
        <v>1032</v>
      </c>
      <c r="B25" s="60" t="s">
        <v>484</v>
      </c>
      <c r="C25" s="62"/>
      <c r="D25" s="213"/>
      <c r="E25" s="213"/>
    </row>
    <row r="26" spans="1:5" s="44" customFormat="1" ht="15" customHeight="1">
      <c r="A26" s="63" t="s">
        <v>1033</v>
      </c>
      <c r="B26" s="62" t="s">
        <v>1034</v>
      </c>
      <c r="C26" s="62">
        <v>144480</v>
      </c>
      <c r="D26" s="473"/>
      <c r="E26" s="473">
        <f>SUM(C26:D26)</f>
        <v>144480</v>
      </c>
    </row>
    <row r="27" spans="1:5" s="44" customFormat="1" ht="15" customHeight="1">
      <c r="A27" s="63" t="s">
        <v>1068</v>
      </c>
      <c r="B27" s="62" t="s">
        <v>1069</v>
      </c>
      <c r="C27" s="62">
        <v>5000</v>
      </c>
      <c r="D27" s="473">
        <v>-5000</v>
      </c>
      <c r="E27" s="473">
        <f>SUM(C27:D27)</f>
        <v>0</v>
      </c>
    </row>
    <row r="28" spans="1:5" s="44" customFormat="1" ht="15" customHeight="1">
      <c r="A28" s="66"/>
      <c r="B28" s="65" t="s">
        <v>1035</v>
      </c>
      <c r="C28" s="65">
        <f>SUM(C26:C27)</f>
        <v>149480</v>
      </c>
      <c r="D28" s="65">
        <f>SUM(D26:D27)</f>
        <v>-5000</v>
      </c>
      <c r="E28" s="65">
        <f>SUM(E26:E27)</f>
        <v>144480</v>
      </c>
    </row>
    <row r="29" spans="1:5" s="44" customFormat="1" ht="15" customHeight="1">
      <c r="A29" s="64" t="s">
        <v>1036</v>
      </c>
      <c r="B29" s="65" t="s">
        <v>665</v>
      </c>
      <c r="C29" s="65">
        <v>67000</v>
      </c>
      <c r="D29" s="665"/>
      <c r="E29" s="210">
        <f>SUM(C29:D29)</f>
        <v>67000</v>
      </c>
    </row>
    <row r="30" spans="1:5" s="44" customFormat="1" ht="15" customHeight="1">
      <c r="A30" s="59" t="s">
        <v>1037</v>
      </c>
      <c r="B30" s="60" t="s">
        <v>666</v>
      </c>
      <c r="C30" s="60"/>
      <c r="D30" s="473"/>
      <c r="E30" s="213"/>
    </row>
    <row r="31" spans="1:5" s="44" customFormat="1" ht="24.75" customHeight="1">
      <c r="A31" s="63" t="s">
        <v>1038</v>
      </c>
      <c r="B31" s="62" t="s">
        <v>1039</v>
      </c>
      <c r="C31" s="62">
        <v>30000</v>
      </c>
      <c r="D31" s="62"/>
      <c r="E31" s="62">
        <f>SUM(C31:D31)</f>
        <v>30000</v>
      </c>
    </row>
    <row r="32" spans="1:5" s="44" customFormat="1" ht="15" customHeight="1">
      <c r="A32" s="63" t="s">
        <v>1040</v>
      </c>
      <c r="B32" s="62" t="s">
        <v>1041</v>
      </c>
      <c r="C32" s="62">
        <v>290000</v>
      </c>
      <c r="D32" s="62"/>
      <c r="E32" s="62">
        <f>SUM(C32:D32)</f>
        <v>290000</v>
      </c>
    </row>
    <row r="33" spans="1:5" s="44" customFormat="1" ht="15" customHeight="1">
      <c r="A33" s="66"/>
      <c r="B33" s="65" t="s">
        <v>1042</v>
      </c>
      <c r="C33" s="65">
        <f>SUM(C31:C32)</f>
        <v>320000</v>
      </c>
      <c r="D33" s="65">
        <f>SUM(D31:D32)</f>
        <v>0</v>
      </c>
      <c r="E33" s="65">
        <f>SUM(E31:E32)</f>
        <v>320000</v>
      </c>
    </row>
    <row r="34" spans="1:5" s="44" customFormat="1" ht="15" customHeight="1">
      <c r="A34" s="64" t="s">
        <v>1043</v>
      </c>
      <c r="B34" s="65" t="s">
        <v>660</v>
      </c>
      <c r="C34" s="65">
        <f>SUM(C11+C15+C23+C24+C28+C29+C33)</f>
        <v>14366618</v>
      </c>
      <c r="D34" s="65">
        <f>SUM(D11+D15+D23+D24+D28+D29+D33)</f>
        <v>52894</v>
      </c>
      <c r="E34" s="65">
        <f>SUM(E11+E15+E23+E24+E28+E29+E33)</f>
        <v>14419512</v>
      </c>
    </row>
    <row r="35" spans="1:5" s="44" customFormat="1" ht="15.75" customHeight="1">
      <c r="A35" s="59" t="s">
        <v>1044</v>
      </c>
      <c r="B35" s="60" t="s">
        <v>661</v>
      </c>
      <c r="C35" s="60"/>
      <c r="D35" s="473"/>
      <c r="E35" s="213"/>
    </row>
    <row r="36" spans="1:5" s="44" customFormat="1" ht="14.25" customHeight="1">
      <c r="A36" s="136" t="s">
        <v>1045</v>
      </c>
      <c r="B36" s="62" t="s">
        <v>1046</v>
      </c>
      <c r="C36" s="62"/>
      <c r="D36" s="473"/>
      <c r="E36" s="213"/>
    </row>
    <row r="37" spans="1:5" s="44" customFormat="1" ht="14.25" customHeight="1">
      <c r="A37" s="137" t="s">
        <v>1047</v>
      </c>
      <c r="B37" s="67" t="s">
        <v>1048</v>
      </c>
      <c r="C37" s="62">
        <v>378018</v>
      </c>
      <c r="D37" s="473"/>
      <c r="E37" s="473">
        <f>SUM(C37:D37)</f>
        <v>378018</v>
      </c>
    </row>
    <row r="38" spans="1:5" s="44" customFormat="1" ht="14.25" customHeight="1">
      <c r="A38" s="137" t="s">
        <v>1049</v>
      </c>
      <c r="B38" s="67" t="s">
        <v>667</v>
      </c>
      <c r="C38" s="62">
        <v>2467917</v>
      </c>
      <c r="D38" s="473">
        <v>-13929</v>
      </c>
      <c r="E38" s="473">
        <f>SUM(C38:D38)</f>
        <v>2453988</v>
      </c>
    </row>
    <row r="39" spans="1:5" s="44" customFormat="1" ht="14.25" customHeight="1">
      <c r="A39" s="137" t="s">
        <v>62</v>
      </c>
      <c r="B39" s="67" t="s">
        <v>63</v>
      </c>
      <c r="C39" s="62">
        <v>73924</v>
      </c>
      <c r="D39" s="473">
        <v>74226</v>
      </c>
      <c r="E39" s="473">
        <f>SUM(C39:D39)</f>
        <v>148150</v>
      </c>
    </row>
    <row r="40" spans="1:5" s="44" customFormat="1" ht="14.25" customHeight="1">
      <c r="A40" s="138"/>
      <c r="B40" s="65" t="s">
        <v>1050</v>
      </c>
      <c r="C40" s="65">
        <f>SUM(C37:C39)</f>
        <v>2919859</v>
      </c>
      <c r="D40" s="65">
        <f>SUM(D37:D39)</f>
        <v>60297</v>
      </c>
      <c r="E40" s="65">
        <f>SUM(E37:E39)</f>
        <v>2980156</v>
      </c>
    </row>
    <row r="41" spans="1:5" ht="15.75" customHeight="1">
      <c r="A41" s="64"/>
      <c r="B41" s="65" t="s">
        <v>1051</v>
      </c>
      <c r="C41" s="65">
        <f>SUM(C34+C40)</f>
        <v>17286477</v>
      </c>
      <c r="D41" s="65">
        <f>SUM(D34+D40)</f>
        <v>113191</v>
      </c>
      <c r="E41" s="65">
        <f>SUM(E34+E40)</f>
        <v>17399668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74" customFormat="1" ht="49.5" customHeight="1" thickBot="1">
      <c r="A3" s="165" t="s">
        <v>992</v>
      </c>
      <c r="B3" s="165" t="s">
        <v>636</v>
      </c>
      <c r="C3" s="165" t="s">
        <v>674</v>
      </c>
      <c r="D3" s="165" t="s">
        <v>672</v>
      </c>
      <c r="E3" s="165" t="s">
        <v>675</v>
      </c>
    </row>
    <row r="4" spans="1:5" s="74" customFormat="1" ht="19.5" customHeight="1">
      <c r="A4" s="139"/>
      <c r="B4" s="140" t="s">
        <v>656</v>
      </c>
      <c r="C4" s="140"/>
      <c r="D4" s="140"/>
      <c r="E4" s="139"/>
    </row>
    <row r="5" spans="1:5" s="79" customFormat="1" ht="12.75">
      <c r="A5" s="76" t="s">
        <v>1052</v>
      </c>
      <c r="B5" s="77" t="s">
        <v>388</v>
      </c>
      <c r="C5" s="78">
        <v>3027557</v>
      </c>
      <c r="D5" s="535">
        <v>12091</v>
      </c>
      <c r="E5" s="78">
        <f>SUM(C5:D5)</f>
        <v>3039648</v>
      </c>
    </row>
    <row r="6" spans="1:5" s="34" customFormat="1" ht="12.75">
      <c r="A6" s="76" t="s">
        <v>1053</v>
      </c>
      <c r="B6" s="80" t="s">
        <v>389</v>
      </c>
      <c r="C6" s="81">
        <v>854650</v>
      </c>
      <c r="D6" s="536">
        <v>-218</v>
      </c>
      <c r="E6" s="78">
        <f>SUM(C6:D6)</f>
        <v>854432</v>
      </c>
    </row>
    <row r="7" spans="1:5" s="34" customFormat="1" ht="12.75">
      <c r="A7" s="76" t="s">
        <v>1054</v>
      </c>
      <c r="B7" s="82" t="s">
        <v>390</v>
      </c>
      <c r="C7" s="81">
        <v>4991888</v>
      </c>
      <c r="D7" s="537">
        <v>79625</v>
      </c>
      <c r="E7" s="78">
        <f>SUM(C7:D7)</f>
        <v>5071513</v>
      </c>
    </row>
    <row r="8" spans="1:5" s="34" customFormat="1" ht="12.75">
      <c r="A8" s="76" t="s">
        <v>1055</v>
      </c>
      <c r="B8" s="82" t="s">
        <v>657</v>
      </c>
      <c r="C8" s="83">
        <v>211954</v>
      </c>
      <c r="D8" s="537"/>
      <c r="E8" s="78">
        <f>SUM(C8:D8)</f>
        <v>211954</v>
      </c>
    </row>
    <row r="9" spans="1:5" s="34" customFormat="1" ht="12.75">
      <c r="A9" s="76" t="s">
        <v>1056</v>
      </c>
      <c r="B9" s="82" t="s">
        <v>391</v>
      </c>
      <c r="C9" s="81">
        <v>1620188</v>
      </c>
      <c r="D9" s="537">
        <v>-9913</v>
      </c>
      <c r="E9" s="78">
        <f>SUM(C9:D9)</f>
        <v>1610275</v>
      </c>
    </row>
    <row r="10" spans="1:5" s="34" customFormat="1" ht="13.5">
      <c r="A10" s="76"/>
      <c r="B10" s="75" t="s">
        <v>394</v>
      </c>
      <c r="C10" s="84">
        <f>SUM(C5:C9)</f>
        <v>10706237</v>
      </c>
      <c r="D10" s="84">
        <f>SUM(D5:D9)</f>
        <v>81585</v>
      </c>
      <c r="E10" s="84">
        <f>SUM(E5:E9)</f>
        <v>10787822</v>
      </c>
    </row>
    <row r="11" spans="1:5" s="34" customFormat="1" ht="12.75">
      <c r="A11" s="86" t="s">
        <v>1057</v>
      </c>
      <c r="B11" s="81" t="s">
        <v>395</v>
      </c>
      <c r="C11" s="81">
        <v>5034714</v>
      </c>
      <c r="D11" s="81">
        <v>21906</v>
      </c>
      <c r="E11" s="81">
        <f>SUM(C11:D11)</f>
        <v>5056620</v>
      </c>
    </row>
    <row r="12" spans="1:5" s="34" customFormat="1" ht="12.75">
      <c r="A12" s="86" t="s">
        <v>1058</v>
      </c>
      <c r="B12" s="81" t="s">
        <v>396</v>
      </c>
      <c r="C12" s="81">
        <v>694941</v>
      </c>
      <c r="D12" s="81">
        <v>-26990</v>
      </c>
      <c r="E12" s="81">
        <f>SUM(C12:D12)</f>
        <v>667951</v>
      </c>
    </row>
    <row r="13" spans="1:5" s="34" customFormat="1" ht="12.75">
      <c r="A13" s="86" t="s">
        <v>1059</v>
      </c>
      <c r="B13" s="81" t="s">
        <v>658</v>
      </c>
      <c r="C13" s="83">
        <v>850585</v>
      </c>
      <c r="D13" s="81">
        <v>36690</v>
      </c>
      <c r="E13" s="81">
        <f>SUM(C13:D13)</f>
        <v>887275</v>
      </c>
    </row>
    <row r="14" spans="1:5" s="34" customFormat="1" ht="13.5">
      <c r="A14" s="86"/>
      <c r="B14" s="85" t="s">
        <v>397</v>
      </c>
      <c r="C14" s="87">
        <f>SUM(C11:C13)</f>
        <v>6580240</v>
      </c>
      <c r="D14" s="87">
        <f>SUM(D11:D13)</f>
        <v>31606</v>
      </c>
      <c r="E14" s="87">
        <f>SUM(E11:E13)</f>
        <v>6611846</v>
      </c>
    </row>
    <row r="15" spans="1:5" s="34" customFormat="1" ht="18" customHeight="1">
      <c r="A15" s="86" t="s">
        <v>1060</v>
      </c>
      <c r="B15" s="85" t="s">
        <v>1061</v>
      </c>
      <c r="C15" s="87">
        <f>SUM(C14+C10)</f>
        <v>17286477</v>
      </c>
      <c r="D15" s="87">
        <f>SUM(D14+D10)</f>
        <v>113191</v>
      </c>
      <c r="E15" s="87">
        <f>SUM(E14+E10)</f>
        <v>17399668</v>
      </c>
    </row>
    <row r="16" spans="1:5" s="34" customFormat="1" ht="16.5" customHeight="1">
      <c r="A16" s="86" t="s">
        <v>1062</v>
      </c>
      <c r="B16" s="85" t="s">
        <v>659</v>
      </c>
      <c r="C16" s="87"/>
      <c r="D16" s="85"/>
      <c r="E16" s="87"/>
    </row>
    <row r="17" spans="1:5" s="35" customFormat="1" ht="18.75" customHeight="1">
      <c r="A17" s="88"/>
      <c r="B17" s="89" t="s">
        <v>398</v>
      </c>
      <c r="C17" s="90">
        <f>SUM(C15:C16)</f>
        <v>17286477</v>
      </c>
      <c r="D17" s="90">
        <f>SUM(D15:D16)</f>
        <v>113191</v>
      </c>
      <c r="E17" s="90">
        <f>SUM(E15:E16)</f>
        <v>17399668</v>
      </c>
    </row>
    <row r="18" spans="1:5" s="30" customFormat="1" ht="12.75">
      <c r="A18" s="91"/>
      <c r="B18" s="92"/>
      <c r="C18" s="92"/>
      <c r="D18" s="92"/>
      <c r="E18" s="92"/>
    </row>
    <row r="19" spans="1:5" s="1" customFormat="1" ht="12.75">
      <c r="A19" s="91"/>
      <c r="B19" s="91"/>
      <c r="C19" s="91"/>
      <c r="D19" s="91"/>
      <c r="E19" s="91"/>
    </row>
    <row r="20" spans="1:5" s="1" customFormat="1" ht="12.75">
      <c r="A20" s="91"/>
      <c r="B20" s="91"/>
      <c r="C20" s="91"/>
      <c r="D20" s="91"/>
      <c r="E20" s="91"/>
    </row>
    <row r="21" spans="1:5" s="1" customFormat="1" ht="12.75">
      <c r="A21" s="91"/>
      <c r="B21" s="91"/>
      <c r="C21" s="91"/>
      <c r="D21" s="91"/>
      <c r="E21" s="91"/>
    </row>
    <row r="22" spans="1:5" s="1" customFormat="1" ht="12.75">
      <c r="A22" s="91"/>
      <c r="B22" s="91"/>
      <c r="C22" s="91"/>
      <c r="D22" s="91"/>
      <c r="E22" s="91"/>
    </row>
    <row r="23" spans="1:5" s="1" customFormat="1" ht="12.75">
      <c r="A23" s="91"/>
      <c r="B23" s="91"/>
      <c r="C23" s="91"/>
      <c r="D23" s="91"/>
      <c r="E23" s="91"/>
    </row>
    <row r="24" spans="1:5" s="1" customFormat="1" ht="12.75">
      <c r="A24" s="91"/>
      <c r="B24" s="91"/>
      <c r="C24" s="91"/>
      <c r="D24" s="91"/>
      <c r="E24" s="91"/>
    </row>
    <row r="25" spans="1:5" s="1" customFormat="1" ht="12.75">
      <c r="A25" s="91"/>
      <c r="B25" s="91"/>
      <c r="C25" s="91"/>
      <c r="D25" s="91"/>
      <c r="E25" s="91"/>
    </row>
    <row r="26" spans="1:5" s="1" customFormat="1" ht="12.75">
      <c r="A26" s="91"/>
      <c r="B26" s="91"/>
      <c r="C26" s="91"/>
      <c r="D26" s="91"/>
      <c r="E26" s="91"/>
    </row>
    <row r="27" spans="1:5" s="1" customFormat="1" ht="12.75">
      <c r="A27" s="91"/>
      <c r="B27" s="91"/>
      <c r="C27" s="91"/>
      <c r="D27" s="91"/>
      <c r="E27" s="91"/>
    </row>
    <row r="28" spans="1:5" s="1" customFormat="1" ht="12.75">
      <c r="A28" s="93"/>
      <c r="B28" s="91"/>
      <c r="C28" s="91"/>
      <c r="D28" s="91"/>
      <c r="E28" s="91"/>
    </row>
    <row r="29" spans="1:5" ht="12.75">
      <c r="A29" s="93"/>
      <c r="B29" s="93"/>
      <c r="C29" s="93"/>
      <c r="D29" s="93"/>
      <c r="E29" s="93"/>
    </row>
    <row r="30" spans="1:5" ht="12.75">
      <c r="A30" s="93"/>
      <c r="B30" s="93"/>
      <c r="C30" s="93"/>
      <c r="D30" s="93"/>
      <c r="E30" s="93"/>
    </row>
    <row r="31" spans="1:5" ht="12.75">
      <c r="A31" s="93"/>
      <c r="B31" s="93"/>
      <c r="C31" s="93"/>
      <c r="D31" s="93"/>
      <c r="E31" s="93"/>
    </row>
    <row r="32" spans="1:5" ht="12.75">
      <c r="A32" s="93"/>
      <c r="B32" s="93"/>
      <c r="C32" s="93"/>
      <c r="D32" s="93"/>
      <c r="E32" s="93"/>
    </row>
    <row r="33" spans="1:5" ht="12.75">
      <c r="A33" s="93"/>
      <c r="B33" s="93"/>
      <c r="C33" s="93"/>
      <c r="D33" s="93"/>
      <c r="E33" s="93"/>
    </row>
    <row r="34" spans="2:5" ht="12.75">
      <c r="B34" s="93"/>
      <c r="C34" s="93"/>
      <c r="D34" s="93"/>
      <c r="E34" s="93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dőlt"3.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3.375" style="168" customWidth="1"/>
    <col min="2" max="2" width="7.00390625" style="168" customWidth="1"/>
    <col min="3" max="3" width="23.375" style="168" customWidth="1"/>
    <col min="4" max="4" width="12.375" style="168" customWidth="1"/>
    <col min="5" max="5" width="14.375" style="168" customWidth="1"/>
    <col min="6" max="6" width="10.875" style="168" customWidth="1"/>
    <col min="7" max="7" width="10.375" style="168" customWidth="1"/>
    <col min="8" max="8" width="12.00390625" style="168" customWidth="1"/>
    <col min="9" max="9" width="14.00390625" style="168" customWidth="1"/>
    <col min="10" max="10" width="14.875" style="168" customWidth="1"/>
    <col min="11" max="11" width="13.375" style="168" customWidth="1"/>
    <col min="12" max="12" width="14.875" style="168" customWidth="1"/>
    <col min="13" max="13" width="13.625" style="168" customWidth="1"/>
    <col min="14" max="14" width="11.50390625" style="168" customWidth="1"/>
    <col min="15" max="16384" width="9.375" style="168" customWidth="1"/>
  </cols>
  <sheetData>
    <row r="1" spans="1:14" ht="12.75">
      <c r="A1" s="712" t="s">
        <v>642</v>
      </c>
      <c r="B1" s="712" t="s">
        <v>643</v>
      </c>
      <c r="C1" s="713" t="s">
        <v>636</v>
      </c>
      <c r="D1" s="710" t="s">
        <v>660</v>
      </c>
      <c r="E1" s="710"/>
      <c r="F1" s="710"/>
      <c r="G1" s="710"/>
      <c r="H1" s="710"/>
      <c r="I1" s="710"/>
      <c r="J1" s="710"/>
      <c r="K1" s="710" t="s">
        <v>661</v>
      </c>
      <c r="L1" s="710"/>
      <c r="M1" s="711"/>
      <c r="N1" s="708" t="s">
        <v>637</v>
      </c>
    </row>
    <row r="2" spans="1:14" s="172" customFormat="1" ht="60.75" customHeight="1" thickBot="1">
      <c r="A2" s="712"/>
      <c r="B2" s="712"/>
      <c r="C2" s="713"/>
      <c r="D2" s="169" t="s">
        <v>662</v>
      </c>
      <c r="E2" s="169" t="s">
        <v>663</v>
      </c>
      <c r="F2" s="166" t="s">
        <v>401</v>
      </c>
      <c r="G2" s="170" t="s">
        <v>664</v>
      </c>
      <c r="H2" s="166" t="s">
        <v>484</v>
      </c>
      <c r="I2" s="166" t="s">
        <v>665</v>
      </c>
      <c r="J2" s="166" t="s">
        <v>666</v>
      </c>
      <c r="K2" s="166" t="s">
        <v>551</v>
      </c>
      <c r="L2" s="166" t="s">
        <v>667</v>
      </c>
      <c r="M2" s="171" t="s">
        <v>668</v>
      </c>
      <c r="N2" s="709"/>
    </row>
    <row r="3" spans="1:14" ht="16.5" customHeight="1">
      <c r="A3" s="173"/>
      <c r="B3" s="173"/>
      <c r="C3" s="173" t="s">
        <v>482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</row>
    <row r="4" spans="1:14" ht="24.75" customHeight="1">
      <c r="A4" s="175"/>
      <c r="B4" s="175">
        <v>12</v>
      </c>
      <c r="C4" s="176" t="s">
        <v>402</v>
      </c>
      <c r="D4" s="177">
        <f>4a!E8</f>
        <v>0</v>
      </c>
      <c r="E4" s="177">
        <f>4a!F8</f>
        <v>0</v>
      </c>
      <c r="F4" s="177">
        <f>4a!G8</f>
        <v>0</v>
      </c>
      <c r="G4" s="177">
        <f>4a!H8</f>
        <v>9906</v>
      </c>
      <c r="H4" s="177">
        <f>4a!I8</f>
        <v>0</v>
      </c>
      <c r="I4" s="177">
        <f>4a!J8</f>
        <v>0</v>
      </c>
      <c r="J4" s="177">
        <f>4a!K8</f>
        <v>0</v>
      </c>
      <c r="K4" s="177">
        <f>4a!L8</f>
        <v>0</v>
      </c>
      <c r="L4" s="177">
        <f>4a!M8</f>
        <v>0</v>
      </c>
      <c r="M4" s="177">
        <f>4a!N8</f>
        <v>0</v>
      </c>
      <c r="N4" s="177">
        <f aca="true" t="shared" si="0" ref="N4:N12">SUM(D4:M4)</f>
        <v>9906</v>
      </c>
    </row>
    <row r="5" spans="1:14" ht="16.5" customHeight="1">
      <c r="A5" s="175"/>
      <c r="B5" s="175">
        <v>13</v>
      </c>
      <c r="C5" s="173" t="s">
        <v>403</v>
      </c>
      <c r="D5" s="177">
        <f>4a!E19</f>
        <v>37376</v>
      </c>
      <c r="E5" s="177">
        <f>4a!F19</f>
        <v>0</v>
      </c>
      <c r="F5" s="177">
        <f>4a!G19</f>
        <v>0</v>
      </c>
      <c r="G5" s="177">
        <f>4a!H19</f>
        <v>5461</v>
      </c>
      <c r="H5" s="177">
        <f>4a!I19</f>
        <v>0</v>
      </c>
      <c r="I5" s="177">
        <f>4a!J19</f>
        <v>2000</v>
      </c>
      <c r="J5" s="177">
        <f>4a!K19</f>
        <v>0</v>
      </c>
      <c r="K5" s="177">
        <f>4a!L19</f>
        <v>0</v>
      </c>
      <c r="L5" s="177">
        <f>4a!M19</f>
        <v>0</v>
      </c>
      <c r="M5" s="177">
        <f>4a!N19</f>
        <v>0</v>
      </c>
      <c r="N5" s="177">
        <f t="shared" si="0"/>
        <v>44837</v>
      </c>
    </row>
    <row r="6" spans="1:14" ht="16.5" customHeight="1">
      <c r="A6" s="175"/>
      <c r="B6" s="175">
        <v>15</v>
      </c>
      <c r="C6" s="173" t="s">
        <v>64</v>
      </c>
      <c r="D6" s="177">
        <f>4a!E36</f>
        <v>0</v>
      </c>
      <c r="E6" s="177">
        <f>4a!F36</f>
        <v>545188</v>
      </c>
      <c r="F6" s="177">
        <f>4a!G36</f>
        <v>0</v>
      </c>
      <c r="G6" s="177">
        <f>4a!H36</f>
        <v>677207</v>
      </c>
      <c r="H6" s="177">
        <f>4a!I36</f>
        <v>0</v>
      </c>
      <c r="I6" s="177">
        <f>4a!J36</f>
        <v>0</v>
      </c>
      <c r="J6" s="177">
        <f>4a!K36</f>
        <v>0</v>
      </c>
      <c r="K6" s="177">
        <f>4a!L36</f>
        <v>0</v>
      </c>
      <c r="L6" s="177">
        <f>4a!M36</f>
        <v>0</v>
      </c>
      <c r="M6" s="177">
        <f>4a!N36</f>
        <v>0</v>
      </c>
      <c r="N6" s="177">
        <f t="shared" si="0"/>
        <v>1222395</v>
      </c>
    </row>
    <row r="7" spans="1:14" ht="16.5" customHeight="1">
      <c r="A7" s="175"/>
      <c r="B7" s="175">
        <v>16</v>
      </c>
      <c r="C7" s="173" t="s">
        <v>471</v>
      </c>
      <c r="D7" s="177">
        <f>4a!E59</f>
        <v>704909</v>
      </c>
      <c r="E7" s="177">
        <f>4a!F59</f>
        <v>2946279</v>
      </c>
      <c r="F7" s="177">
        <f>4a!G59</f>
        <v>0</v>
      </c>
      <c r="G7" s="177">
        <f>4a!H59</f>
        <v>65475</v>
      </c>
      <c r="H7" s="177">
        <f>4a!I59</f>
        <v>0</v>
      </c>
      <c r="I7" s="177">
        <f>4a!J59</f>
        <v>0</v>
      </c>
      <c r="J7" s="177">
        <f>4a!K59</f>
        <v>290000</v>
      </c>
      <c r="K7" s="177">
        <f>4a!L59</f>
        <v>0</v>
      </c>
      <c r="L7" s="177">
        <f>4a!M59</f>
        <v>0</v>
      </c>
      <c r="M7" s="177">
        <f>4a!N59</f>
        <v>0</v>
      </c>
      <c r="N7" s="177">
        <f t="shared" si="0"/>
        <v>4006663</v>
      </c>
    </row>
    <row r="8" spans="1:14" ht="16.5" customHeight="1">
      <c r="A8" s="175"/>
      <c r="B8" s="175">
        <v>17</v>
      </c>
      <c r="C8" s="173" t="s">
        <v>65</v>
      </c>
      <c r="D8" s="177">
        <f>4a!E81</f>
        <v>0</v>
      </c>
      <c r="E8" s="177">
        <f>4a!F81</f>
        <v>0</v>
      </c>
      <c r="F8" s="177">
        <f>4a!G81</f>
        <v>0</v>
      </c>
      <c r="G8" s="177">
        <f>4a!H81</f>
        <v>358019</v>
      </c>
      <c r="H8" s="177">
        <f>4a!I81</f>
        <v>144480</v>
      </c>
      <c r="I8" s="177">
        <f>4a!J81</f>
        <v>0</v>
      </c>
      <c r="J8" s="177">
        <f>4a!K81</f>
        <v>30000</v>
      </c>
      <c r="K8" s="177">
        <f>4a!L81</f>
        <v>0</v>
      </c>
      <c r="L8" s="177">
        <f>4a!M81</f>
        <v>80000</v>
      </c>
      <c r="M8" s="177">
        <f>4a!N81</f>
        <v>148150</v>
      </c>
      <c r="N8" s="177">
        <f t="shared" si="0"/>
        <v>760649</v>
      </c>
    </row>
    <row r="9" spans="1:14" ht="16.5" customHeight="1">
      <c r="A9" s="175"/>
      <c r="B9" s="175">
        <v>18</v>
      </c>
      <c r="C9" s="173" t="s">
        <v>470</v>
      </c>
      <c r="D9" s="177">
        <f>4a!E89</f>
        <v>0</v>
      </c>
      <c r="E9" s="177">
        <f>4a!F89</f>
        <v>0</v>
      </c>
      <c r="F9" s="177">
        <f>4a!G89</f>
        <v>7000</v>
      </c>
      <c r="G9" s="177">
        <f>4a!H89</f>
        <v>67315</v>
      </c>
      <c r="H9" s="177">
        <f>4a!I89</f>
        <v>0</v>
      </c>
      <c r="I9" s="177">
        <f>4a!J89</f>
        <v>0</v>
      </c>
      <c r="J9" s="177">
        <f>4a!K89</f>
        <v>0</v>
      </c>
      <c r="K9" s="177">
        <f>4a!L89</f>
        <v>0</v>
      </c>
      <c r="L9" s="177">
        <f>4a!M89</f>
        <v>0</v>
      </c>
      <c r="M9" s="177">
        <f>4a!N89</f>
        <v>0</v>
      </c>
      <c r="N9" s="177">
        <f t="shared" si="0"/>
        <v>74315</v>
      </c>
    </row>
    <row r="10" spans="1:14" ht="16.5" customHeight="1">
      <c r="A10" s="175"/>
      <c r="B10" s="175">
        <v>19</v>
      </c>
      <c r="C10" s="173" t="s">
        <v>640</v>
      </c>
      <c r="D10" s="177">
        <f>4a!E115</f>
        <v>2273791</v>
      </c>
      <c r="E10" s="177">
        <f>4a!F115</f>
        <v>0</v>
      </c>
      <c r="F10" s="177">
        <f>4a!G115</f>
        <v>4545000</v>
      </c>
      <c r="G10" s="177">
        <f>4a!H115</f>
        <v>234922</v>
      </c>
      <c r="H10" s="177">
        <f>4a!I115</f>
        <v>0</v>
      </c>
      <c r="I10" s="177">
        <f>4a!J115</f>
        <v>0</v>
      </c>
      <c r="J10" s="177">
        <f>4a!K115</f>
        <v>0</v>
      </c>
      <c r="K10" s="177">
        <f>4a!L115</f>
        <v>378018</v>
      </c>
      <c r="L10" s="177">
        <f>4a!M115</f>
        <v>1986107</v>
      </c>
      <c r="M10" s="177">
        <f>4a!N115</f>
        <v>0</v>
      </c>
      <c r="N10" s="177">
        <f t="shared" si="0"/>
        <v>9417838</v>
      </c>
    </row>
    <row r="11" spans="1:14" ht="16.5" customHeight="1">
      <c r="A11" s="175"/>
      <c r="B11" s="175">
        <v>20</v>
      </c>
      <c r="C11" s="15" t="s">
        <v>580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>
        <f t="shared" si="0"/>
        <v>0</v>
      </c>
    </row>
    <row r="12" spans="1:14" ht="16.5" customHeight="1">
      <c r="A12" s="175"/>
      <c r="B12" s="175">
        <v>22</v>
      </c>
      <c r="C12" s="178" t="s">
        <v>66</v>
      </c>
      <c r="D12" s="177">
        <f>4a!E121</f>
        <v>8000</v>
      </c>
      <c r="E12" s="177">
        <f>4a!F121</f>
        <v>0</v>
      </c>
      <c r="F12" s="177">
        <f>4a!G121</f>
        <v>0</v>
      </c>
      <c r="G12" s="177">
        <f>4a!H121</f>
        <v>0</v>
      </c>
      <c r="H12" s="177">
        <f>4a!I121</f>
        <v>0</v>
      </c>
      <c r="I12" s="177">
        <f>4a!J121</f>
        <v>0</v>
      </c>
      <c r="J12" s="177">
        <f>4a!K121</f>
        <v>0</v>
      </c>
      <c r="K12" s="177">
        <f>4a!L121</f>
        <v>0</v>
      </c>
      <c r="L12" s="177">
        <f>4a!M121</f>
        <v>0</v>
      </c>
      <c r="M12" s="177">
        <f>4a!N121</f>
        <v>0</v>
      </c>
      <c r="N12" s="177">
        <f t="shared" si="0"/>
        <v>8000</v>
      </c>
    </row>
    <row r="13" spans="1:14" ht="36" customHeight="1">
      <c r="A13" s="167"/>
      <c r="B13" s="167"/>
      <c r="C13" s="179" t="s">
        <v>440</v>
      </c>
      <c r="D13" s="180">
        <f aca="true" t="shared" si="1" ref="D13:N13">SUM(D4:D12)</f>
        <v>3024076</v>
      </c>
      <c r="E13" s="180">
        <f t="shared" si="1"/>
        <v>3491467</v>
      </c>
      <c r="F13" s="180">
        <f t="shared" si="1"/>
        <v>4552000</v>
      </c>
      <c r="G13" s="180">
        <f t="shared" si="1"/>
        <v>1418305</v>
      </c>
      <c r="H13" s="180">
        <f t="shared" si="1"/>
        <v>144480</v>
      </c>
      <c r="I13" s="180">
        <f t="shared" si="1"/>
        <v>2000</v>
      </c>
      <c r="J13" s="180">
        <f t="shared" si="1"/>
        <v>320000</v>
      </c>
      <c r="K13" s="180">
        <f t="shared" si="1"/>
        <v>378018</v>
      </c>
      <c r="L13" s="180">
        <f t="shared" si="1"/>
        <v>2066107</v>
      </c>
      <c r="M13" s="180">
        <f t="shared" si="1"/>
        <v>148150</v>
      </c>
      <c r="N13" s="180">
        <f t="shared" si="1"/>
        <v>15544603</v>
      </c>
    </row>
    <row r="14" spans="1:14" ht="16.5" customHeight="1">
      <c r="A14" s="181">
        <v>2</v>
      </c>
      <c r="B14" s="181"/>
      <c r="C14" s="173" t="s">
        <v>483</v>
      </c>
      <c r="D14" s="177">
        <f>4a!E123</f>
        <v>294113</v>
      </c>
      <c r="E14" s="177">
        <f>4a!F123</f>
        <v>0</v>
      </c>
      <c r="F14" s="177">
        <f>4a!G123</f>
        <v>0</v>
      </c>
      <c r="G14" s="177">
        <f>4a!H123</f>
        <v>1108071</v>
      </c>
      <c r="H14" s="177">
        <f>4a!I123</f>
        <v>0</v>
      </c>
      <c r="I14" s="177">
        <f>4a!J123</f>
        <v>65000</v>
      </c>
      <c r="J14" s="177">
        <f>4a!K123</f>
        <v>0</v>
      </c>
      <c r="K14" s="177">
        <f>4a!L123</f>
        <v>0</v>
      </c>
      <c r="L14" s="177">
        <f>4a!M123</f>
        <v>387881</v>
      </c>
      <c r="M14" s="177"/>
      <c r="N14" s="177">
        <f>SUM(D14:M14)</f>
        <v>1855065</v>
      </c>
    </row>
    <row r="15" spans="1:14" ht="16.5" customHeight="1">
      <c r="A15" s="167"/>
      <c r="B15" s="167"/>
      <c r="C15" s="182" t="s">
        <v>468</v>
      </c>
      <c r="D15" s="180">
        <f aca="true" t="shared" si="2" ref="D15:N15">SUM(D13:D14)</f>
        <v>3318189</v>
      </c>
      <c r="E15" s="180">
        <f t="shared" si="2"/>
        <v>3491467</v>
      </c>
      <c r="F15" s="180">
        <f t="shared" si="2"/>
        <v>4552000</v>
      </c>
      <c r="G15" s="180">
        <f t="shared" si="2"/>
        <v>2526376</v>
      </c>
      <c r="H15" s="180">
        <f t="shared" si="2"/>
        <v>144480</v>
      </c>
      <c r="I15" s="180">
        <f t="shared" si="2"/>
        <v>67000</v>
      </c>
      <c r="J15" s="180">
        <f t="shared" si="2"/>
        <v>320000</v>
      </c>
      <c r="K15" s="180">
        <f t="shared" si="2"/>
        <v>378018</v>
      </c>
      <c r="L15" s="180">
        <f t="shared" si="2"/>
        <v>2453988</v>
      </c>
      <c r="M15" s="180">
        <f t="shared" si="2"/>
        <v>148150</v>
      </c>
      <c r="N15" s="180">
        <f t="shared" si="2"/>
        <v>17399668</v>
      </c>
    </row>
    <row r="16" spans="3:13" ht="16.5" customHeight="1"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3:12" ht="13.5" customHeight="1">
      <c r="C17" s="183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4:12" ht="13.5" customHeight="1">
      <c r="D18" s="184"/>
      <c r="E18" s="184"/>
      <c r="F18" s="184"/>
      <c r="G18" s="184"/>
      <c r="H18" s="184"/>
      <c r="I18" s="184"/>
      <c r="J18" s="184"/>
      <c r="K18" s="184"/>
      <c r="L18" s="184"/>
    </row>
    <row r="19" spans="4:12" ht="13.5" customHeight="1">
      <c r="D19" s="184"/>
      <c r="E19" s="184"/>
      <c r="F19" s="184"/>
      <c r="G19" s="184"/>
      <c r="H19" s="184"/>
      <c r="I19" s="184"/>
      <c r="J19" s="184"/>
      <c r="K19" s="184"/>
      <c r="L19" s="184"/>
    </row>
    <row r="20" spans="4:12" ht="13.5" customHeight="1">
      <c r="D20" s="184"/>
      <c r="E20" s="184"/>
      <c r="F20" s="184"/>
      <c r="G20" s="184"/>
      <c r="H20" s="184"/>
      <c r="I20" s="184"/>
      <c r="J20" s="184"/>
      <c r="K20" s="184"/>
      <c r="L20" s="184"/>
    </row>
    <row r="21" spans="4:12" ht="13.5" customHeight="1">
      <c r="D21" s="184"/>
      <c r="E21" s="184"/>
      <c r="F21" s="184"/>
      <c r="G21" s="184"/>
      <c r="H21" s="184"/>
      <c r="I21" s="184"/>
      <c r="J21" s="184"/>
      <c r="K21" s="184"/>
      <c r="L21" s="184"/>
    </row>
    <row r="22" spans="4:12" ht="13.5" customHeight="1">
      <c r="D22" s="184"/>
      <c r="E22" s="184"/>
      <c r="F22" s="184"/>
      <c r="G22" s="184"/>
      <c r="H22" s="184"/>
      <c r="I22" s="184"/>
      <c r="J22" s="184"/>
      <c r="K22" s="184"/>
      <c r="L22" s="184"/>
    </row>
    <row r="23" spans="4:12" ht="13.5" customHeight="1">
      <c r="D23" s="184"/>
      <c r="E23" s="184"/>
      <c r="F23" s="184"/>
      <c r="G23" s="184"/>
      <c r="H23" s="184"/>
      <c r="I23" s="184"/>
      <c r="J23" s="184"/>
      <c r="K23" s="184"/>
      <c r="L23" s="184"/>
    </row>
    <row r="24" spans="4:12" ht="13.5" customHeight="1">
      <c r="D24" s="184"/>
      <c r="E24" s="184"/>
      <c r="F24" s="184"/>
      <c r="G24" s="184"/>
      <c r="H24" s="184"/>
      <c r="I24" s="184"/>
      <c r="J24" s="184"/>
      <c r="K24" s="184"/>
      <c r="L24" s="184"/>
    </row>
    <row r="25" spans="4:12" ht="13.5" customHeight="1">
      <c r="D25" s="184"/>
      <c r="E25" s="184"/>
      <c r="F25" s="184"/>
      <c r="G25" s="184"/>
      <c r="H25" s="184"/>
      <c r="I25" s="184"/>
      <c r="J25" s="184"/>
      <c r="K25" s="184"/>
      <c r="L25" s="184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dőlt"4. melléklet
Adatok: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pane ySplit="2" topLeftCell="A111" activePane="bottomLeft" state="frozen"/>
      <selection pane="topLeft" activeCell="A1" sqref="A1"/>
      <selection pane="bottomLeft" activeCell="D97" sqref="D97"/>
    </sheetView>
  </sheetViews>
  <sheetFormatPr defaultColWidth="9.00390625" defaultRowHeight="12.75"/>
  <cols>
    <col min="1" max="1" width="5.625" style="189" customWidth="1"/>
    <col min="2" max="2" width="6.50390625" style="189" customWidth="1"/>
    <col min="3" max="3" width="37.375" style="189" customWidth="1"/>
    <col min="4" max="4" width="10.00390625" style="548" customWidth="1"/>
    <col min="5" max="5" width="13.625" style="189" customWidth="1"/>
    <col min="6" max="6" width="13.125" style="189" customWidth="1"/>
    <col min="7" max="7" width="12.375" style="189" customWidth="1"/>
    <col min="8" max="8" width="11.375" style="189" customWidth="1"/>
    <col min="9" max="9" width="13.00390625" style="189" customWidth="1"/>
    <col min="10" max="10" width="12.00390625" style="189" customWidth="1"/>
    <col min="11" max="11" width="13.125" style="189" customWidth="1"/>
    <col min="12" max="12" width="13.875" style="189" customWidth="1"/>
    <col min="13" max="13" width="11.50390625" style="189" customWidth="1"/>
    <col min="14" max="14" width="10.625" style="189" customWidth="1"/>
    <col min="15" max="15" width="13.125" style="189" customWidth="1"/>
    <col min="16" max="16" width="10.875" style="189" bestFit="1" customWidth="1"/>
    <col min="17" max="17" width="12.125" style="189" bestFit="1" customWidth="1"/>
    <col min="18" max="16384" width="9.375" style="189" customWidth="1"/>
  </cols>
  <sheetData>
    <row r="1" spans="1:15" ht="14.25" thickBot="1">
      <c r="A1" s="718" t="s">
        <v>642</v>
      </c>
      <c r="B1" s="718" t="s">
        <v>643</v>
      </c>
      <c r="C1" s="708" t="s">
        <v>636</v>
      </c>
      <c r="D1" s="720" t="s">
        <v>1105</v>
      </c>
      <c r="E1" s="714" t="s">
        <v>660</v>
      </c>
      <c r="F1" s="714"/>
      <c r="G1" s="714"/>
      <c r="H1" s="714"/>
      <c r="I1" s="714"/>
      <c r="J1" s="714"/>
      <c r="K1" s="715"/>
      <c r="L1" s="716" t="s">
        <v>661</v>
      </c>
      <c r="M1" s="717"/>
      <c r="N1" s="717"/>
      <c r="O1" s="708" t="s">
        <v>72</v>
      </c>
    </row>
    <row r="2" spans="1:15" s="195" customFormat="1" ht="54.75" customHeight="1" thickBot="1">
      <c r="A2" s="719"/>
      <c r="B2" s="719"/>
      <c r="C2" s="709"/>
      <c r="D2" s="721"/>
      <c r="E2" s="190" t="s">
        <v>662</v>
      </c>
      <c r="F2" s="191" t="s">
        <v>663</v>
      </c>
      <c r="G2" s="192" t="s">
        <v>401</v>
      </c>
      <c r="H2" s="193" t="s">
        <v>664</v>
      </c>
      <c r="I2" s="192" t="s">
        <v>484</v>
      </c>
      <c r="J2" s="192" t="s">
        <v>665</v>
      </c>
      <c r="K2" s="192" t="s">
        <v>666</v>
      </c>
      <c r="L2" s="192" t="s">
        <v>551</v>
      </c>
      <c r="M2" s="192" t="s">
        <v>667</v>
      </c>
      <c r="N2" s="194" t="s">
        <v>668</v>
      </c>
      <c r="O2" s="709"/>
    </row>
    <row r="3" spans="1:15" s="195" customFormat="1" ht="12.75" customHeight="1">
      <c r="A3" s="196">
        <v>1</v>
      </c>
      <c r="B3" s="196"/>
      <c r="C3" s="197" t="s">
        <v>482</v>
      </c>
      <c r="D3" s="53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15" s="195" customFormat="1" ht="12.75" customHeight="1">
      <c r="A4" s="196">
        <v>1</v>
      </c>
      <c r="B4" s="196">
        <v>1</v>
      </c>
      <c r="C4" s="200" t="s">
        <v>404</v>
      </c>
      <c r="D4" s="539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s="204" customFormat="1" ht="13.5" customHeight="1">
      <c r="A5" s="201">
        <v>1</v>
      </c>
      <c r="B5" s="201">
        <v>12</v>
      </c>
      <c r="C5" s="202" t="s">
        <v>402</v>
      </c>
      <c r="D5" s="540"/>
      <c r="E5" s="203"/>
      <c r="F5" s="203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204" customFormat="1" ht="24.75" customHeight="1">
      <c r="A6" s="201"/>
      <c r="B6" s="201"/>
      <c r="C6" s="205" t="s">
        <v>437</v>
      </c>
      <c r="D6" s="541"/>
      <c r="E6" s="206"/>
      <c r="F6" s="203"/>
      <c r="G6" s="164"/>
      <c r="H6" s="164"/>
      <c r="I6" s="164"/>
      <c r="J6" s="164"/>
      <c r="K6" s="164"/>
      <c r="L6" s="164"/>
      <c r="M6" s="164"/>
      <c r="N6" s="164"/>
      <c r="O6" s="164"/>
    </row>
    <row r="7" spans="1:15" s="204" customFormat="1" ht="16.5" customHeight="1">
      <c r="A7" s="207"/>
      <c r="B7" s="207"/>
      <c r="C7" s="178" t="s">
        <v>73</v>
      </c>
      <c r="D7" s="549">
        <v>221902</v>
      </c>
      <c r="E7" s="208">
        <f>0+'táj.1.'!E7</f>
        <v>0</v>
      </c>
      <c r="F7" s="208">
        <f>0+'táj.1.'!F7</f>
        <v>0</v>
      </c>
      <c r="G7" s="208">
        <f>0+'táj.1.'!G7</f>
        <v>0</v>
      </c>
      <c r="H7" s="208">
        <f>9906+'táj.1.'!H7</f>
        <v>9906</v>
      </c>
      <c r="I7" s="208">
        <f>0+'táj.1.'!I7</f>
        <v>0</v>
      </c>
      <c r="J7" s="208">
        <f>0+'táj.1.'!J7</f>
        <v>0</v>
      </c>
      <c r="K7" s="208">
        <f>0+'táj.1.'!K7</f>
        <v>0</v>
      </c>
      <c r="L7" s="208">
        <f>0+'táj.1.'!L7</f>
        <v>0</v>
      </c>
      <c r="M7" s="208">
        <f>0+'táj.1.'!M7</f>
        <v>0</v>
      </c>
      <c r="N7" s="208">
        <f>0+'táj.1.'!N7</f>
        <v>0</v>
      </c>
      <c r="O7" s="164">
        <f>SUM(H7:N7)</f>
        <v>9906</v>
      </c>
    </row>
    <row r="8" spans="1:15" s="204" customFormat="1" ht="13.5" customHeight="1">
      <c r="A8" s="209"/>
      <c r="B8" s="209"/>
      <c r="C8" s="210" t="s">
        <v>405</v>
      </c>
      <c r="D8" s="542"/>
      <c r="E8" s="211">
        <f aca="true" t="shared" si="0" ref="E8:O8">SUM(E5:E7)</f>
        <v>0</v>
      </c>
      <c r="F8" s="211">
        <f t="shared" si="0"/>
        <v>0</v>
      </c>
      <c r="G8" s="211">
        <f t="shared" si="0"/>
        <v>0</v>
      </c>
      <c r="H8" s="211">
        <f t="shared" si="0"/>
        <v>9906</v>
      </c>
      <c r="I8" s="211">
        <f t="shared" si="0"/>
        <v>0</v>
      </c>
      <c r="J8" s="211">
        <f t="shared" si="0"/>
        <v>0</v>
      </c>
      <c r="K8" s="211">
        <f t="shared" si="0"/>
        <v>0</v>
      </c>
      <c r="L8" s="211">
        <f t="shared" si="0"/>
        <v>0</v>
      </c>
      <c r="M8" s="211">
        <f t="shared" si="0"/>
        <v>0</v>
      </c>
      <c r="N8" s="211">
        <f t="shared" si="0"/>
        <v>0</v>
      </c>
      <c r="O8" s="211">
        <f t="shared" si="0"/>
        <v>9906</v>
      </c>
    </row>
    <row r="9" spans="1:15" s="204" customFormat="1" ht="13.5" customHeight="1">
      <c r="A9" s="212">
        <v>1</v>
      </c>
      <c r="B9" s="212">
        <v>13</v>
      </c>
      <c r="C9" s="202" t="s">
        <v>403</v>
      </c>
      <c r="D9" s="181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 s="204" customFormat="1" ht="13.5" customHeight="1">
      <c r="A10" s="212"/>
      <c r="B10" s="212"/>
      <c r="C10" s="215" t="s">
        <v>74</v>
      </c>
      <c r="D10" s="543"/>
      <c r="E10" s="208"/>
      <c r="F10" s="208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204" customFormat="1" ht="24.75" customHeight="1">
      <c r="A11" s="212"/>
      <c r="B11" s="212"/>
      <c r="C11" s="216" t="s">
        <v>75</v>
      </c>
      <c r="D11" s="550">
        <v>131705</v>
      </c>
      <c r="E11" s="208">
        <f>23323+'táj.1.'!E11</f>
        <v>23323</v>
      </c>
      <c r="F11" s="208">
        <f>0+'táj.1.'!F11</f>
        <v>0</v>
      </c>
      <c r="G11" s="208">
        <f>0+'táj.1.'!G11</f>
        <v>0</v>
      </c>
      <c r="H11" s="208">
        <f>0+'táj.1.'!H11</f>
        <v>0</v>
      </c>
      <c r="I11" s="208">
        <f>0+'táj.1.'!I11</f>
        <v>0</v>
      </c>
      <c r="J11" s="208">
        <f>0+'táj.1.'!J11</f>
        <v>0</v>
      </c>
      <c r="K11" s="208">
        <f>0+'táj.1.'!K11</f>
        <v>0</v>
      </c>
      <c r="L11" s="208">
        <f>0+'táj.1.'!L11</f>
        <v>0</v>
      </c>
      <c r="M11" s="208">
        <f>0+'táj.1.'!M11</f>
        <v>0</v>
      </c>
      <c r="N11" s="208">
        <f>0+'táj.1.'!N11</f>
        <v>0</v>
      </c>
      <c r="O11" s="164">
        <f>SUM(E11:N11)</f>
        <v>23323</v>
      </c>
    </row>
    <row r="12" spans="1:15" s="204" customFormat="1" ht="24.75" customHeight="1">
      <c r="A12" s="212"/>
      <c r="B12" s="212"/>
      <c r="C12" s="142" t="s">
        <v>76</v>
      </c>
      <c r="D12" s="550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17"/>
    </row>
    <row r="13" spans="1:15" s="204" customFormat="1" ht="24.75" customHeight="1">
      <c r="A13" s="212"/>
      <c r="B13" s="212"/>
      <c r="C13" s="142" t="s">
        <v>77</v>
      </c>
      <c r="D13" s="550">
        <v>131703</v>
      </c>
      <c r="E13" s="208">
        <f>0+'táj.1.'!E13</f>
        <v>0</v>
      </c>
      <c r="F13" s="208">
        <f>0+'táj.1.'!F13</f>
        <v>0</v>
      </c>
      <c r="G13" s="208">
        <f>0+'táj.1.'!G13</f>
        <v>0</v>
      </c>
      <c r="H13" s="208">
        <f>5461+'táj.1.'!H13</f>
        <v>5461</v>
      </c>
      <c r="I13" s="208">
        <f>0+'táj.1.'!I13</f>
        <v>0</v>
      </c>
      <c r="J13" s="208">
        <f>0+'táj.1.'!J13</f>
        <v>0</v>
      </c>
      <c r="K13" s="208">
        <f>0+'táj.1.'!K13</f>
        <v>0</v>
      </c>
      <c r="L13" s="208">
        <f>0+'táj.1.'!L13</f>
        <v>0</v>
      </c>
      <c r="M13" s="208">
        <f>0+'táj.1.'!M13</f>
        <v>0</v>
      </c>
      <c r="N13" s="208">
        <f>0+'táj.1.'!N13</f>
        <v>0</v>
      </c>
      <c r="O13" s="164">
        <f>SUM(E13:N13)</f>
        <v>5461</v>
      </c>
    </row>
    <row r="14" spans="1:15" s="204" customFormat="1" ht="38.25" customHeight="1">
      <c r="A14" s="212"/>
      <c r="B14" s="212"/>
      <c r="C14" s="222" t="s">
        <v>14</v>
      </c>
      <c r="D14" s="550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164"/>
    </row>
    <row r="15" spans="1:15" s="204" customFormat="1" ht="24.75" customHeight="1">
      <c r="A15" s="212"/>
      <c r="B15" s="212"/>
      <c r="C15" s="220" t="s">
        <v>990</v>
      </c>
      <c r="D15" s="551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164"/>
    </row>
    <row r="16" spans="1:15" s="204" customFormat="1" ht="17.25" customHeight="1">
      <c r="A16" s="212"/>
      <c r="B16" s="212"/>
      <c r="C16" s="222" t="s">
        <v>78</v>
      </c>
      <c r="D16" s="550">
        <v>131845</v>
      </c>
      <c r="E16" s="208">
        <f>0+'táj.1.'!E16</f>
        <v>0</v>
      </c>
      <c r="F16" s="208">
        <f>0+'táj.1.'!F16</f>
        <v>0</v>
      </c>
      <c r="G16" s="208">
        <f>0+'táj.1.'!G16</f>
        <v>0</v>
      </c>
      <c r="H16" s="208">
        <f>0+'táj.1.'!H16</f>
        <v>0</v>
      </c>
      <c r="I16" s="208">
        <f>0+'táj.1.'!I16</f>
        <v>0</v>
      </c>
      <c r="J16" s="208">
        <f>2000+'táj.1.'!J16</f>
        <v>2000</v>
      </c>
      <c r="K16" s="208">
        <f>0+'táj.1.'!K16</f>
        <v>0</v>
      </c>
      <c r="L16" s="208">
        <f>0+'táj.1.'!L16</f>
        <v>0</v>
      </c>
      <c r="M16" s="208">
        <f>0+'táj.1.'!M16</f>
        <v>0</v>
      </c>
      <c r="N16" s="208">
        <f>0+'táj.1.'!N16</f>
        <v>0</v>
      </c>
      <c r="O16" s="164">
        <f>SUM(E16:N16)</f>
        <v>2000</v>
      </c>
    </row>
    <row r="17" spans="1:15" s="204" customFormat="1" ht="24.75" customHeight="1">
      <c r="A17" s="212"/>
      <c r="B17" s="212"/>
      <c r="C17" s="142" t="s">
        <v>79</v>
      </c>
      <c r="D17" s="550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164"/>
    </row>
    <row r="18" spans="1:15" s="204" customFormat="1" ht="49.5" customHeight="1">
      <c r="A18" s="212"/>
      <c r="B18" s="212"/>
      <c r="C18" s="223" t="s">
        <v>80</v>
      </c>
      <c r="D18" s="552">
        <v>132923</v>
      </c>
      <c r="E18" s="208">
        <f>14053+'táj.1.'!E18</f>
        <v>14053</v>
      </c>
      <c r="F18" s="208">
        <f>0+'táj.1.'!F18</f>
        <v>0</v>
      </c>
      <c r="G18" s="208">
        <f>0+'táj.1.'!G18</f>
        <v>0</v>
      </c>
      <c r="H18" s="208">
        <f>0+'táj.1.'!H18</f>
        <v>0</v>
      </c>
      <c r="I18" s="208">
        <f>0+'táj.1.'!I18</f>
        <v>0</v>
      </c>
      <c r="J18" s="208">
        <f>0+'táj.1.'!J18</f>
        <v>0</v>
      </c>
      <c r="K18" s="208">
        <f>0+'táj.1.'!K18</f>
        <v>0</v>
      </c>
      <c r="L18" s="208">
        <f>0+'táj.1.'!L18</f>
        <v>0</v>
      </c>
      <c r="M18" s="208">
        <f>0+'táj.1.'!M18</f>
        <v>0</v>
      </c>
      <c r="N18" s="208">
        <f>0+'táj.1.'!N18</f>
        <v>0</v>
      </c>
      <c r="O18" s="208">
        <f>SUM(E18:N18)</f>
        <v>14053</v>
      </c>
    </row>
    <row r="19" spans="1:15" s="204" customFormat="1" ht="13.5" customHeight="1">
      <c r="A19" s="209"/>
      <c r="B19" s="209"/>
      <c r="C19" s="210" t="s">
        <v>406</v>
      </c>
      <c r="D19" s="553"/>
      <c r="E19" s="224">
        <f aca="true" t="shared" si="1" ref="E19:O19">SUM(E11:E18)</f>
        <v>37376</v>
      </c>
      <c r="F19" s="224">
        <f t="shared" si="1"/>
        <v>0</v>
      </c>
      <c r="G19" s="224">
        <f t="shared" si="1"/>
        <v>0</v>
      </c>
      <c r="H19" s="224">
        <f t="shared" si="1"/>
        <v>5461</v>
      </c>
      <c r="I19" s="224">
        <f t="shared" si="1"/>
        <v>0</v>
      </c>
      <c r="J19" s="224">
        <f t="shared" si="1"/>
        <v>2000</v>
      </c>
      <c r="K19" s="224">
        <f t="shared" si="1"/>
        <v>0</v>
      </c>
      <c r="L19" s="224">
        <f t="shared" si="1"/>
        <v>0</v>
      </c>
      <c r="M19" s="224">
        <f t="shared" si="1"/>
        <v>0</v>
      </c>
      <c r="N19" s="224">
        <f t="shared" si="1"/>
        <v>0</v>
      </c>
      <c r="O19" s="224">
        <f t="shared" si="1"/>
        <v>44837</v>
      </c>
    </row>
    <row r="20" spans="1:15" s="195" customFormat="1" ht="13.5" customHeight="1">
      <c r="A20" s="196">
        <v>1</v>
      </c>
      <c r="B20" s="196">
        <v>15</v>
      </c>
      <c r="C20" s="200" t="s">
        <v>638</v>
      </c>
      <c r="D20" s="55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s="195" customFormat="1" ht="24.75" customHeight="1">
      <c r="A21" s="196"/>
      <c r="B21" s="196"/>
      <c r="C21" s="158" t="s">
        <v>85</v>
      </c>
      <c r="D21" s="555"/>
      <c r="E21" s="226"/>
      <c r="F21" s="225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s="195" customFormat="1" ht="24.75" customHeight="1">
      <c r="A22" s="196"/>
      <c r="B22" s="196"/>
      <c r="C22" s="153" t="s">
        <v>86</v>
      </c>
      <c r="D22" s="556">
        <v>151906</v>
      </c>
      <c r="E22" s="225">
        <f>0+'táj.1.'!E22</f>
        <v>0</v>
      </c>
      <c r="F22" s="225">
        <f>0+'táj.1.'!F22</f>
        <v>0</v>
      </c>
      <c r="G22" s="225">
        <f>0+'táj.1.'!G22</f>
        <v>0</v>
      </c>
      <c r="H22" s="225">
        <f>32753+'táj.1.'!H22</f>
        <v>32753</v>
      </c>
      <c r="I22" s="225">
        <f>0+'táj.1.'!I22</f>
        <v>0</v>
      </c>
      <c r="J22" s="225">
        <f>0+'táj.1.'!J22</f>
        <v>0</v>
      </c>
      <c r="K22" s="225">
        <f>0+'táj.1.'!K22</f>
        <v>0</v>
      </c>
      <c r="L22" s="225">
        <f>0+'táj.1.'!L22</f>
        <v>0</v>
      </c>
      <c r="M22" s="225">
        <f>0+'táj.1.'!M22</f>
        <v>0</v>
      </c>
      <c r="N22" s="225">
        <f>0+'táj.1.'!N22</f>
        <v>0</v>
      </c>
      <c r="O22" s="225">
        <f>SUM(E22:N22)</f>
        <v>32753</v>
      </c>
    </row>
    <row r="23" spans="1:15" s="195" customFormat="1" ht="12.75" customHeight="1">
      <c r="A23" s="196"/>
      <c r="B23" s="196"/>
      <c r="C23" s="227" t="s">
        <v>87</v>
      </c>
      <c r="D23" s="569">
        <v>151907</v>
      </c>
      <c r="E23" s="225">
        <f>0+'táj.1.'!E23</f>
        <v>0</v>
      </c>
      <c r="F23" s="225">
        <f>0+'táj.1.'!F23</f>
        <v>0</v>
      </c>
      <c r="G23" s="225">
        <f>0+'táj.1.'!G23</f>
        <v>0</v>
      </c>
      <c r="H23" s="225">
        <f>199890+'táj.1.'!H23</f>
        <v>199890</v>
      </c>
      <c r="I23" s="225">
        <f>0+'táj.1.'!I23</f>
        <v>0</v>
      </c>
      <c r="J23" s="225">
        <f>0+'táj.1.'!J23</f>
        <v>0</v>
      </c>
      <c r="K23" s="225">
        <f>0+'táj.1.'!K23</f>
        <v>0</v>
      </c>
      <c r="L23" s="225">
        <f>0+'táj.1.'!L23</f>
        <v>0</v>
      </c>
      <c r="M23" s="225">
        <f>0+'táj.1.'!M23</f>
        <v>0</v>
      </c>
      <c r="N23" s="225">
        <f>0+'táj.1.'!N23</f>
        <v>0</v>
      </c>
      <c r="O23" s="225">
        <f>SUM(E23:N23)</f>
        <v>199890</v>
      </c>
    </row>
    <row r="24" spans="1:15" s="195" customFormat="1" ht="12.75" customHeight="1">
      <c r="A24" s="196"/>
      <c r="B24" s="196"/>
      <c r="C24" s="227" t="s">
        <v>88</v>
      </c>
      <c r="D24" s="569">
        <v>151915</v>
      </c>
      <c r="E24" s="225">
        <f>0+'táj.1.'!E24</f>
        <v>0</v>
      </c>
      <c r="F24" s="225">
        <f>0+'táj.1.'!F24</f>
        <v>0</v>
      </c>
      <c r="G24" s="225">
        <f>0+'táj.1.'!G24</f>
        <v>0</v>
      </c>
      <c r="H24" s="225">
        <f>1334+'táj.1.'!H24</f>
        <v>1334</v>
      </c>
      <c r="I24" s="225">
        <f>0+'táj.1.'!I24</f>
        <v>0</v>
      </c>
      <c r="J24" s="225">
        <f>0+'táj.1.'!J24</f>
        <v>0</v>
      </c>
      <c r="K24" s="225">
        <f>0+'táj.1.'!K24</f>
        <v>0</v>
      </c>
      <c r="L24" s="225">
        <f>0+'táj.1.'!L24</f>
        <v>0</v>
      </c>
      <c r="M24" s="225">
        <f>0+'táj.1.'!M24</f>
        <v>0</v>
      </c>
      <c r="N24" s="225">
        <f>0+'táj.1.'!N24</f>
        <v>0</v>
      </c>
      <c r="O24" s="225">
        <f>SUM(E24:N24)</f>
        <v>1334</v>
      </c>
    </row>
    <row r="25" spans="1:15" s="195" customFormat="1" ht="12.75" customHeight="1">
      <c r="A25" s="196"/>
      <c r="B25" s="196"/>
      <c r="C25" s="228" t="s">
        <v>89</v>
      </c>
      <c r="D25" s="570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s="195" customFormat="1" ht="12.75" customHeight="1">
      <c r="A26" s="196"/>
      <c r="B26" s="196"/>
      <c r="C26" s="227" t="s">
        <v>692</v>
      </c>
      <c r="D26" s="569">
        <v>151905</v>
      </c>
      <c r="E26" s="225">
        <f>0+'táj.1.'!E26</f>
        <v>0</v>
      </c>
      <c r="F26" s="225">
        <f>0+'táj.1.'!F26</f>
        <v>0</v>
      </c>
      <c r="G26" s="225">
        <f>0+'táj.1.'!G26</f>
        <v>0</v>
      </c>
      <c r="H26" s="225">
        <f>6350+'táj.1.'!H26</f>
        <v>6350</v>
      </c>
      <c r="I26" s="225">
        <f>0+'táj.1.'!I26</f>
        <v>0</v>
      </c>
      <c r="J26" s="225">
        <f>0+'táj.1.'!J26</f>
        <v>0</v>
      </c>
      <c r="K26" s="225">
        <f>0+'táj.1.'!K26</f>
        <v>0</v>
      </c>
      <c r="L26" s="225">
        <f>0+'táj.1.'!L26</f>
        <v>0</v>
      </c>
      <c r="M26" s="225">
        <f>0+'táj.1.'!M26</f>
        <v>0</v>
      </c>
      <c r="N26" s="225">
        <f>0+'táj.1.'!N26</f>
        <v>0</v>
      </c>
      <c r="O26" s="225">
        <f>SUM(E26:N26)</f>
        <v>6350</v>
      </c>
    </row>
    <row r="27" spans="1:15" s="195" customFormat="1" ht="24.75" customHeight="1">
      <c r="A27" s="196"/>
      <c r="B27" s="196"/>
      <c r="C27" s="143" t="s">
        <v>422</v>
      </c>
      <c r="D27" s="55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6" s="195" customFormat="1" ht="33.75" customHeight="1">
      <c r="A28" s="196"/>
      <c r="B28" s="196"/>
      <c r="C28" s="229" t="s">
        <v>433</v>
      </c>
      <c r="D28" s="558">
        <v>162105</v>
      </c>
      <c r="E28" s="225">
        <f>0+'táj.1.'!E28</f>
        <v>0</v>
      </c>
      <c r="F28" s="225">
        <f>194000+'táj.1.'!F28</f>
        <v>194000</v>
      </c>
      <c r="G28" s="225">
        <f>0+'táj.1.'!G28</f>
        <v>0</v>
      </c>
      <c r="H28" s="225">
        <f>0+'táj.1.'!H28</f>
        <v>0</v>
      </c>
      <c r="I28" s="225">
        <f>0+'táj.1.'!I28</f>
        <v>0</v>
      </c>
      <c r="J28" s="225">
        <f>0+'táj.1.'!J28</f>
        <v>0</v>
      </c>
      <c r="K28" s="225">
        <f>0+'táj.1.'!K28</f>
        <v>0</v>
      </c>
      <c r="L28" s="225">
        <f>0+'táj.1.'!L28</f>
        <v>0</v>
      </c>
      <c r="M28" s="225">
        <f>0+'táj.1.'!M28</f>
        <v>0</v>
      </c>
      <c r="N28" s="225">
        <f>0+'táj.1.'!N28</f>
        <v>0</v>
      </c>
      <c r="O28" s="225">
        <f>SUM(E28:N28)</f>
        <v>194000</v>
      </c>
      <c r="P28" s="230"/>
    </row>
    <row r="29" spans="1:16" s="195" customFormat="1" ht="28.5" customHeight="1">
      <c r="A29" s="196"/>
      <c r="B29" s="196"/>
      <c r="C29" s="229" t="s">
        <v>90</v>
      </c>
      <c r="D29" s="558">
        <v>152117</v>
      </c>
      <c r="E29" s="225">
        <f>0+'táj.1.'!E29</f>
        <v>0</v>
      </c>
      <c r="F29" s="225">
        <f>0+'táj.1.'!F29</f>
        <v>0</v>
      </c>
      <c r="G29" s="225">
        <f>0+'táj.1.'!G29</f>
        <v>0</v>
      </c>
      <c r="H29" s="225">
        <f>246380+'táj.1.'!H29</f>
        <v>246380</v>
      </c>
      <c r="I29" s="225">
        <f>0+'táj.1.'!I29</f>
        <v>0</v>
      </c>
      <c r="J29" s="225">
        <f>0+'táj.1.'!J29</f>
        <v>0</v>
      </c>
      <c r="K29" s="225">
        <f>0+'táj.1.'!K29</f>
        <v>0</v>
      </c>
      <c r="L29" s="225">
        <f>0+'táj.1.'!L29</f>
        <v>0</v>
      </c>
      <c r="M29" s="225">
        <f>0+'táj.1.'!M29</f>
        <v>0</v>
      </c>
      <c r="N29" s="225">
        <f>0+'táj.1.'!N29</f>
        <v>0</v>
      </c>
      <c r="O29" s="225">
        <f>SUM(E29:N29)</f>
        <v>246380</v>
      </c>
      <c r="P29" s="230"/>
    </row>
    <row r="30" spans="1:16" s="195" customFormat="1" ht="24.75" customHeight="1">
      <c r="A30" s="196"/>
      <c r="B30" s="196"/>
      <c r="C30" s="231" t="s">
        <v>726</v>
      </c>
      <c r="D30" s="559"/>
      <c r="E30" s="225"/>
      <c r="F30" s="164"/>
      <c r="G30" s="225"/>
      <c r="H30" s="225"/>
      <c r="I30" s="225"/>
      <c r="J30" s="225"/>
      <c r="K30" s="225"/>
      <c r="L30" s="225"/>
      <c r="M30" s="225"/>
      <c r="N30" s="225"/>
      <c r="O30" s="225"/>
      <c r="P30" s="230"/>
    </row>
    <row r="31" spans="1:16" s="195" customFormat="1" ht="39" customHeight="1">
      <c r="A31" s="196"/>
      <c r="B31" s="196"/>
      <c r="C31" s="154" t="s">
        <v>91</v>
      </c>
      <c r="D31" s="560">
        <v>152202</v>
      </c>
      <c r="E31" s="225">
        <f>0+'táj.1.'!E31</f>
        <v>0</v>
      </c>
      <c r="F31" s="225">
        <f>253881+'táj.1.'!F31</f>
        <v>253881</v>
      </c>
      <c r="G31" s="225">
        <f>0+'táj.1.'!G31</f>
        <v>0</v>
      </c>
      <c r="H31" s="225">
        <f>0+'táj.1.'!H31</f>
        <v>0</v>
      </c>
      <c r="I31" s="225">
        <f>0+'táj.1.'!I31</f>
        <v>0</v>
      </c>
      <c r="J31" s="225">
        <f>0+'táj.1.'!J31</f>
        <v>0</v>
      </c>
      <c r="K31" s="225">
        <f>0+'táj.1.'!K31</f>
        <v>0</v>
      </c>
      <c r="L31" s="225">
        <f>0+'táj.1.'!L31</f>
        <v>0</v>
      </c>
      <c r="M31" s="225">
        <f>0+'táj.1.'!M31</f>
        <v>0</v>
      </c>
      <c r="N31" s="225">
        <f>0+'táj.1.'!N31</f>
        <v>0</v>
      </c>
      <c r="O31" s="225">
        <f>SUM(E31:N31)</f>
        <v>253881</v>
      </c>
      <c r="P31" s="230"/>
    </row>
    <row r="32" spans="1:16" s="195" customFormat="1" ht="36.75" customHeight="1">
      <c r="A32" s="196"/>
      <c r="B32" s="196"/>
      <c r="C32" s="154" t="s">
        <v>283</v>
      </c>
      <c r="D32" s="560">
        <v>152204</v>
      </c>
      <c r="E32" s="225">
        <f>'táj.1.'!E32</f>
        <v>0</v>
      </c>
      <c r="F32" s="225">
        <f>87959+'táj.1.'!F32</f>
        <v>87959</v>
      </c>
      <c r="G32" s="225">
        <f>'táj.1.'!G32</f>
        <v>0</v>
      </c>
      <c r="H32" s="225">
        <f>'táj.1.'!H32</f>
        <v>0</v>
      </c>
      <c r="I32" s="225">
        <f>'táj.1.'!I32</f>
        <v>0</v>
      </c>
      <c r="J32" s="225">
        <f>'táj.1.'!J32</f>
        <v>0</v>
      </c>
      <c r="K32" s="225">
        <f>'táj.1.'!K32</f>
        <v>0</v>
      </c>
      <c r="L32" s="225">
        <f>'táj.1.'!L32</f>
        <v>0</v>
      </c>
      <c r="M32" s="225">
        <f>'táj.1.'!M32</f>
        <v>0</v>
      </c>
      <c r="N32" s="225">
        <f>'táj.1.'!N32</f>
        <v>0</v>
      </c>
      <c r="O32" s="225">
        <f>SUM(E32:N32)</f>
        <v>87959</v>
      </c>
      <c r="P32" s="230"/>
    </row>
    <row r="33" spans="1:16" s="195" customFormat="1" ht="15" customHeight="1">
      <c r="A33" s="196"/>
      <c r="B33" s="196"/>
      <c r="C33" s="232" t="s">
        <v>92</v>
      </c>
      <c r="D33" s="561">
        <v>152920</v>
      </c>
      <c r="E33" s="225">
        <f>0+'táj.1.'!E33</f>
        <v>0</v>
      </c>
      <c r="F33" s="225">
        <f>9348+'táj.1.'!F33</f>
        <v>9348</v>
      </c>
      <c r="G33" s="225">
        <f>0+'táj.1.'!G33</f>
        <v>0</v>
      </c>
      <c r="H33" s="225">
        <f>0+'táj.1.'!H33</f>
        <v>0</v>
      </c>
      <c r="I33" s="225">
        <f>0+'táj.1.'!I33</f>
        <v>0</v>
      </c>
      <c r="J33" s="225">
        <f>0+'táj.1.'!J33</f>
        <v>0</v>
      </c>
      <c r="K33" s="225">
        <f>0+'táj.1.'!K33</f>
        <v>0</v>
      </c>
      <c r="L33" s="225">
        <f>0+'táj.1.'!L33</f>
        <v>0</v>
      </c>
      <c r="M33" s="225">
        <f>0+'táj.1.'!M33</f>
        <v>0</v>
      </c>
      <c r="N33" s="225">
        <f>0+'táj.1.'!N33</f>
        <v>0</v>
      </c>
      <c r="O33" s="225">
        <f>SUM(E33:N33)</f>
        <v>9348</v>
      </c>
      <c r="P33" s="230"/>
    </row>
    <row r="34" spans="1:15" s="195" customFormat="1" ht="24.75" customHeight="1">
      <c r="A34" s="196"/>
      <c r="B34" s="196"/>
      <c r="C34" s="153" t="s">
        <v>93</v>
      </c>
      <c r="D34" s="556"/>
      <c r="E34" s="225"/>
      <c r="F34" s="233"/>
      <c r="G34" s="225"/>
      <c r="H34" s="164"/>
      <c r="I34" s="164"/>
      <c r="J34" s="164"/>
      <c r="K34" s="164"/>
      <c r="L34" s="164"/>
      <c r="M34" s="164"/>
      <c r="N34" s="164"/>
      <c r="O34" s="225"/>
    </row>
    <row r="35" spans="1:15" s="195" customFormat="1" ht="24.75" customHeight="1">
      <c r="A35" s="196"/>
      <c r="B35" s="196"/>
      <c r="C35" s="216" t="s">
        <v>94</v>
      </c>
      <c r="D35" s="562">
        <v>151910</v>
      </c>
      <c r="E35" s="225">
        <f>0+'táj.1.'!E35</f>
        <v>0</v>
      </c>
      <c r="F35" s="225">
        <f>0+'táj.1.'!F35</f>
        <v>0</v>
      </c>
      <c r="G35" s="225">
        <f>0+'táj.1.'!G35</f>
        <v>0</v>
      </c>
      <c r="H35" s="225">
        <f>190500+'táj.1.'!H35</f>
        <v>190500</v>
      </c>
      <c r="I35" s="225">
        <f>0+'táj.1.'!I35</f>
        <v>0</v>
      </c>
      <c r="J35" s="225">
        <f>0+'táj.1.'!J35</f>
        <v>0</v>
      </c>
      <c r="K35" s="225">
        <f>0+'táj.1.'!K35</f>
        <v>0</v>
      </c>
      <c r="L35" s="225">
        <f>0+'táj.1.'!L35</f>
        <v>0</v>
      </c>
      <c r="M35" s="225">
        <f>0+'táj.1.'!M35</f>
        <v>0</v>
      </c>
      <c r="N35" s="225">
        <f>0+'táj.1.'!N35</f>
        <v>0</v>
      </c>
      <c r="O35" s="225">
        <f>SUM(E35:N35)</f>
        <v>190500</v>
      </c>
    </row>
    <row r="36" spans="1:15" s="195" customFormat="1" ht="12.75" customHeight="1">
      <c r="A36" s="209"/>
      <c r="B36" s="209"/>
      <c r="C36" s="235" t="s">
        <v>576</v>
      </c>
      <c r="D36" s="563"/>
      <c r="E36" s="211">
        <f aca="true" t="shared" si="2" ref="E36:O36">SUM(E21:E35)</f>
        <v>0</v>
      </c>
      <c r="F36" s="211">
        <f t="shared" si="2"/>
        <v>545188</v>
      </c>
      <c r="G36" s="211">
        <f t="shared" si="2"/>
        <v>0</v>
      </c>
      <c r="H36" s="211">
        <f t="shared" si="2"/>
        <v>677207</v>
      </c>
      <c r="I36" s="211">
        <f t="shared" si="2"/>
        <v>0</v>
      </c>
      <c r="J36" s="211">
        <f t="shared" si="2"/>
        <v>0</v>
      </c>
      <c r="K36" s="211">
        <f t="shared" si="2"/>
        <v>0</v>
      </c>
      <c r="L36" s="211">
        <f t="shared" si="2"/>
        <v>0</v>
      </c>
      <c r="M36" s="211">
        <f t="shared" si="2"/>
        <v>0</v>
      </c>
      <c r="N36" s="211">
        <f t="shared" si="2"/>
        <v>0</v>
      </c>
      <c r="O36" s="211">
        <f t="shared" si="2"/>
        <v>1222395</v>
      </c>
    </row>
    <row r="37" spans="1:15" s="195" customFormat="1" ht="12.75" customHeight="1">
      <c r="A37" s="196">
        <v>1</v>
      </c>
      <c r="B37" s="196" t="s">
        <v>434</v>
      </c>
      <c r="C37" s="200" t="s">
        <v>471</v>
      </c>
      <c r="D37" s="55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</row>
    <row r="38" spans="1:15" s="195" customFormat="1" ht="27" customHeight="1">
      <c r="A38" s="196"/>
      <c r="B38" s="196"/>
      <c r="C38" s="143" t="s">
        <v>95</v>
      </c>
      <c r="D38" s="555"/>
      <c r="E38" s="236"/>
      <c r="F38" s="225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s="195" customFormat="1" ht="15" customHeight="1">
      <c r="A39" s="196"/>
      <c r="B39" s="196"/>
      <c r="C39" s="215" t="s">
        <v>96</v>
      </c>
      <c r="D39" s="556">
        <v>162104</v>
      </c>
      <c r="E39" s="233">
        <f>0+'táj.1.'!E39</f>
        <v>0</v>
      </c>
      <c r="F39" s="233">
        <f>0+'táj.1.'!F39</f>
        <v>0</v>
      </c>
      <c r="G39" s="233">
        <f>0+'táj.1.'!G39</f>
        <v>0</v>
      </c>
      <c r="H39" s="233">
        <f>0+'táj.1.'!H39</f>
        <v>0</v>
      </c>
      <c r="I39" s="233">
        <f>0+'táj.1.'!I39</f>
        <v>0</v>
      </c>
      <c r="J39" s="233">
        <f>0+'táj.1.'!J39</f>
        <v>0</v>
      </c>
      <c r="K39" s="233">
        <f>250000+'táj.1.'!K39</f>
        <v>250000</v>
      </c>
      <c r="L39" s="233">
        <f>0+'táj.1.'!L39</f>
        <v>0</v>
      </c>
      <c r="M39" s="233">
        <f>0+'táj.1.'!M39</f>
        <v>0</v>
      </c>
      <c r="N39" s="233">
        <f>0+'táj.1.'!N39</f>
        <v>0</v>
      </c>
      <c r="O39" s="225">
        <f>SUM(E39:N39)</f>
        <v>250000</v>
      </c>
    </row>
    <row r="40" spans="1:15" s="195" customFormat="1" ht="15" customHeight="1">
      <c r="A40" s="196"/>
      <c r="B40" s="196"/>
      <c r="C40" s="198" t="s">
        <v>97</v>
      </c>
      <c r="D40" s="564"/>
      <c r="E40" s="233"/>
      <c r="F40" s="225"/>
      <c r="G40" s="225"/>
      <c r="H40" s="164"/>
      <c r="I40" s="164"/>
      <c r="J40" s="164"/>
      <c r="K40" s="164"/>
      <c r="L40" s="164"/>
      <c r="M40" s="164"/>
      <c r="N40" s="164"/>
      <c r="O40" s="225"/>
    </row>
    <row r="41" spans="1:15" s="195" customFormat="1" ht="39.75" customHeight="1">
      <c r="A41" s="196"/>
      <c r="B41" s="196"/>
      <c r="C41" s="237" t="s">
        <v>648</v>
      </c>
      <c r="D41" s="561">
        <v>162664</v>
      </c>
      <c r="E41" s="233">
        <f>261239+'táj.1.'!E41</f>
        <v>261239</v>
      </c>
      <c r="F41" s="233">
        <f>0+'táj.1.'!F41</f>
        <v>0</v>
      </c>
      <c r="G41" s="233">
        <f>0+'táj.1.'!G41</f>
        <v>0</v>
      </c>
      <c r="H41" s="233">
        <f>0+'táj.1.'!H41</f>
        <v>0</v>
      </c>
      <c r="I41" s="233">
        <f>0+'táj.1.'!I41</f>
        <v>0</v>
      </c>
      <c r="J41" s="233">
        <f>0+'táj.1.'!J41</f>
        <v>0</v>
      </c>
      <c r="K41" s="233">
        <f>0+'táj.1.'!K41</f>
        <v>0</v>
      </c>
      <c r="L41" s="233">
        <f>0+'táj.1.'!L41</f>
        <v>0</v>
      </c>
      <c r="M41" s="233">
        <f>0+'táj.1.'!M41</f>
        <v>0</v>
      </c>
      <c r="N41" s="233">
        <f>0+'táj.1.'!N41</f>
        <v>0</v>
      </c>
      <c r="O41" s="225">
        <f>SUM(E41:N41)</f>
        <v>261239</v>
      </c>
    </row>
    <row r="42" spans="1:15" s="195" customFormat="1" ht="41.25" customHeight="1">
      <c r="A42" s="196"/>
      <c r="B42" s="196"/>
      <c r="C42" s="237" t="s">
        <v>649</v>
      </c>
      <c r="D42" s="561">
        <v>162665</v>
      </c>
      <c r="E42" s="233">
        <f>293117+'táj.1.'!E42</f>
        <v>293117</v>
      </c>
      <c r="F42" s="233">
        <f>0+'táj.1.'!F42</f>
        <v>0</v>
      </c>
      <c r="G42" s="233">
        <f>0+'táj.1.'!G42</f>
        <v>0</v>
      </c>
      <c r="H42" s="233">
        <f>0+'táj.1.'!H42</f>
        <v>0</v>
      </c>
      <c r="I42" s="233">
        <f>0+'táj.1.'!I42</f>
        <v>0</v>
      </c>
      <c r="J42" s="233">
        <f>0+'táj.1.'!J42</f>
        <v>0</v>
      </c>
      <c r="K42" s="233">
        <f>0+'táj.1.'!K42</f>
        <v>0</v>
      </c>
      <c r="L42" s="233">
        <f>0+'táj.1.'!L42</f>
        <v>0</v>
      </c>
      <c r="M42" s="233">
        <f>0+'táj.1.'!M42</f>
        <v>0</v>
      </c>
      <c r="N42" s="233">
        <f>0+'táj.1.'!N42</f>
        <v>0</v>
      </c>
      <c r="O42" s="225">
        <f>SUM(E42:N42)</f>
        <v>293117</v>
      </c>
    </row>
    <row r="43" spans="1:15" s="195" customFormat="1" ht="36" customHeight="1">
      <c r="A43" s="196"/>
      <c r="B43" s="196"/>
      <c r="C43" s="238" t="s">
        <v>475</v>
      </c>
      <c r="D43" s="565">
        <v>162662</v>
      </c>
      <c r="E43" s="233">
        <f>1778+'táj.1.'!E43</f>
        <v>1778</v>
      </c>
      <c r="F43" s="233">
        <f>194999+'táj.1.'!F43</f>
        <v>194999</v>
      </c>
      <c r="G43" s="233">
        <f>0+'táj.1.'!G43</f>
        <v>0</v>
      </c>
      <c r="H43" s="233">
        <f>0+'táj.1.'!H43</f>
        <v>0</v>
      </c>
      <c r="I43" s="233">
        <f>0+'táj.1.'!I43</f>
        <v>0</v>
      </c>
      <c r="J43" s="233">
        <f>0+'táj.1.'!J43</f>
        <v>0</v>
      </c>
      <c r="K43" s="233">
        <f>0+'táj.1.'!K43</f>
        <v>0</v>
      </c>
      <c r="L43" s="233">
        <f>0+'táj.1.'!L43</f>
        <v>0</v>
      </c>
      <c r="M43" s="233">
        <f>0+'táj.1.'!M43</f>
        <v>0</v>
      </c>
      <c r="N43" s="233">
        <f>0+'táj.1.'!N43</f>
        <v>0</v>
      </c>
      <c r="O43" s="225">
        <f>SUM(E43:N43)</f>
        <v>196777</v>
      </c>
    </row>
    <row r="44" spans="1:15" s="195" customFormat="1" ht="31.5" customHeight="1">
      <c r="A44" s="196"/>
      <c r="B44" s="196"/>
      <c r="C44" s="143" t="s">
        <v>40</v>
      </c>
      <c r="D44" s="555"/>
      <c r="E44" s="233"/>
      <c r="F44" s="225"/>
      <c r="G44" s="225"/>
      <c r="H44" s="164"/>
      <c r="I44" s="164"/>
      <c r="J44" s="164"/>
      <c r="K44" s="164"/>
      <c r="L44" s="164"/>
      <c r="M44" s="164"/>
      <c r="N44" s="164"/>
      <c r="O44" s="225"/>
    </row>
    <row r="45" spans="1:15" s="195" customFormat="1" ht="49.5" customHeight="1">
      <c r="A45" s="196"/>
      <c r="B45" s="196"/>
      <c r="C45" s="238" t="s">
        <v>98</v>
      </c>
      <c r="D45" s="565">
        <v>162711</v>
      </c>
      <c r="E45" s="233">
        <f>16108+'táj.1.'!E45</f>
        <v>16108</v>
      </c>
      <c r="F45" s="233">
        <f>192844+'táj.1.'!F45</f>
        <v>192844</v>
      </c>
      <c r="G45" s="233">
        <f>0+'táj.1.'!G45</f>
        <v>0</v>
      </c>
      <c r="H45" s="233">
        <f>0+'táj.1.'!H45</f>
        <v>0</v>
      </c>
      <c r="I45" s="233">
        <f>0+'táj.1.'!I45</f>
        <v>0</v>
      </c>
      <c r="J45" s="233">
        <f>0+'táj.1.'!J45</f>
        <v>0</v>
      </c>
      <c r="K45" s="233">
        <f>0+'táj.1.'!K45</f>
        <v>0</v>
      </c>
      <c r="L45" s="233">
        <f>0+'táj.1.'!L45</f>
        <v>0</v>
      </c>
      <c r="M45" s="233">
        <f>0+'táj.1.'!M45</f>
        <v>0</v>
      </c>
      <c r="N45" s="233">
        <f>0+'táj.1.'!N45</f>
        <v>0</v>
      </c>
      <c r="O45" s="225">
        <f aca="true" t="shared" si="3" ref="O45:O53">SUM(E45:N45)</f>
        <v>208952</v>
      </c>
    </row>
    <row r="46" spans="1:15" s="195" customFormat="1" ht="63" customHeight="1">
      <c r="A46" s="196"/>
      <c r="B46" s="196"/>
      <c r="C46" s="239" t="s">
        <v>99</v>
      </c>
      <c r="D46" s="565">
        <v>162712</v>
      </c>
      <c r="E46" s="233">
        <f>23706+'táj.1.'!E46</f>
        <v>23706</v>
      </c>
      <c r="F46" s="233">
        <f>218496+'táj.1.'!F46</f>
        <v>218496</v>
      </c>
      <c r="G46" s="233">
        <f>0+'táj.1.'!G46</f>
        <v>0</v>
      </c>
      <c r="H46" s="233">
        <f>65475+'táj.1.'!H46</f>
        <v>65475</v>
      </c>
      <c r="I46" s="233">
        <f>0+'táj.1.'!I46</f>
        <v>0</v>
      </c>
      <c r="J46" s="233">
        <f>0+'táj.1.'!J46</f>
        <v>0</v>
      </c>
      <c r="K46" s="233">
        <f>0+'táj.1.'!K46</f>
        <v>0</v>
      </c>
      <c r="L46" s="233">
        <f>0+'táj.1.'!L46</f>
        <v>0</v>
      </c>
      <c r="M46" s="233">
        <f>0+'táj.1.'!M46</f>
        <v>0</v>
      </c>
      <c r="N46" s="233">
        <f>0+'táj.1.'!N46</f>
        <v>0</v>
      </c>
      <c r="O46" s="225">
        <f t="shared" si="3"/>
        <v>307677</v>
      </c>
    </row>
    <row r="47" spans="1:15" s="195" customFormat="1" ht="24.75" customHeight="1">
      <c r="A47" s="196"/>
      <c r="B47" s="196"/>
      <c r="C47" s="158" t="s">
        <v>100</v>
      </c>
      <c r="D47" s="555"/>
      <c r="E47" s="233"/>
      <c r="F47" s="225"/>
      <c r="G47" s="225"/>
      <c r="H47" s="164"/>
      <c r="I47" s="164"/>
      <c r="J47" s="164"/>
      <c r="K47" s="164"/>
      <c r="L47" s="164"/>
      <c r="M47" s="164"/>
      <c r="N47" s="164"/>
      <c r="O47" s="225"/>
    </row>
    <row r="48" spans="1:15" s="195" customFormat="1" ht="24.75" customHeight="1">
      <c r="A48" s="196"/>
      <c r="B48" s="196"/>
      <c r="C48" s="240" t="s">
        <v>101</v>
      </c>
      <c r="D48" s="562">
        <v>162674</v>
      </c>
      <c r="E48" s="233">
        <f>0+'táj.1.'!E48</f>
        <v>0</v>
      </c>
      <c r="F48" s="233">
        <f>957868+'táj.1.'!F48</f>
        <v>957868</v>
      </c>
      <c r="G48" s="233">
        <f>0+'táj.1.'!G48</f>
        <v>0</v>
      </c>
      <c r="H48" s="233">
        <f>0+'táj.1.'!H48</f>
        <v>0</v>
      </c>
      <c r="I48" s="233">
        <f>0+'táj.1.'!I48</f>
        <v>0</v>
      </c>
      <c r="J48" s="233">
        <f>0+'táj.1.'!J48</f>
        <v>0</v>
      </c>
      <c r="K48" s="233">
        <f>0+'táj.1.'!K48</f>
        <v>0</v>
      </c>
      <c r="L48" s="233">
        <f>0+'táj.1.'!L48</f>
        <v>0</v>
      </c>
      <c r="M48" s="233">
        <f>0+'táj.1.'!M48</f>
        <v>0</v>
      </c>
      <c r="N48" s="233">
        <f>0+'táj.1.'!N48</f>
        <v>0</v>
      </c>
      <c r="O48" s="225">
        <f t="shared" si="3"/>
        <v>957868</v>
      </c>
    </row>
    <row r="49" spans="1:15" s="195" customFormat="1" ht="24.75" customHeight="1">
      <c r="A49" s="196"/>
      <c r="B49" s="196"/>
      <c r="C49" s="220" t="s">
        <v>990</v>
      </c>
      <c r="D49" s="566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25"/>
    </row>
    <row r="50" spans="1:15" s="195" customFormat="1" ht="49.5" customHeight="1">
      <c r="A50" s="196"/>
      <c r="B50" s="196"/>
      <c r="C50" s="241" t="s">
        <v>102</v>
      </c>
      <c r="D50" s="560">
        <v>162671</v>
      </c>
      <c r="E50" s="233">
        <f>32978+'táj.1.'!E50</f>
        <v>32978</v>
      </c>
      <c r="F50" s="233">
        <f>277303+'táj.1.'!F50</f>
        <v>277303</v>
      </c>
      <c r="G50" s="233">
        <f>0+'táj.1.'!G50</f>
        <v>0</v>
      </c>
      <c r="H50" s="233">
        <f>0+'táj.1.'!H50</f>
        <v>0</v>
      </c>
      <c r="I50" s="233">
        <f>0+'táj.1.'!I50</f>
        <v>0</v>
      </c>
      <c r="J50" s="233">
        <f>0+'táj.1.'!J50</f>
        <v>0</v>
      </c>
      <c r="K50" s="233">
        <f>0+'táj.1.'!K50</f>
        <v>0</v>
      </c>
      <c r="L50" s="233">
        <f>0+'táj.1.'!L50</f>
        <v>0</v>
      </c>
      <c r="M50" s="233">
        <f>0+'táj.1.'!M50</f>
        <v>0</v>
      </c>
      <c r="N50" s="233">
        <f>0+'táj.1.'!N50</f>
        <v>0</v>
      </c>
      <c r="O50" s="225">
        <f t="shared" si="3"/>
        <v>310281</v>
      </c>
    </row>
    <row r="51" spans="1:15" s="195" customFormat="1" ht="37.5" customHeight="1">
      <c r="A51" s="196"/>
      <c r="B51" s="196"/>
      <c r="C51" s="242" t="s">
        <v>543</v>
      </c>
      <c r="D51" s="561">
        <v>162673</v>
      </c>
      <c r="E51" s="233">
        <f>5774+'táj.1.'!E51</f>
        <v>5774</v>
      </c>
      <c r="F51" s="233">
        <f>119377+'táj.1.'!F51</f>
        <v>119377</v>
      </c>
      <c r="G51" s="233">
        <f>0+'táj.1.'!G51</f>
        <v>0</v>
      </c>
      <c r="H51" s="233">
        <f>0+'táj.1.'!H51</f>
        <v>0</v>
      </c>
      <c r="I51" s="233">
        <f>0+'táj.1.'!I51</f>
        <v>0</v>
      </c>
      <c r="J51" s="233">
        <f>0+'táj.1.'!J51</f>
        <v>0</v>
      </c>
      <c r="K51" s="233">
        <f>0+'táj.1.'!K51</f>
        <v>0</v>
      </c>
      <c r="L51" s="233">
        <f>0+'táj.1.'!L51</f>
        <v>0</v>
      </c>
      <c r="M51" s="233">
        <f>0+'táj.1.'!M51</f>
        <v>0</v>
      </c>
      <c r="N51" s="233">
        <f>0+'táj.1.'!N51</f>
        <v>0</v>
      </c>
      <c r="O51" s="225">
        <f t="shared" si="3"/>
        <v>125151</v>
      </c>
    </row>
    <row r="52" spans="1:15" s="195" customFormat="1" ht="37.5" customHeight="1">
      <c r="A52" s="196"/>
      <c r="B52" s="196"/>
      <c r="C52" s="243" t="s">
        <v>39</v>
      </c>
      <c r="D52" s="567">
        <v>162606</v>
      </c>
      <c r="E52" s="233">
        <f>10209+'táj.1.'!E52</f>
        <v>10209</v>
      </c>
      <c r="F52" s="233">
        <f>0+'táj.1.'!F52</f>
        <v>0</v>
      </c>
      <c r="G52" s="233">
        <f>0+'táj.1.'!G52</f>
        <v>0</v>
      </c>
      <c r="H52" s="233">
        <f>0+'táj.1.'!H52</f>
        <v>0</v>
      </c>
      <c r="I52" s="233">
        <f>0+'táj.1.'!I52</f>
        <v>0</v>
      </c>
      <c r="J52" s="233">
        <f>0+'táj.1.'!J52</f>
        <v>0</v>
      </c>
      <c r="K52" s="233">
        <f>0+'táj.1.'!K52</f>
        <v>0</v>
      </c>
      <c r="L52" s="233">
        <f>0+'táj.1.'!L52</f>
        <v>0</v>
      </c>
      <c r="M52" s="233">
        <f>0+'táj.1.'!M52</f>
        <v>0</v>
      </c>
      <c r="N52" s="233">
        <f>0+'táj.1.'!N52</f>
        <v>0</v>
      </c>
      <c r="O52" s="225">
        <f t="shared" si="3"/>
        <v>10209</v>
      </c>
    </row>
    <row r="53" spans="1:15" s="195" customFormat="1" ht="29.25" customHeight="1">
      <c r="A53" s="196"/>
      <c r="B53" s="196"/>
      <c r="C53" s="110" t="s">
        <v>103</v>
      </c>
      <c r="D53" s="561">
        <v>162678</v>
      </c>
      <c r="E53" s="233">
        <f>0+'táj.1.'!E53</f>
        <v>0</v>
      </c>
      <c r="F53" s="233">
        <f>0+'táj.1.'!F53</f>
        <v>0</v>
      </c>
      <c r="G53" s="233">
        <f>0+'táj.1.'!G53</f>
        <v>0</v>
      </c>
      <c r="H53" s="233">
        <f>0+'táj.1.'!H53</f>
        <v>0</v>
      </c>
      <c r="I53" s="233">
        <f>0+'táj.1.'!I53</f>
        <v>0</v>
      </c>
      <c r="J53" s="233">
        <f>0+'táj.1.'!J53</f>
        <v>0</v>
      </c>
      <c r="K53" s="233">
        <f>40000+'táj.1.'!K53</f>
        <v>40000</v>
      </c>
      <c r="L53" s="233">
        <f>0+'táj.1.'!L53</f>
        <v>0</v>
      </c>
      <c r="M53" s="233">
        <f>0+'táj.1.'!M53</f>
        <v>0</v>
      </c>
      <c r="N53" s="233">
        <f>0+'táj.1.'!N53</f>
        <v>0</v>
      </c>
      <c r="O53" s="225">
        <f t="shared" si="3"/>
        <v>40000</v>
      </c>
    </row>
    <row r="54" spans="1:15" s="195" customFormat="1" ht="15" customHeight="1">
      <c r="A54" s="196"/>
      <c r="B54" s="196"/>
      <c r="C54" s="244" t="s">
        <v>986</v>
      </c>
      <c r="D54" s="557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25"/>
    </row>
    <row r="55" spans="1:15" s="195" customFormat="1" ht="39.75" customHeight="1">
      <c r="A55" s="196"/>
      <c r="B55" s="196"/>
      <c r="C55" s="246" t="s">
        <v>104</v>
      </c>
      <c r="D55" s="567">
        <v>162973</v>
      </c>
      <c r="E55" s="233">
        <f>0+'táj.1.'!E55</f>
        <v>0</v>
      </c>
      <c r="F55" s="233">
        <f>491005+'táj.1.'!F55</f>
        <v>491005</v>
      </c>
      <c r="G55" s="233">
        <f>0+'táj.1.'!G55</f>
        <v>0</v>
      </c>
      <c r="H55" s="233">
        <f>0+'táj.1.'!H55</f>
        <v>0</v>
      </c>
      <c r="I55" s="233">
        <f>0+'táj.1.'!I55</f>
        <v>0</v>
      </c>
      <c r="J55" s="233">
        <f>0+'táj.1.'!J55</f>
        <v>0</v>
      </c>
      <c r="K55" s="233">
        <f>0+'táj.1.'!K55</f>
        <v>0</v>
      </c>
      <c r="L55" s="233">
        <f>0+'táj.1.'!L55</f>
        <v>0</v>
      </c>
      <c r="M55" s="233">
        <f>0+'táj.1.'!M55</f>
        <v>0</v>
      </c>
      <c r="N55" s="233">
        <f>0+'táj.1.'!N55</f>
        <v>0</v>
      </c>
      <c r="O55" s="225">
        <f>SUM(E55:N55)</f>
        <v>491005</v>
      </c>
    </row>
    <row r="56" spans="1:15" s="195" customFormat="1" ht="39.75" customHeight="1">
      <c r="A56" s="196"/>
      <c r="B56" s="196"/>
      <c r="C56" s="246" t="s">
        <v>105</v>
      </c>
      <c r="D56" s="567">
        <v>162974</v>
      </c>
      <c r="E56" s="233">
        <f>0+'táj.1.'!E56</f>
        <v>0</v>
      </c>
      <c r="F56" s="233">
        <f>494387+'táj.1.'!F56</f>
        <v>494387</v>
      </c>
      <c r="G56" s="233">
        <f>0+'táj.1.'!G56</f>
        <v>0</v>
      </c>
      <c r="H56" s="233">
        <f>0+'táj.1.'!H56</f>
        <v>0</v>
      </c>
      <c r="I56" s="233">
        <f>0+'táj.1.'!I56</f>
        <v>0</v>
      </c>
      <c r="J56" s="233">
        <f>0+'táj.1.'!J56</f>
        <v>0</v>
      </c>
      <c r="K56" s="233">
        <f>0+'táj.1.'!K56</f>
        <v>0</v>
      </c>
      <c r="L56" s="233">
        <f>0+'táj.1.'!L56</f>
        <v>0</v>
      </c>
      <c r="M56" s="233">
        <f>0+'táj.1.'!M56</f>
        <v>0</v>
      </c>
      <c r="N56" s="233">
        <f>0+'táj.1.'!N56</f>
        <v>0</v>
      </c>
      <c r="O56" s="225">
        <f>SUM(E56:N56)</f>
        <v>494387</v>
      </c>
    </row>
    <row r="57" spans="1:15" s="195" customFormat="1" ht="29.25" customHeight="1">
      <c r="A57" s="196"/>
      <c r="B57" s="196"/>
      <c r="C57" s="143" t="s">
        <v>422</v>
      </c>
      <c r="D57" s="567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25"/>
    </row>
    <row r="58" spans="1:15" s="195" customFormat="1" ht="27" customHeight="1">
      <c r="A58" s="196"/>
      <c r="B58" s="196"/>
      <c r="C58" s="617" t="s">
        <v>734</v>
      </c>
      <c r="D58" s="567">
        <v>161905</v>
      </c>
      <c r="E58" s="233">
        <f>0+'táj.1.'!E58</f>
        <v>60000</v>
      </c>
      <c r="F58" s="233">
        <f>0+'táj.1.'!F58</f>
        <v>0</v>
      </c>
      <c r="G58" s="233">
        <f>0+'táj.1.'!G58</f>
        <v>0</v>
      </c>
      <c r="H58" s="233">
        <f>0+'táj.1.'!H58</f>
        <v>0</v>
      </c>
      <c r="I58" s="233">
        <f>0+'táj.1.'!I58</f>
        <v>0</v>
      </c>
      <c r="J58" s="233">
        <f>0+'táj.1.'!J58</f>
        <v>0</v>
      </c>
      <c r="K58" s="233">
        <f>0+'táj.1.'!K58</f>
        <v>0</v>
      </c>
      <c r="L58" s="233">
        <f>0+'táj.1.'!L58</f>
        <v>0</v>
      </c>
      <c r="M58" s="233">
        <f>0+'táj.1.'!M58</f>
        <v>0</v>
      </c>
      <c r="N58" s="233">
        <f>0+'táj.1.'!N58</f>
        <v>0</v>
      </c>
      <c r="O58" s="233">
        <f>0+'táj.1.'!O58</f>
        <v>60000</v>
      </c>
    </row>
    <row r="59" spans="1:15" s="195" customFormat="1" ht="12.75" customHeight="1">
      <c r="A59" s="209"/>
      <c r="B59" s="209"/>
      <c r="C59" s="247" t="s">
        <v>463</v>
      </c>
      <c r="D59" s="568"/>
      <c r="E59" s="211">
        <f>SUM(E38:E58)</f>
        <v>704909</v>
      </c>
      <c r="F59" s="211">
        <f aca="true" t="shared" si="4" ref="F59:O59">SUM(F38:F58)</f>
        <v>2946279</v>
      </c>
      <c r="G59" s="211">
        <f t="shared" si="4"/>
        <v>0</v>
      </c>
      <c r="H59" s="211">
        <f t="shared" si="4"/>
        <v>65475</v>
      </c>
      <c r="I59" s="211">
        <f t="shared" si="4"/>
        <v>0</v>
      </c>
      <c r="J59" s="211">
        <f t="shared" si="4"/>
        <v>0</v>
      </c>
      <c r="K59" s="211">
        <f t="shared" si="4"/>
        <v>290000</v>
      </c>
      <c r="L59" s="211">
        <f t="shared" si="4"/>
        <v>0</v>
      </c>
      <c r="M59" s="211">
        <f t="shared" si="4"/>
        <v>0</v>
      </c>
      <c r="N59" s="211">
        <f t="shared" si="4"/>
        <v>0</v>
      </c>
      <c r="O59" s="211">
        <f t="shared" si="4"/>
        <v>4006663</v>
      </c>
    </row>
    <row r="60" spans="1:15" s="195" customFormat="1" ht="12.75" customHeight="1">
      <c r="A60" s="196">
        <v>1</v>
      </c>
      <c r="B60" s="196">
        <v>17</v>
      </c>
      <c r="C60" s="200" t="s">
        <v>639</v>
      </c>
      <c r="D60" s="554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1:15" s="195" customFormat="1" ht="24" customHeight="1">
      <c r="A61" s="196"/>
      <c r="B61" s="196"/>
      <c r="C61" s="143" t="s">
        <v>422</v>
      </c>
      <c r="D61" s="555"/>
      <c r="E61" s="226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1:16" s="195" customFormat="1" ht="13.5" customHeight="1">
      <c r="A62" s="196"/>
      <c r="B62" s="196"/>
      <c r="C62" s="198" t="s">
        <v>106</v>
      </c>
      <c r="D62" s="571">
        <v>171907</v>
      </c>
      <c r="E62" s="225">
        <f>0+'táj.1.'!E62</f>
        <v>0</v>
      </c>
      <c r="F62" s="225">
        <f>0+'táj.1.'!F62</f>
        <v>0</v>
      </c>
      <c r="G62" s="225">
        <f>0+'táj.1.'!G62</f>
        <v>0</v>
      </c>
      <c r="H62" s="225">
        <f>3666+'táj.1.'!H62</f>
        <v>3666</v>
      </c>
      <c r="I62" s="225">
        <f>144480+'táj.1.'!I62</f>
        <v>144480</v>
      </c>
      <c r="J62" s="225">
        <f>0+'táj.1.'!J62</f>
        <v>0</v>
      </c>
      <c r="K62" s="225">
        <f>0+'táj.1.'!K62</f>
        <v>0</v>
      </c>
      <c r="L62" s="225">
        <f>0+'táj.1.'!L62</f>
        <v>0</v>
      </c>
      <c r="M62" s="225">
        <f>0+'táj.1.'!M62</f>
        <v>0</v>
      </c>
      <c r="N62" s="225">
        <f>0+'táj.1.'!N62</f>
        <v>0</v>
      </c>
      <c r="O62" s="225">
        <f>SUM(E62:N62)</f>
        <v>148146</v>
      </c>
      <c r="P62" s="230"/>
    </row>
    <row r="63" spans="1:16" s="195" customFormat="1" ht="13.5" customHeight="1">
      <c r="A63" s="196"/>
      <c r="B63" s="196"/>
      <c r="C63" s="248" t="s">
        <v>107</v>
      </c>
      <c r="D63" s="572">
        <v>171916</v>
      </c>
      <c r="E63" s="225">
        <f>0+'táj.1.'!E63</f>
        <v>0</v>
      </c>
      <c r="F63" s="225">
        <f>0+'táj.1.'!F63</f>
        <v>0</v>
      </c>
      <c r="G63" s="225">
        <f>0+'táj.1.'!G63</f>
        <v>0</v>
      </c>
      <c r="H63" s="225">
        <f>8890+'táj.1.'!H63</f>
        <v>8890</v>
      </c>
      <c r="I63" s="225">
        <f>0+'táj.1.'!I63</f>
        <v>0</v>
      </c>
      <c r="J63" s="225">
        <f>0+'táj.1.'!J63</f>
        <v>0</v>
      </c>
      <c r="K63" s="225">
        <f>0+'táj.1.'!K63</f>
        <v>0</v>
      </c>
      <c r="L63" s="225">
        <f>0+'táj.1.'!L63</f>
        <v>0</v>
      </c>
      <c r="M63" s="225">
        <f>0+'táj.1.'!M63</f>
        <v>0</v>
      </c>
      <c r="N63" s="225">
        <f>0+'táj.1.'!N63</f>
        <v>0</v>
      </c>
      <c r="O63" s="225">
        <f>SUM(E63:N63)</f>
        <v>8890</v>
      </c>
      <c r="P63" s="230"/>
    </row>
    <row r="64" spans="1:15" s="195" customFormat="1" ht="16.5" customHeight="1">
      <c r="A64" s="196"/>
      <c r="B64" s="196"/>
      <c r="C64" s="249" t="s">
        <v>108</v>
      </c>
      <c r="D64" s="573">
        <v>171912</v>
      </c>
      <c r="E64" s="225">
        <f>0+'táj.1.'!E64</f>
        <v>0</v>
      </c>
      <c r="F64" s="225">
        <f>0+'táj.1.'!F64</f>
        <v>0</v>
      </c>
      <c r="G64" s="225">
        <f>0+'táj.1.'!G64</f>
        <v>0</v>
      </c>
      <c r="H64" s="225">
        <f>30000+'táj.1.'!H64</f>
        <v>30000</v>
      </c>
      <c r="I64" s="225">
        <f>0+'táj.1.'!I64</f>
        <v>0</v>
      </c>
      <c r="J64" s="225">
        <f>0+'táj.1.'!J64</f>
        <v>0</v>
      </c>
      <c r="K64" s="225">
        <f>0+'táj.1.'!K64</f>
        <v>0</v>
      </c>
      <c r="L64" s="225">
        <f>0+'táj.1.'!L64</f>
        <v>0</v>
      </c>
      <c r="M64" s="225">
        <f>0+'táj.1.'!M64</f>
        <v>0</v>
      </c>
      <c r="N64" s="225">
        <f>0+'táj.1.'!N64</f>
        <v>0</v>
      </c>
      <c r="O64" s="225">
        <f>SUM(E64:N64)</f>
        <v>30000</v>
      </c>
    </row>
    <row r="65" spans="1:15" s="195" customFormat="1" ht="25.5" customHeight="1">
      <c r="A65" s="196"/>
      <c r="B65" s="196"/>
      <c r="C65" s="215" t="s">
        <v>109</v>
      </c>
      <c r="D65" s="574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1:15" s="195" customFormat="1" ht="13.5" customHeight="1">
      <c r="A66" s="196"/>
      <c r="B66" s="196"/>
      <c r="C66" s="250" t="s">
        <v>110</v>
      </c>
      <c r="D66" s="571">
        <v>171980</v>
      </c>
      <c r="E66" s="225">
        <f>0+'táj.1.'!E66</f>
        <v>0</v>
      </c>
      <c r="F66" s="225">
        <f>0+'táj.1.'!F66</f>
        <v>0</v>
      </c>
      <c r="G66" s="225">
        <f>0+'táj.1.'!G66</f>
        <v>0</v>
      </c>
      <c r="H66" s="225">
        <f>27940+'táj.1.'!H66</f>
        <v>27940</v>
      </c>
      <c r="I66" s="225">
        <f>0+'táj.1.'!I66</f>
        <v>0</v>
      </c>
      <c r="J66" s="225">
        <f>0+'táj.1.'!J66</f>
        <v>0</v>
      </c>
      <c r="K66" s="225">
        <f>0+'táj.1.'!K66</f>
        <v>0</v>
      </c>
      <c r="L66" s="225">
        <f>0+'táj.1.'!L66</f>
        <v>0</v>
      </c>
      <c r="M66" s="225">
        <f>0+'táj.1.'!M66</f>
        <v>0</v>
      </c>
      <c r="N66" s="225">
        <f>0+'táj.1.'!N66</f>
        <v>0</v>
      </c>
      <c r="O66" s="225">
        <f>SUM(E66:N66)</f>
        <v>27940</v>
      </c>
    </row>
    <row r="67" spans="1:15" s="195" customFormat="1" ht="26.25" customHeight="1">
      <c r="A67" s="251"/>
      <c r="B67" s="251"/>
      <c r="C67" s="143" t="s">
        <v>422</v>
      </c>
      <c r="D67" s="570"/>
      <c r="E67" s="225"/>
      <c r="F67" s="252"/>
      <c r="G67" s="252"/>
      <c r="H67" s="252"/>
      <c r="I67" s="252"/>
      <c r="J67" s="252"/>
      <c r="K67" s="252"/>
      <c r="L67" s="252"/>
      <c r="M67" s="252"/>
      <c r="N67" s="252"/>
      <c r="O67" s="225"/>
    </row>
    <row r="68" spans="1:15" s="195" customFormat="1" ht="27.75" customHeight="1">
      <c r="A68" s="251"/>
      <c r="B68" s="251"/>
      <c r="C68" s="215" t="s">
        <v>729</v>
      </c>
      <c r="D68" s="574">
        <v>171905</v>
      </c>
      <c r="E68" s="225">
        <f>0+'táj.1.'!E68</f>
        <v>0</v>
      </c>
      <c r="F68" s="225">
        <f>0+'táj.1.'!F68</f>
        <v>0</v>
      </c>
      <c r="G68" s="225">
        <f>0+'táj.1.'!G68</f>
        <v>0</v>
      </c>
      <c r="H68" s="225">
        <f>55880+'táj.1.'!H68</f>
        <v>55880</v>
      </c>
      <c r="I68" s="225">
        <f>0+'táj.1.'!I68</f>
        <v>0</v>
      </c>
      <c r="J68" s="225">
        <f>0+'táj.1.'!J68</f>
        <v>0</v>
      </c>
      <c r="K68" s="225">
        <f>0+'táj.1.'!K68</f>
        <v>0</v>
      </c>
      <c r="L68" s="225">
        <f>0+'táj.1.'!L68</f>
        <v>0</v>
      </c>
      <c r="M68" s="225">
        <f>0+'táj.1.'!M68</f>
        <v>0</v>
      </c>
      <c r="N68" s="225">
        <f>0+'táj.1.'!N68</f>
        <v>0</v>
      </c>
      <c r="O68" s="225">
        <f>SUM(E68:N68)</f>
        <v>55880</v>
      </c>
    </row>
    <row r="69" spans="1:15" s="195" customFormat="1" ht="13.5" customHeight="1">
      <c r="A69" s="253"/>
      <c r="B69" s="253"/>
      <c r="C69" s="199" t="s">
        <v>111</v>
      </c>
      <c r="D69" s="575">
        <v>171909</v>
      </c>
      <c r="E69" s="254">
        <f>0+'táj.1.'!E69</f>
        <v>0</v>
      </c>
      <c r="F69" s="254">
        <f>0+'táj.1.'!F69</f>
        <v>0</v>
      </c>
      <c r="G69" s="254">
        <f>0+'táj.1.'!G69</f>
        <v>0</v>
      </c>
      <c r="H69" s="254">
        <f>3429+'táj.1.'!H69</f>
        <v>3429</v>
      </c>
      <c r="I69" s="254">
        <f>0+'táj.1.'!I69</f>
        <v>0</v>
      </c>
      <c r="J69" s="254">
        <f>0+'táj.1.'!J69</f>
        <v>0</v>
      </c>
      <c r="K69" s="254">
        <f>0+'táj.1.'!K69</f>
        <v>0</v>
      </c>
      <c r="L69" s="254">
        <f>0+'táj.1.'!L69</f>
        <v>0</v>
      </c>
      <c r="M69" s="254">
        <f>0+'táj.1.'!M69</f>
        <v>0</v>
      </c>
      <c r="N69" s="254">
        <f>0+'táj.1.'!N69</f>
        <v>0</v>
      </c>
      <c r="O69" s="254">
        <f>SUM(E69:N69)</f>
        <v>3429</v>
      </c>
    </row>
    <row r="70" spans="1:15" s="195" customFormat="1" ht="13.5" customHeight="1">
      <c r="A70" s="253"/>
      <c r="B70" s="253"/>
      <c r="C70" s="199" t="s">
        <v>112</v>
      </c>
      <c r="D70" s="575">
        <v>171913</v>
      </c>
      <c r="E70" s="225">
        <f>0+'táj.1.'!E70</f>
        <v>0</v>
      </c>
      <c r="F70" s="225">
        <f>0+'táj.1.'!F70</f>
        <v>0</v>
      </c>
      <c r="G70" s="225">
        <f>0+'táj.1.'!G70</f>
        <v>0</v>
      </c>
      <c r="H70" s="225">
        <f>2000+'táj.1.'!H70</f>
        <v>2000</v>
      </c>
      <c r="I70" s="225">
        <f>0+'táj.1.'!I70</f>
        <v>0</v>
      </c>
      <c r="J70" s="225">
        <f>0+'táj.1.'!J70</f>
        <v>0</v>
      </c>
      <c r="K70" s="225">
        <f>0+'táj.1.'!K70</f>
        <v>0</v>
      </c>
      <c r="L70" s="225">
        <f>0+'táj.1.'!L70</f>
        <v>0</v>
      </c>
      <c r="M70" s="225">
        <f>0+'táj.1.'!M70</f>
        <v>0</v>
      </c>
      <c r="N70" s="225">
        <f>0+'táj.1.'!N70</f>
        <v>0</v>
      </c>
      <c r="O70" s="225">
        <f>SUM(E70:N70)</f>
        <v>2000</v>
      </c>
    </row>
    <row r="71" spans="1:15" s="195" customFormat="1" ht="24.75" customHeight="1">
      <c r="A71" s="253"/>
      <c r="B71" s="253"/>
      <c r="C71" s="220" t="s">
        <v>990</v>
      </c>
      <c r="D71" s="576"/>
      <c r="E71" s="225"/>
      <c r="F71" s="254"/>
      <c r="G71" s="254"/>
      <c r="H71" s="254"/>
      <c r="I71" s="254"/>
      <c r="J71" s="254"/>
      <c r="K71" s="254"/>
      <c r="L71" s="254"/>
      <c r="M71" s="254"/>
      <c r="N71" s="254"/>
      <c r="O71" s="225"/>
    </row>
    <row r="72" spans="1:15" s="195" customFormat="1" ht="15" customHeight="1">
      <c r="A72" s="253"/>
      <c r="B72" s="253"/>
      <c r="C72" s="198" t="s">
        <v>113</v>
      </c>
      <c r="D72" s="571">
        <v>171901</v>
      </c>
      <c r="E72" s="225">
        <f>0+'táj.1.'!E72</f>
        <v>0</v>
      </c>
      <c r="F72" s="225">
        <f>0+'táj.1.'!F72</f>
        <v>0</v>
      </c>
      <c r="G72" s="225">
        <f>0+'táj.1.'!G72</f>
        <v>0</v>
      </c>
      <c r="H72" s="225">
        <f>35714+'táj.1.'!H72</f>
        <v>35714</v>
      </c>
      <c r="I72" s="225">
        <f>0+'táj.1.'!I72</f>
        <v>0</v>
      </c>
      <c r="J72" s="225">
        <f>0+'táj.1.'!J72</f>
        <v>0</v>
      </c>
      <c r="K72" s="225">
        <f>0+'táj.1.'!K72</f>
        <v>0</v>
      </c>
      <c r="L72" s="225">
        <f>0+'táj.1.'!L72</f>
        <v>0</v>
      </c>
      <c r="M72" s="225">
        <f>0+'táj.1.'!M72</f>
        <v>0</v>
      </c>
      <c r="N72" s="225">
        <f>0+'táj.1.'!N72</f>
        <v>0</v>
      </c>
      <c r="O72" s="225">
        <f>SUM(E72:N72)</f>
        <v>35714</v>
      </c>
    </row>
    <row r="73" spans="1:15" s="195" customFormat="1" ht="24.75" customHeight="1">
      <c r="A73" s="196"/>
      <c r="B73" s="196"/>
      <c r="C73" s="255" t="s">
        <v>114</v>
      </c>
      <c r="D73" s="57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1:15" s="195" customFormat="1" ht="24.75" customHeight="1">
      <c r="A74" s="196"/>
      <c r="B74" s="196"/>
      <c r="C74" s="256" t="s">
        <v>115</v>
      </c>
      <c r="D74" s="577">
        <v>171908</v>
      </c>
      <c r="E74" s="225">
        <f>0+'táj.1.'!E74</f>
        <v>0</v>
      </c>
      <c r="F74" s="225">
        <f>0+'táj.1.'!F74</f>
        <v>0</v>
      </c>
      <c r="G74" s="225">
        <f>0+'táj.1.'!G74</f>
        <v>0</v>
      </c>
      <c r="H74" s="225">
        <f>190500+'táj.1.'!H74</f>
        <v>190500</v>
      </c>
      <c r="I74" s="225">
        <f>0+'táj.1.'!I74</f>
        <v>0</v>
      </c>
      <c r="J74" s="225">
        <f>0+'táj.1.'!J74</f>
        <v>0</v>
      </c>
      <c r="K74" s="225">
        <f>0+'táj.1.'!K74</f>
        <v>0</v>
      </c>
      <c r="L74" s="225">
        <f>0+'táj.1.'!L74</f>
        <v>0</v>
      </c>
      <c r="M74" s="225">
        <f>0+'táj.1.'!M74</f>
        <v>0</v>
      </c>
      <c r="N74" s="225">
        <f>0+'táj.1.'!N74</f>
        <v>0</v>
      </c>
      <c r="O74" s="225">
        <f>SUM(E74:N74)</f>
        <v>190500</v>
      </c>
    </row>
    <row r="75" spans="1:15" s="195" customFormat="1" ht="24.75" customHeight="1">
      <c r="A75" s="196"/>
      <c r="B75" s="196"/>
      <c r="C75" s="143" t="s">
        <v>422</v>
      </c>
      <c r="D75" s="570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1:15" s="195" customFormat="1" ht="13.5" customHeight="1">
      <c r="A76" s="196"/>
      <c r="B76" s="196"/>
      <c r="C76" s="257" t="s">
        <v>116</v>
      </c>
      <c r="D76" s="578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1:15" s="195" customFormat="1" ht="24.75" customHeight="1">
      <c r="A77" s="196"/>
      <c r="B77" s="196"/>
      <c r="C77" s="155" t="s">
        <v>117</v>
      </c>
      <c r="D77" s="579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1:15" s="195" customFormat="1" ht="24.75" customHeight="1">
      <c r="A78" s="196"/>
      <c r="B78" s="196"/>
      <c r="C78" s="215" t="s">
        <v>118</v>
      </c>
      <c r="D78" s="574">
        <v>121401</v>
      </c>
      <c r="E78" s="225">
        <f>0+'táj.1.'!E78</f>
        <v>0</v>
      </c>
      <c r="F78" s="225">
        <f>0+'táj.1.'!F78</f>
        <v>0</v>
      </c>
      <c r="G78" s="225">
        <f>0+'táj.1.'!G78</f>
        <v>0</v>
      </c>
      <c r="H78" s="225">
        <f>0+'táj.1.'!H78</f>
        <v>0</v>
      </c>
      <c r="I78" s="225">
        <f>0+'táj.1.'!I78</f>
        <v>0</v>
      </c>
      <c r="J78" s="225">
        <f>0+'táj.1.'!J78</f>
        <v>0</v>
      </c>
      <c r="K78" s="225">
        <f>30000+'táj.1.'!K78</f>
        <v>30000</v>
      </c>
      <c r="L78" s="225">
        <f>0+'táj.1.'!L78</f>
        <v>0</v>
      </c>
      <c r="M78" s="225">
        <f>0+'táj.1.'!M78</f>
        <v>0</v>
      </c>
      <c r="N78" s="225">
        <f>0+'táj.1.'!N78</f>
        <v>0</v>
      </c>
      <c r="O78" s="225">
        <f>SUM(E78:N78)</f>
        <v>30000</v>
      </c>
    </row>
    <row r="79" spans="1:15" s="195" customFormat="1" ht="24.75" customHeight="1">
      <c r="A79" s="196"/>
      <c r="B79" s="196"/>
      <c r="C79" s="205" t="s">
        <v>423</v>
      </c>
      <c r="D79" s="580"/>
      <c r="E79" s="225"/>
      <c r="F79" s="234"/>
      <c r="G79" s="233"/>
      <c r="H79" s="225"/>
      <c r="I79" s="225"/>
      <c r="J79" s="225"/>
      <c r="K79" s="225"/>
      <c r="L79" s="225"/>
      <c r="M79" s="225"/>
      <c r="N79" s="225"/>
      <c r="O79" s="225"/>
    </row>
    <row r="80" spans="1:16" s="195" customFormat="1" ht="24.75" customHeight="1">
      <c r="A80" s="196"/>
      <c r="B80" s="196"/>
      <c r="C80" s="220" t="s">
        <v>119</v>
      </c>
      <c r="D80" s="576">
        <v>176902</v>
      </c>
      <c r="E80" s="225">
        <f>0+'táj.1.'!E80</f>
        <v>0</v>
      </c>
      <c r="F80" s="225">
        <f>0+'táj.1.'!F80</f>
        <v>0</v>
      </c>
      <c r="G80" s="225">
        <f>0+'táj.1.'!G80</f>
        <v>0</v>
      </c>
      <c r="H80" s="225">
        <f>0+'táj.1.'!H80</f>
        <v>0</v>
      </c>
      <c r="I80" s="225">
        <f>0+'táj.1.'!I80</f>
        <v>0</v>
      </c>
      <c r="J80" s="225">
        <f>0+'táj.1.'!J80</f>
        <v>0</v>
      </c>
      <c r="K80" s="225">
        <f>0+'táj.1.'!K80</f>
        <v>0</v>
      </c>
      <c r="L80" s="225">
        <f>0+'táj.1.'!L80</f>
        <v>0</v>
      </c>
      <c r="M80" s="225">
        <f>80000+'táj.1.'!M80</f>
        <v>80000</v>
      </c>
      <c r="N80" s="225">
        <f>113924+'táj.1.'!N80</f>
        <v>148150</v>
      </c>
      <c r="O80" s="225">
        <f>SUM(E80:N80)</f>
        <v>228150</v>
      </c>
      <c r="P80" s="230"/>
    </row>
    <row r="81" spans="1:15" s="195" customFormat="1" ht="18" customHeight="1">
      <c r="A81" s="209"/>
      <c r="B81" s="209"/>
      <c r="C81" s="247" t="s">
        <v>120</v>
      </c>
      <c r="D81" s="581"/>
      <c r="E81" s="211">
        <f aca="true" t="shared" si="5" ref="E81:O81">SUM(E60:E80)</f>
        <v>0</v>
      </c>
      <c r="F81" s="211">
        <f t="shared" si="5"/>
        <v>0</v>
      </c>
      <c r="G81" s="211">
        <f t="shared" si="5"/>
        <v>0</v>
      </c>
      <c r="H81" s="211">
        <f t="shared" si="5"/>
        <v>358019</v>
      </c>
      <c r="I81" s="211">
        <f t="shared" si="5"/>
        <v>144480</v>
      </c>
      <c r="J81" s="211">
        <f t="shared" si="5"/>
        <v>0</v>
      </c>
      <c r="K81" s="211">
        <f t="shared" si="5"/>
        <v>30000</v>
      </c>
      <c r="L81" s="211">
        <f t="shared" si="5"/>
        <v>0</v>
      </c>
      <c r="M81" s="211">
        <f t="shared" si="5"/>
        <v>80000</v>
      </c>
      <c r="N81" s="211">
        <f t="shared" si="5"/>
        <v>148150</v>
      </c>
      <c r="O81" s="211">
        <f t="shared" si="5"/>
        <v>760649</v>
      </c>
    </row>
    <row r="82" spans="1:15" s="195" customFormat="1" ht="12" customHeight="1">
      <c r="A82" s="212">
        <v>1</v>
      </c>
      <c r="B82" s="212">
        <v>18</v>
      </c>
      <c r="C82" s="215" t="s">
        <v>407</v>
      </c>
      <c r="D82" s="57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</row>
    <row r="83" spans="1:15" s="195" customFormat="1" ht="24.75" customHeight="1">
      <c r="A83" s="196"/>
      <c r="B83" s="196"/>
      <c r="C83" s="143" t="s">
        <v>422</v>
      </c>
      <c r="D83" s="570"/>
      <c r="E83" s="233"/>
      <c r="F83" s="233"/>
      <c r="G83" s="233"/>
      <c r="H83" s="225"/>
      <c r="I83" s="225"/>
      <c r="J83" s="225"/>
      <c r="K83" s="225"/>
      <c r="L83" s="225"/>
      <c r="M83" s="225"/>
      <c r="N83" s="225"/>
      <c r="O83" s="225"/>
    </row>
    <row r="84" spans="1:15" s="195" customFormat="1" ht="24.75" customHeight="1">
      <c r="A84" s="196"/>
      <c r="B84" s="196"/>
      <c r="C84" s="62" t="s">
        <v>1102</v>
      </c>
      <c r="D84" s="582">
        <v>181901</v>
      </c>
      <c r="E84" s="233">
        <f>0+'táj.1.'!E84</f>
        <v>0</v>
      </c>
      <c r="F84" s="233">
        <f>0+'táj.1.'!F84</f>
        <v>0</v>
      </c>
      <c r="G84" s="233">
        <f>0+'táj.1.'!G84</f>
        <v>0</v>
      </c>
      <c r="H84" s="233">
        <f>29850+'táj.1.'!H84</f>
        <v>29850</v>
      </c>
      <c r="I84" s="233">
        <f>0+'táj.1.'!I84</f>
        <v>0</v>
      </c>
      <c r="J84" s="233">
        <f>0+'táj.1.'!J84</f>
        <v>0</v>
      </c>
      <c r="K84" s="233">
        <f>0+'táj.1.'!K84</f>
        <v>0</v>
      </c>
      <c r="L84" s="233">
        <f>0+'táj.1.'!L84</f>
        <v>0</v>
      </c>
      <c r="M84" s="233">
        <f>0+'táj.1.'!M84</f>
        <v>0</v>
      </c>
      <c r="N84" s="233">
        <f>0+'táj.1.'!N84</f>
        <v>0</v>
      </c>
      <c r="O84" s="225">
        <f>SUM(E84:N84)</f>
        <v>29850</v>
      </c>
    </row>
    <row r="85" spans="1:15" s="195" customFormat="1" ht="12" customHeight="1">
      <c r="A85" s="196"/>
      <c r="B85" s="196"/>
      <c r="C85" s="215" t="s">
        <v>687</v>
      </c>
      <c r="D85" s="574">
        <v>181905</v>
      </c>
      <c r="E85" s="233">
        <f>0+'táj.1.'!E85</f>
        <v>0</v>
      </c>
      <c r="F85" s="233">
        <f>0+'táj.1.'!F85</f>
        <v>0</v>
      </c>
      <c r="G85" s="233">
        <f>0+'táj.1.'!G85</f>
        <v>0</v>
      </c>
      <c r="H85" s="233">
        <f>20320+'táj.1.'!H85</f>
        <v>20320</v>
      </c>
      <c r="I85" s="233">
        <f>0+'táj.1.'!I85</f>
        <v>0</v>
      </c>
      <c r="J85" s="233">
        <f>0+'táj.1.'!J85</f>
        <v>0</v>
      </c>
      <c r="K85" s="233">
        <f>0+'táj.1.'!K85</f>
        <v>0</v>
      </c>
      <c r="L85" s="233">
        <f>0+'táj.1.'!L85</f>
        <v>0</v>
      </c>
      <c r="M85" s="233">
        <f>0+'táj.1.'!M85</f>
        <v>0</v>
      </c>
      <c r="N85" s="233">
        <f>0+'táj.1.'!N85</f>
        <v>0</v>
      </c>
      <c r="O85" s="225">
        <f>SUM(E85:N85)</f>
        <v>20320</v>
      </c>
    </row>
    <row r="86" spans="1:15" s="195" customFormat="1" ht="15" customHeight="1">
      <c r="A86" s="196"/>
      <c r="B86" s="196"/>
      <c r="C86" s="153" t="s">
        <v>688</v>
      </c>
      <c r="D86" s="574">
        <v>181903</v>
      </c>
      <c r="E86" s="233">
        <f>0+'táj.1.'!E86</f>
        <v>0</v>
      </c>
      <c r="F86" s="233">
        <f>0+'táj.1.'!F86</f>
        <v>0</v>
      </c>
      <c r="G86" s="233">
        <f>7000+'táj.1.'!G86</f>
        <v>7000</v>
      </c>
      <c r="H86" s="233">
        <f>0+'táj.1.'!H86</f>
        <v>0</v>
      </c>
      <c r="I86" s="233">
        <f>0+'táj.1.'!I86</f>
        <v>0</v>
      </c>
      <c r="J86" s="233">
        <f>0+'táj.1.'!J86</f>
        <v>0</v>
      </c>
      <c r="K86" s="233">
        <f>0+'táj.1.'!K86</f>
        <v>0</v>
      </c>
      <c r="L86" s="233">
        <f>0+'táj.1.'!L86</f>
        <v>0</v>
      </c>
      <c r="M86" s="233">
        <f>0+'táj.1.'!M86</f>
        <v>0</v>
      </c>
      <c r="N86" s="233">
        <f>0+'táj.1.'!N86</f>
        <v>0</v>
      </c>
      <c r="O86" s="225">
        <f>SUM(E86:N86)</f>
        <v>7000</v>
      </c>
    </row>
    <row r="87" spans="1:15" s="195" customFormat="1" ht="27.75" customHeight="1">
      <c r="A87" s="196"/>
      <c r="B87" s="196"/>
      <c r="C87" s="153" t="s">
        <v>121</v>
      </c>
      <c r="D87" s="574">
        <v>181904</v>
      </c>
      <c r="E87" s="233">
        <f>0+'táj.1.'!E87</f>
        <v>0</v>
      </c>
      <c r="F87" s="233">
        <f>0+'táj.1.'!F87</f>
        <v>0</v>
      </c>
      <c r="G87" s="233">
        <f>0+'táj.1.'!G87</f>
        <v>0</v>
      </c>
      <c r="H87" s="233">
        <f>127+'táj.1.'!H87</f>
        <v>127</v>
      </c>
      <c r="I87" s="233">
        <f>0+'táj.1.'!I87</f>
        <v>0</v>
      </c>
      <c r="J87" s="233">
        <f>0+'táj.1.'!J87</f>
        <v>0</v>
      </c>
      <c r="K87" s="233">
        <f>0+'táj.1.'!K87</f>
        <v>0</v>
      </c>
      <c r="L87" s="233">
        <f>0+'táj.1.'!L87</f>
        <v>0</v>
      </c>
      <c r="M87" s="233">
        <f>0+'táj.1.'!M87</f>
        <v>0</v>
      </c>
      <c r="N87" s="233">
        <f>0+'táj.1.'!N87</f>
        <v>0</v>
      </c>
      <c r="O87" s="225">
        <f>SUM(E87:N87)</f>
        <v>127</v>
      </c>
    </row>
    <row r="88" spans="1:15" s="195" customFormat="1" ht="15" customHeight="1">
      <c r="A88" s="196" t="s">
        <v>122</v>
      </c>
      <c r="B88" s="196"/>
      <c r="C88" s="215" t="s">
        <v>689</v>
      </c>
      <c r="D88" s="574">
        <v>181902</v>
      </c>
      <c r="E88" s="233">
        <f>0+'táj.1.'!E88</f>
        <v>0</v>
      </c>
      <c r="F88" s="233">
        <f>0+'táj.1.'!F88</f>
        <v>0</v>
      </c>
      <c r="G88" s="233">
        <f>0+'táj.1.'!G88</f>
        <v>0</v>
      </c>
      <c r="H88" s="233">
        <f>17018+'táj.1.'!H88</f>
        <v>17018</v>
      </c>
      <c r="I88" s="233">
        <f>0+'táj.1.'!I88</f>
        <v>0</v>
      </c>
      <c r="J88" s="233">
        <f>0+'táj.1.'!J88</f>
        <v>0</v>
      </c>
      <c r="K88" s="233">
        <f>0+'táj.1.'!K88</f>
        <v>0</v>
      </c>
      <c r="L88" s="233">
        <f>0+'táj.1.'!L88</f>
        <v>0</v>
      </c>
      <c r="M88" s="233">
        <f>0+'táj.1.'!M88</f>
        <v>0</v>
      </c>
      <c r="N88" s="233">
        <f>0+'táj.1.'!N88</f>
        <v>0</v>
      </c>
      <c r="O88" s="225">
        <f>SUM(E88:N88)</f>
        <v>17018</v>
      </c>
    </row>
    <row r="89" spans="1:15" s="195" customFormat="1" ht="14.25" customHeight="1">
      <c r="A89" s="209"/>
      <c r="B89" s="209"/>
      <c r="C89" s="247" t="s">
        <v>123</v>
      </c>
      <c r="D89" s="581"/>
      <c r="E89" s="260">
        <f aca="true" t="shared" si="6" ref="E89:O89">SUM(E84:E88)</f>
        <v>0</v>
      </c>
      <c r="F89" s="260">
        <f t="shared" si="6"/>
        <v>0</v>
      </c>
      <c r="G89" s="260">
        <f t="shared" si="6"/>
        <v>7000</v>
      </c>
      <c r="H89" s="260">
        <f t="shared" si="6"/>
        <v>67315</v>
      </c>
      <c r="I89" s="260">
        <f t="shared" si="6"/>
        <v>0</v>
      </c>
      <c r="J89" s="260">
        <f t="shared" si="6"/>
        <v>0</v>
      </c>
      <c r="K89" s="260">
        <f t="shared" si="6"/>
        <v>0</v>
      </c>
      <c r="L89" s="260">
        <f t="shared" si="6"/>
        <v>0</v>
      </c>
      <c r="M89" s="260">
        <f t="shared" si="6"/>
        <v>0</v>
      </c>
      <c r="N89" s="260">
        <f t="shared" si="6"/>
        <v>0</v>
      </c>
      <c r="O89" s="260">
        <f t="shared" si="6"/>
        <v>74315</v>
      </c>
    </row>
    <row r="90" spans="1:15" s="195" customFormat="1" ht="12" customHeight="1">
      <c r="A90" s="196">
        <v>1</v>
      </c>
      <c r="B90" s="196">
        <v>19</v>
      </c>
      <c r="C90" s="200" t="s">
        <v>640</v>
      </c>
      <c r="D90" s="583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1:15" s="195" customFormat="1" ht="26.25" customHeight="1">
      <c r="A91" s="196"/>
      <c r="B91" s="196"/>
      <c r="C91" s="261" t="s">
        <v>0</v>
      </c>
      <c r="D91" s="584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1:16" s="195" customFormat="1" ht="24.75" customHeight="1">
      <c r="A92" s="196"/>
      <c r="B92" s="196"/>
      <c r="C92" s="216" t="s">
        <v>1</v>
      </c>
      <c r="D92" s="582">
        <v>196906</v>
      </c>
      <c r="E92" s="233">
        <f>0+'táj.1.'!E92</f>
        <v>0</v>
      </c>
      <c r="F92" s="233">
        <f>0+'táj.1.'!F92</f>
        <v>0</v>
      </c>
      <c r="G92" s="233">
        <f>0+'táj.1.'!G92</f>
        <v>0</v>
      </c>
      <c r="H92" s="233">
        <f>0+'táj.1.'!H92</f>
        <v>0</v>
      </c>
      <c r="I92" s="233">
        <f>0+'táj.1.'!I92</f>
        <v>0</v>
      </c>
      <c r="J92" s="233">
        <f>0+'táj.1.'!J92</f>
        <v>0</v>
      </c>
      <c r="K92" s="233">
        <f>0+'táj.1.'!K92</f>
        <v>0</v>
      </c>
      <c r="L92" s="233">
        <f>378018+'táj.1.'!L92</f>
        <v>378018</v>
      </c>
      <c r="M92" s="233">
        <f>0+'táj.1.'!M92</f>
        <v>0</v>
      </c>
      <c r="N92" s="233">
        <f>0+'táj.1.'!N92</f>
        <v>0</v>
      </c>
      <c r="O92" s="225">
        <f>SUM(E92:N92)</f>
        <v>378018</v>
      </c>
      <c r="P92" s="230"/>
    </row>
    <row r="93" spans="1:15" s="195" customFormat="1" ht="24.75" customHeight="1">
      <c r="A93" s="196"/>
      <c r="B93" s="196"/>
      <c r="C93" s="205" t="s">
        <v>437</v>
      </c>
      <c r="D93" s="580"/>
      <c r="E93" s="233"/>
      <c r="F93" s="233"/>
      <c r="G93" s="233"/>
      <c r="H93" s="225"/>
      <c r="I93" s="225"/>
      <c r="J93" s="225"/>
      <c r="K93" s="225"/>
      <c r="L93" s="225"/>
      <c r="M93" s="225"/>
      <c r="N93" s="225"/>
      <c r="O93" s="225"/>
    </row>
    <row r="94" spans="1:15" s="195" customFormat="1" ht="12.75">
      <c r="A94" s="196" t="s">
        <v>122</v>
      </c>
      <c r="B94" s="196"/>
      <c r="C94" s="198" t="s">
        <v>124</v>
      </c>
      <c r="D94" s="571">
        <v>191102</v>
      </c>
      <c r="E94" s="233">
        <f>0+'táj.1.'!E94</f>
        <v>0</v>
      </c>
      <c r="F94" s="233">
        <f>0+'táj.1.'!F94</f>
        <v>0</v>
      </c>
      <c r="G94" s="233">
        <f>0+'táj.1.'!G94</f>
        <v>0</v>
      </c>
      <c r="H94" s="233">
        <f>10000+'táj.1.'!H94</f>
        <v>10000</v>
      </c>
      <c r="I94" s="233">
        <f>0+'táj.1.'!I94</f>
        <v>0</v>
      </c>
      <c r="J94" s="233">
        <f>0+'táj.1.'!J94</f>
        <v>0</v>
      </c>
      <c r="K94" s="233">
        <f>0+'táj.1.'!K94</f>
        <v>0</v>
      </c>
      <c r="L94" s="233">
        <f>0+'táj.1.'!L94</f>
        <v>0</v>
      </c>
      <c r="M94" s="233">
        <f>0+'táj.1.'!M94</f>
        <v>0</v>
      </c>
      <c r="N94" s="233">
        <f>0+'táj.1.'!N94</f>
        <v>0</v>
      </c>
      <c r="O94" s="225">
        <f>SUM(E94:N94)</f>
        <v>10000</v>
      </c>
    </row>
    <row r="95" spans="1:16" s="195" customFormat="1" ht="12.75">
      <c r="A95" s="196"/>
      <c r="B95" s="196"/>
      <c r="C95" s="178" t="s">
        <v>125</v>
      </c>
      <c r="D95" s="585">
        <v>191103</v>
      </c>
      <c r="E95" s="233">
        <f>0+'táj.1.'!E95</f>
        <v>0</v>
      </c>
      <c r="F95" s="233">
        <f>0+'táj.1.'!F95</f>
        <v>0</v>
      </c>
      <c r="G95" s="233">
        <f>0+'táj.1.'!G95</f>
        <v>0</v>
      </c>
      <c r="H95" s="233">
        <f>200831+'táj.1.'!H95</f>
        <v>224922</v>
      </c>
      <c r="I95" s="233">
        <f>0+'táj.1.'!I95</f>
        <v>0</v>
      </c>
      <c r="J95" s="233">
        <f>0+'táj.1.'!J95</f>
        <v>0</v>
      </c>
      <c r="K95" s="233">
        <f>0+'táj.1.'!K95</f>
        <v>0</v>
      </c>
      <c r="L95" s="233">
        <f>0+'táj.1.'!L95</f>
        <v>0</v>
      </c>
      <c r="M95" s="233">
        <f>0+'táj.1.'!M95</f>
        <v>0</v>
      </c>
      <c r="N95" s="233">
        <f>0+'táj.1.'!N95</f>
        <v>0</v>
      </c>
      <c r="O95" s="225">
        <f>SUM(E95:N95)</f>
        <v>224922</v>
      </c>
      <c r="P95" s="230"/>
    </row>
    <row r="96" spans="1:16" s="195" customFormat="1" ht="25.5">
      <c r="A96" s="196"/>
      <c r="B96" s="196"/>
      <c r="C96" s="215" t="s">
        <v>126</v>
      </c>
      <c r="D96" s="574">
        <v>191196</v>
      </c>
      <c r="E96" s="233">
        <f>0+'táj.1.'!E96</f>
        <v>0</v>
      </c>
      <c r="F96" s="233">
        <f>0+'táj.1.'!F96</f>
        <v>0</v>
      </c>
      <c r="G96" s="233">
        <f>0+'táj.1.'!G96</f>
        <v>0</v>
      </c>
      <c r="H96" s="233">
        <f>0+'táj.1.'!H96</f>
        <v>0</v>
      </c>
      <c r="I96" s="233">
        <f>0+'táj.1.'!I96</f>
        <v>0</v>
      </c>
      <c r="J96" s="233">
        <f>0+'táj.1.'!J96</f>
        <v>0</v>
      </c>
      <c r="K96" s="233">
        <f>0+'táj.1.'!K96</f>
        <v>0</v>
      </c>
      <c r="L96" s="233">
        <f>0+'táj.1.'!L96</f>
        <v>0</v>
      </c>
      <c r="M96" s="233">
        <f>1123281+'táj.1.'!M96</f>
        <v>1123281</v>
      </c>
      <c r="N96" s="233">
        <f>0+'táj.1.'!N96</f>
        <v>0</v>
      </c>
      <c r="O96" s="225">
        <f>SUM(E96:N96)</f>
        <v>1123281</v>
      </c>
      <c r="P96" s="230"/>
    </row>
    <row r="97" spans="1:16" s="195" customFormat="1" ht="25.5">
      <c r="A97" s="196"/>
      <c r="B97" s="196"/>
      <c r="C97" s="215" t="s">
        <v>127</v>
      </c>
      <c r="D97" s="574">
        <v>191196</v>
      </c>
      <c r="E97" s="233">
        <f>0+'táj.1.'!E97</f>
        <v>0</v>
      </c>
      <c r="F97" s="233">
        <f>0+'táj.1.'!F97</f>
        <v>0</v>
      </c>
      <c r="G97" s="233">
        <f>0+'táj.1.'!G97</f>
        <v>0</v>
      </c>
      <c r="H97" s="233">
        <f>0+'táj.1.'!H97</f>
        <v>0</v>
      </c>
      <c r="I97" s="233">
        <f>0+'táj.1.'!I97</f>
        <v>0</v>
      </c>
      <c r="J97" s="233">
        <f>0+'táj.1.'!J97</f>
        <v>0</v>
      </c>
      <c r="K97" s="233">
        <f>0+'táj.1.'!K97</f>
        <v>0</v>
      </c>
      <c r="L97" s="233">
        <f>0+'táj.1.'!L97</f>
        <v>0</v>
      </c>
      <c r="M97" s="233">
        <f>62826+'táj.1.'!M97</f>
        <v>62826</v>
      </c>
      <c r="N97" s="233">
        <f>0+'táj.1.'!N97</f>
        <v>0</v>
      </c>
      <c r="O97" s="225">
        <f>SUM(E97:N97)</f>
        <v>62826</v>
      </c>
      <c r="P97" s="230"/>
    </row>
    <row r="98" spans="1:16" s="195" customFormat="1" ht="31.5" customHeight="1">
      <c r="A98" s="196"/>
      <c r="B98" s="196"/>
      <c r="C98" s="215" t="s">
        <v>128</v>
      </c>
      <c r="D98" s="574">
        <v>191901</v>
      </c>
      <c r="E98" s="233">
        <f>0+'táj.1.'!E98</f>
        <v>0</v>
      </c>
      <c r="F98" s="233">
        <f>0+'táj.1.'!F98</f>
        <v>0</v>
      </c>
      <c r="G98" s="233">
        <f>0+'táj.1.'!G98</f>
        <v>0</v>
      </c>
      <c r="H98" s="233">
        <f>0+'táj.1.'!H98</f>
        <v>0</v>
      </c>
      <c r="I98" s="233">
        <f>0+'táj.1.'!I98</f>
        <v>0</v>
      </c>
      <c r="J98" s="233">
        <f>0+'táj.1.'!J98</f>
        <v>0</v>
      </c>
      <c r="K98" s="233">
        <f>0+'táj.1.'!K98</f>
        <v>0</v>
      </c>
      <c r="L98" s="233">
        <f>0+'táj.1.'!L98</f>
        <v>0</v>
      </c>
      <c r="M98" s="233">
        <f>800000+'táj.1.'!M98</f>
        <v>800000</v>
      </c>
      <c r="N98" s="233">
        <f>0+'táj.1.'!N98</f>
        <v>0</v>
      </c>
      <c r="O98" s="225">
        <f>SUM(E98:N98)</f>
        <v>800000</v>
      </c>
      <c r="P98" s="230"/>
    </row>
    <row r="99" spans="1:15" s="195" customFormat="1" ht="24.75" customHeight="1">
      <c r="A99" s="196"/>
      <c r="B99" s="196"/>
      <c r="C99" s="215" t="s">
        <v>426</v>
      </c>
      <c r="D99" s="574"/>
      <c r="E99" s="233"/>
      <c r="F99" s="233"/>
      <c r="G99" s="233"/>
      <c r="H99" s="233"/>
      <c r="I99" s="233"/>
      <c r="J99" s="233"/>
      <c r="K99" s="225"/>
      <c r="L99" s="225"/>
      <c r="M99" s="225"/>
      <c r="N99" s="225"/>
      <c r="O99" s="225"/>
    </row>
    <row r="100" spans="1:15" s="195" customFormat="1" ht="25.5">
      <c r="A100" s="196"/>
      <c r="B100" s="196"/>
      <c r="C100" s="62" t="s">
        <v>129</v>
      </c>
      <c r="D100" s="582">
        <v>191901</v>
      </c>
      <c r="E100" s="233">
        <f>7069+'táj.1.'!E100</f>
        <v>7069</v>
      </c>
      <c r="F100" s="233">
        <f>0+'táj.1.'!F100</f>
        <v>0</v>
      </c>
      <c r="G100" s="233">
        <f>0+'táj.1.'!G100</f>
        <v>0</v>
      </c>
      <c r="H100" s="233">
        <f>0+'táj.1.'!H100</f>
        <v>0</v>
      </c>
      <c r="I100" s="233">
        <f>0+'táj.1.'!I100</f>
        <v>0</v>
      </c>
      <c r="J100" s="233">
        <f>0+'táj.1.'!J100</f>
        <v>0</v>
      </c>
      <c r="K100" s="233">
        <f>0+'táj.1.'!K100</f>
        <v>0</v>
      </c>
      <c r="L100" s="233">
        <f>0+'táj.1.'!L100</f>
        <v>0</v>
      </c>
      <c r="M100" s="233">
        <f>0+'táj.1.'!M100</f>
        <v>0</v>
      </c>
      <c r="N100" s="233">
        <f>0+'táj.1.'!N100</f>
        <v>0</v>
      </c>
      <c r="O100" s="225">
        <f>SUM(E100:N100)</f>
        <v>7069</v>
      </c>
    </row>
    <row r="101" spans="1:15" s="195" customFormat="1" ht="25.5">
      <c r="A101" s="196"/>
      <c r="B101" s="196"/>
      <c r="C101" s="62" t="s">
        <v>130</v>
      </c>
      <c r="D101" s="582">
        <v>191901</v>
      </c>
      <c r="E101" s="233">
        <f>886883+'táj.1.'!E101</f>
        <v>886883</v>
      </c>
      <c r="F101" s="233">
        <f>0+'táj.1.'!F101</f>
        <v>0</v>
      </c>
      <c r="G101" s="233">
        <f>0+'táj.1.'!G101</f>
        <v>0</v>
      </c>
      <c r="H101" s="233">
        <f>0+'táj.1.'!H101</f>
        <v>0</v>
      </c>
      <c r="I101" s="233">
        <f>0+'táj.1.'!I101</f>
        <v>0</v>
      </c>
      <c r="J101" s="233">
        <f>0+'táj.1.'!J101</f>
        <v>0</v>
      </c>
      <c r="K101" s="233">
        <f>0+'táj.1.'!K101</f>
        <v>0</v>
      </c>
      <c r="L101" s="233">
        <f>0+'táj.1.'!L101</f>
        <v>0</v>
      </c>
      <c r="M101" s="233">
        <f>0+'táj.1.'!M101</f>
        <v>0</v>
      </c>
      <c r="N101" s="233">
        <f>0+'táj.1.'!N101</f>
        <v>0</v>
      </c>
      <c r="O101" s="225">
        <f>SUM(E101:N101)</f>
        <v>886883</v>
      </c>
    </row>
    <row r="102" spans="1:17" s="195" customFormat="1" ht="24" customHeight="1">
      <c r="A102" s="196"/>
      <c r="B102" s="196"/>
      <c r="C102" s="62" t="s">
        <v>131</v>
      </c>
      <c r="D102" s="582">
        <v>191901</v>
      </c>
      <c r="E102" s="233">
        <f>695886+'táj.1.'!E102</f>
        <v>695886</v>
      </c>
      <c r="F102" s="233">
        <f>0+'táj.1.'!F102</f>
        <v>0</v>
      </c>
      <c r="G102" s="233">
        <f>0+'táj.1.'!G102</f>
        <v>0</v>
      </c>
      <c r="H102" s="233">
        <f>0+'táj.1.'!H102</f>
        <v>0</v>
      </c>
      <c r="I102" s="233">
        <f>0+'táj.1.'!I102</f>
        <v>0</v>
      </c>
      <c r="J102" s="233">
        <f>0+'táj.1.'!J102</f>
        <v>0</v>
      </c>
      <c r="K102" s="233">
        <f>0+'táj.1.'!K102</f>
        <v>0</v>
      </c>
      <c r="L102" s="233">
        <f>0+'táj.1.'!L102</f>
        <v>0</v>
      </c>
      <c r="M102" s="233">
        <f>0+'táj.1.'!M102</f>
        <v>0</v>
      </c>
      <c r="N102" s="233">
        <f>0+'táj.1.'!N102</f>
        <v>0</v>
      </c>
      <c r="O102" s="225">
        <f>SUM(E102:N102)</f>
        <v>695886</v>
      </c>
      <c r="Q102" s="230"/>
    </row>
    <row r="103" spans="1:16" s="195" customFormat="1" ht="24" customHeight="1">
      <c r="A103" s="196"/>
      <c r="B103" s="196"/>
      <c r="C103" s="62" t="s">
        <v>132</v>
      </c>
      <c r="D103" s="582">
        <v>191901</v>
      </c>
      <c r="E103" s="233">
        <f>656366+'táj.1.'!E103</f>
        <v>656366</v>
      </c>
      <c r="F103" s="233">
        <f>0+'táj.1.'!F103</f>
        <v>0</v>
      </c>
      <c r="G103" s="233">
        <f>0+'táj.1.'!G103</f>
        <v>0</v>
      </c>
      <c r="H103" s="233">
        <f>0+'táj.1.'!H103</f>
        <v>0</v>
      </c>
      <c r="I103" s="233">
        <f>0+'táj.1.'!I103</f>
        <v>0</v>
      </c>
      <c r="J103" s="233">
        <f>0+'táj.1.'!J103</f>
        <v>0</v>
      </c>
      <c r="K103" s="233">
        <f>0+'táj.1.'!K103</f>
        <v>0</v>
      </c>
      <c r="L103" s="233">
        <f>0+'táj.1.'!L103</f>
        <v>0</v>
      </c>
      <c r="M103" s="233">
        <f>0+'táj.1.'!M103</f>
        <v>0</v>
      </c>
      <c r="N103" s="233">
        <f>0+'táj.1.'!N103</f>
        <v>0</v>
      </c>
      <c r="O103" s="225">
        <f>SUM(E103:N103)</f>
        <v>656366</v>
      </c>
      <c r="P103" s="230"/>
    </row>
    <row r="104" spans="1:16" s="195" customFormat="1" ht="28.5" customHeight="1">
      <c r="A104" s="196"/>
      <c r="B104" s="196"/>
      <c r="C104" s="263" t="s">
        <v>133</v>
      </c>
      <c r="D104" s="570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25"/>
      <c r="P104" s="230"/>
    </row>
    <row r="105" spans="1:15" s="195" customFormat="1" ht="13.5" customHeight="1">
      <c r="A105" s="196"/>
      <c r="B105" s="196"/>
      <c r="C105" s="198" t="s">
        <v>540</v>
      </c>
      <c r="D105" s="571">
        <v>191901</v>
      </c>
      <c r="E105" s="233">
        <f>0+'táj.1.'!E105</f>
        <v>0</v>
      </c>
      <c r="F105" s="233">
        <f>0+'táj.1.'!F105</f>
        <v>0</v>
      </c>
      <c r="G105" s="233">
        <f>3700000+'táj.1.'!G105</f>
        <v>3700000</v>
      </c>
      <c r="H105" s="233">
        <f>0+'táj.1.'!H105</f>
        <v>0</v>
      </c>
      <c r="I105" s="233">
        <f>0+'táj.1.'!I105</f>
        <v>0</v>
      </c>
      <c r="J105" s="233">
        <f>0+'táj.1.'!J105</f>
        <v>0</v>
      </c>
      <c r="K105" s="233">
        <f>0+'táj.1.'!K105</f>
        <v>0</v>
      </c>
      <c r="L105" s="233">
        <f>0+'táj.1.'!L105</f>
        <v>0</v>
      </c>
      <c r="M105" s="233">
        <f>0+'táj.1.'!M105</f>
        <v>0</v>
      </c>
      <c r="N105" s="233">
        <f>0+'táj.1.'!N105</f>
        <v>0</v>
      </c>
      <c r="O105" s="225">
        <f aca="true" t="shared" si="7" ref="O105:O112">SUM(E105:N105)</f>
        <v>3700000</v>
      </c>
    </row>
    <row r="106" spans="1:15" s="195" customFormat="1" ht="13.5" customHeight="1">
      <c r="A106" s="196"/>
      <c r="B106" s="196"/>
      <c r="C106" s="198" t="s">
        <v>134</v>
      </c>
      <c r="D106" s="571">
        <v>191901</v>
      </c>
      <c r="E106" s="233">
        <f>0+'táj.1.'!E106</f>
        <v>0</v>
      </c>
      <c r="F106" s="233">
        <f>0+'táj.1.'!F106</f>
        <v>0</v>
      </c>
      <c r="G106" s="233">
        <f>228000+'táj.1.'!G106</f>
        <v>228000</v>
      </c>
      <c r="H106" s="233">
        <f>0+'táj.1.'!H106</f>
        <v>0</v>
      </c>
      <c r="I106" s="233">
        <f>0+'táj.1.'!I106</f>
        <v>0</v>
      </c>
      <c r="J106" s="233">
        <f>0+'táj.1.'!J106</f>
        <v>0</v>
      </c>
      <c r="K106" s="233">
        <f>0+'táj.1.'!K106</f>
        <v>0</v>
      </c>
      <c r="L106" s="233">
        <f>0+'táj.1.'!L106</f>
        <v>0</v>
      </c>
      <c r="M106" s="233">
        <f>0+'táj.1.'!M106</f>
        <v>0</v>
      </c>
      <c r="N106" s="233">
        <f>0+'táj.1.'!N106</f>
        <v>0</v>
      </c>
      <c r="O106" s="225">
        <f t="shared" si="7"/>
        <v>228000</v>
      </c>
    </row>
    <row r="107" spans="1:15" s="195" customFormat="1" ht="13.5" customHeight="1">
      <c r="A107" s="196"/>
      <c r="B107" s="196"/>
      <c r="C107" s="198" t="s">
        <v>135</v>
      </c>
      <c r="D107" s="571">
        <v>191901</v>
      </c>
      <c r="E107" s="233">
        <f>0+'táj.1.'!E107</f>
        <v>0</v>
      </c>
      <c r="F107" s="233">
        <f>0+'táj.1.'!F107</f>
        <v>0</v>
      </c>
      <c r="G107" s="233">
        <f>12000+'táj.1.'!G107</f>
        <v>12000</v>
      </c>
      <c r="H107" s="233">
        <f>0+'táj.1.'!H107</f>
        <v>0</v>
      </c>
      <c r="I107" s="233">
        <f>0+'táj.1.'!I107</f>
        <v>0</v>
      </c>
      <c r="J107" s="233">
        <f>0+'táj.1.'!J107</f>
        <v>0</v>
      </c>
      <c r="K107" s="233">
        <f>0+'táj.1.'!K107</f>
        <v>0</v>
      </c>
      <c r="L107" s="233">
        <f>0+'táj.1.'!L107</f>
        <v>0</v>
      </c>
      <c r="M107" s="233">
        <f>0+'táj.1.'!M107</f>
        <v>0</v>
      </c>
      <c r="N107" s="233">
        <f>0+'táj.1.'!N107</f>
        <v>0</v>
      </c>
      <c r="O107" s="225">
        <f t="shared" si="7"/>
        <v>12000</v>
      </c>
    </row>
    <row r="108" spans="1:15" s="195" customFormat="1" ht="13.5" customHeight="1">
      <c r="A108" s="196"/>
      <c r="B108" s="196"/>
      <c r="C108" s="198" t="s">
        <v>136</v>
      </c>
      <c r="D108" s="571">
        <v>191901</v>
      </c>
      <c r="E108" s="233">
        <f>0+'táj.1.'!E108</f>
        <v>0</v>
      </c>
      <c r="F108" s="233">
        <f>0+'táj.1.'!F108</f>
        <v>0</v>
      </c>
      <c r="G108" s="233">
        <f>5000+'táj.1.'!G108</f>
        <v>5000</v>
      </c>
      <c r="H108" s="233">
        <f>0+'táj.1.'!H108</f>
        <v>0</v>
      </c>
      <c r="I108" s="233">
        <f>0+'táj.1.'!I108</f>
        <v>0</v>
      </c>
      <c r="J108" s="233">
        <f>0+'táj.1.'!J108</f>
        <v>0</v>
      </c>
      <c r="K108" s="233">
        <f>0+'táj.1.'!K108</f>
        <v>0</v>
      </c>
      <c r="L108" s="233">
        <f>0+'táj.1.'!L108</f>
        <v>0</v>
      </c>
      <c r="M108" s="233">
        <f>0+'táj.1.'!M108</f>
        <v>0</v>
      </c>
      <c r="N108" s="233">
        <f>0+'táj.1.'!N108</f>
        <v>0</v>
      </c>
      <c r="O108" s="225">
        <f t="shared" si="7"/>
        <v>5000</v>
      </c>
    </row>
    <row r="109" spans="1:15" s="195" customFormat="1" ht="13.5" customHeight="1">
      <c r="A109" s="196"/>
      <c r="B109" s="196"/>
      <c r="C109" s="227" t="s">
        <v>137</v>
      </c>
      <c r="D109" s="571">
        <v>191901</v>
      </c>
      <c r="E109" s="233">
        <f>0+'táj.1.'!E109</f>
        <v>0</v>
      </c>
      <c r="F109" s="233">
        <f>0+'táj.1.'!F109</f>
        <v>0</v>
      </c>
      <c r="G109" s="233">
        <f>600000+'táj.1.'!G109</f>
        <v>600000</v>
      </c>
      <c r="H109" s="233">
        <f>0+'táj.1.'!H109</f>
        <v>0</v>
      </c>
      <c r="I109" s="233">
        <f>0+'táj.1.'!I109</f>
        <v>0</v>
      </c>
      <c r="J109" s="233">
        <f>0+'táj.1.'!J109</f>
        <v>0</v>
      </c>
      <c r="K109" s="233">
        <f>0+'táj.1.'!K109</f>
        <v>0</v>
      </c>
      <c r="L109" s="233">
        <f>0+'táj.1.'!L109</f>
        <v>0</v>
      </c>
      <c r="M109" s="233">
        <f>0+'táj.1.'!M109</f>
        <v>0</v>
      </c>
      <c r="N109" s="233">
        <f>0+'táj.1.'!N109</f>
        <v>0</v>
      </c>
      <c r="O109" s="225">
        <f t="shared" si="7"/>
        <v>600000</v>
      </c>
    </row>
    <row r="110" spans="1:15" s="195" customFormat="1" ht="26.25" customHeight="1">
      <c r="A110" s="196"/>
      <c r="B110" s="196"/>
      <c r="C110" s="533" t="s">
        <v>1007</v>
      </c>
      <c r="D110" s="574">
        <v>191128</v>
      </c>
      <c r="E110" s="233">
        <f>363+'táj.1.'!E110</f>
        <v>363</v>
      </c>
      <c r="F110" s="233">
        <f>'táj.1.'!F110</f>
        <v>0</v>
      </c>
      <c r="G110" s="233">
        <f>'táj.1.'!G110</f>
        <v>0</v>
      </c>
      <c r="H110" s="233">
        <f>'táj.1.'!H110</f>
        <v>0</v>
      </c>
      <c r="I110" s="233">
        <f>'táj.1.'!I110</f>
        <v>0</v>
      </c>
      <c r="J110" s="233">
        <f>'táj.1.'!J110</f>
        <v>0</v>
      </c>
      <c r="K110" s="233">
        <f>'táj.1.'!K110</f>
        <v>0</v>
      </c>
      <c r="L110" s="233">
        <f>'táj.1.'!L110</f>
        <v>0</v>
      </c>
      <c r="M110" s="233">
        <f>'táj.1.'!M110</f>
        <v>0</v>
      </c>
      <c r="N110" s="233">
        <f>'táj.1.'!N110</f>
        <v>0</v>
      </c>
      <c r="O110" s="225">
        <f t="shared" si="7"/>
        <v>363</v>
      </c>
    </row>
    <row r="111" spans="1:15" s="195" customFormat="1" ht="24.75" customHeight="1">
      <c r="A111" s="196"/>
      <c r="B111" s="196"/>
      <c r="C111" s="141" t="s">
        <v>138</v>
      </c>
      <c r="D111" s="586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25"/>
    </row>
    <row r="112" spans="1:15" s="195" customFormat="1" ht="33.75" customHeight="1">
      <c r="A112" s="196"/>
      <c r="B112" s="196"/>
      <c r="C112" s="162" t="s">
        <v>139</v>
      </c>
      <c r="D112" s="586">
        <v>191103</v>
      </c>
      <c r="E112" s="233">
        <f>16000+'táj.1.'!E112</f>
        <v>16000</v>
      </c>
      <c r="F112" s="233">
        <f>0+'táj.1.'!F112</f>
        <v>0</v>
      </c>
      <c r="G112" s="233">
        <f>0+'táj.1.'!G112</f>
        <v>0</v>
      </c>
      <c r="H112" s="233">
        <f>0+'táj.1.'!H112</f>
        <v>0</v>
      </c>
      <c r="I112" s="233">
        <f>0+'táj.1.'!I112</f>
        <v>0</v>
      </c>
      <c r="J112" s="233">
        <f>0+'táj.1.'!J112</f>
        <v>0</v>
      </c>
      <c r="K112" s="233">
        <f>0+'táj.1.'!K112</f>
        <v>0</v>
      </c>
      <c r="L112" s="233">
        <f>0+'táj.1.'!L112</f>
        <v>0</v>
      </c>
      <c r="M112" s="233">
        <f>0+'táj.1.'!M112</f>
        <v>0</v>
      </c>
      <c r="N112" s="233">
        <f>0+'táj.1.'!N112</f>
        <v>0</v>
      </c>
      <c r="O112" s="225">
        <f t="shared" si="7"/>
        <v>16000</v>
      </c>
    </row>
    <row r="113" spans="1:15" s="195" customFormat="1" ht="24.75" customHeight="1">
      <c r="A113" s="196"/>
      <c r="B113" s="196"/>
      <c r="C113" s="162" t="s">
        <v>140</v>
      </c>
      <c r="D113" s="586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25"/>
    </row>
    <row r="114" spans="1:15" s="195" customFormat="1" ht="24.75" customHeight="1">
      <c r="A114" s="196"/>
      <c r="B114" s="196"/>
      <c r="C114" s="215" t="s">
        <v>141</v>
      </c>
      <c r="D114" s="574">
        <v>191607</v>
      </c>
      <c r="E114" s="233">
        <f>11224+'táj.1.'!E114</f>
        <v>11224</v>
      </c>
      <c r="F114" s="233">
        <f>0+'táj.1.'!F114</f>
        <v>0</v>
      </c>
      <c r="G114" s="233">
        <f>0+'táj.1.'!G114</f>
        <v>0</v>
      </c>
      <c r="H114" s="233">
        <f>0+'táj.1.'!H114</f>
        <v>0</v>
      </c>
      <c r="I114" s="233">
        <f>0+'táj.1.'!I114</f>
        <v>0</v>
      </c>
      <c r="J114" s="233">
        <f>0+'táj.1.'!J114</f>
        <v>0</v>
      </c>
      <c r="K114" s="233">
        <f>0+'táj.1.'!K114</f>
        <v>0</v>
      </c>
      <c r="L114" s="233">
        <f>0+'táj.1.'!L114</f>
        <v>0</v>
      </c>
      <c r="M114" s="233">
        <f>0+'táj.1.'!M114</f>
        <v>0</v>
      </c>
      <c r="N114" s="233">
        <f>0+'táj.1.'!N114</f>
        <v>0</v>
      </c>
      <c r="O114" s="225">
        <f>SUM(E114:N114)</f>
        <v>11224</v>
      </c>
    </row>
    <row r="115" spans="1:15" s="195" customFormat="1" ht="15.75" customHeight="1">
      <c r="A115" s="265"/>
      <c r="B115" s="209"/>
      <c r="C115" s="247" t="s">
        <v>641</v>
      </c>
      <c r="D115" s="581"/>
      <c r="E115" s="211">
        <f>SUM(E91:E114)</f>
        <v>2273791</v>
      </c>
      <c r="F115" s="211">
        <f aca="true" t="shared" si="8" ref="F115:N115">SUM(F91:F114)</f>
        <v>0</v>
      </c>
      <c r="G115" s="211">
        <f t="shared" si="8"/>
        <v>4545000</v>
      </c>
      <c r="H115" s="211">
        <f t="shared" si="8"/>
        <v>234922</v>
      </c>
      <c r="I115" s="211">
        <f t="shared" si="8"/>
        <v>0</v>
      </c>
      <c r="J115" s="211">
        <f t="shared" si="8"/>
        <v>0</v>
      </c>
      <c r="K115" s="211">
        <f t="shared" si="8"/>
        <v>0</v>
      </c>
      <c r="L115" s="211">
        <f t="shared" si="8"/>
        <v>378018</v>
      </c>
      <c r="M115" s="211">
        <f t="shared" si="8"/>
        <v>1986107</v>
      </c>
      <c r="N115" s="211">
        <f t="shared" si="8"/>
        <v>0</v>
      </c>
      <c r="O115" s="211">
        <f>SUM(O90:O114)</f>
        <v>9417838</v>
      </c>
    </row>
    <row r="116" spans="1:15" s="195" customFormat="1" ht="27.75" customHeight="1">
      <c r="A116" s="207">
        <v>1</v>
      </c>
      <c r="B116" s="212">
        <v>21</v>
      </c>
      <c r="C116" s="143" t="s">
        <v>422</v>
      </c>
      <c r="D116" s="570"/>
      <c r="E116" s="266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</row>
    <row r="117" spans="1:15" s="195" customFormat="1" ht="15" customHeight="1">
      <c r="A117" s="265"/>
      <c r="B117" s="209"/>
      <c r="C117" s="267" t="s">
        <v>142</v>
      </c>
      <c r="D117" s="587"/>
      <c r="E117" s="268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>
        <f>SUM(E117:N117)</f>
        <v>0</v>
      </c>
    </row>
    <row r="118" spans="1:15" s="195" customFormat="1" ht="10.5" customHeight="1">
      <c r="A118" s="207">
        <v>1</v>
      </c>
      <c r="B118" s="212">
        <v>22</v>
      </c>
      <c r="C118" s="269" t="s">
        <v>66</v>
      </c>
      <c r="D118" s="58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</row>
    <row r="119" spans="1:15" s="195" customFormat="1" ht="24.75" customHeight="1">
      <c r="A119" s="207"/>
      <c r="B119" s="212"/>
      <c r="C119" s="205" t="s">
        <v>437</v>
      </c>
      <c r="D119" s="580"/>
      <c r="E119" s="258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</row>
    <row r="120" spans="1:15" s="195" customFormat="1" ht="15" customHeight="1">
      <c r="A120" s="207"/>
      <c r="B120" s="212"/>
      <c r="C120" s="270" t="s">
        <v>143</v>
      </c>
      <c r="D120" s="589">
        <v>221903</v>
      </c>
      <c r="E120" s="271">
        <f>8000+'táj.1.'!E120</f>
        <v>8000</v>
      </c>
      <c r="F120" s="271">
        <f>0+'táj.1.'!F120</f>
        <v>0</v>
      </c>
      <c r="G120" s="271">
        <f>0+'táj.1.'!G120</f>
        <v>0</v>
      </c>
      <c r="H120" s="271">
        <f>0+'táj.1.'!H120</f>
        <v>0</v>
      </c>
      <c r="I120" s="271">
        <f>0+'táj.1.'!I120</f>
        <v>0</v>
      </c>
      <c r="J120" s="271">
        <f>0+'táj.1.'!J120</f>
        <v>0</v>
      </c>
      <c r="K120" s="271">
        <f>0+'táj.1.'!K120</f>
        <v>0</v>
      </c>
      <c r="L120" s="271">
        <f>0+'táj.1.'!L120</f>
        <v>0</v>
      </c>
      <c r="M120" s="271">
        <f>0+'táj.1.'!M120</f>
        <v>0</v>
      </c>
      <c r="N120" s="271">
        <f>0+'táj.1.'!N120</f>
        <v>0</v>
      </c>
      <c r="O120" s="164">
        <f>SUM(E120:N120)</f>
        <v>8000</v>
      </c>
    </row>
    <row r="121" spans="1:15" s="195" customFormat="1" ht="12" customHeight="1">
      <c r="A121" s="265"/>
      <c r="B121" s="209"/>
      <c r="C121" s="247" t="s">
        <v>144</v>
      </c>
      <c r="D121" s="568"/>
      <c r="E121" s="211">
        <f>SUM(E118:E120)</f>
        <v>8000</v>
      </c>
      <c r="F121" s="211"/>
      <c r="G121" s="211">
        <f>SUM(G118:G120)</f>
        <v>0</v>
      </c>
      <c r="H121" s="211">
        <f>SUM(H118:H120)</f>
        <v>0</v>
      </c>
      <c r="I121" s="211"/>
      <c r="J121" s="211">
        <f>SUM(J118:J120)</f>
        <v>0</v>
      </c>
      <c r="K121" s="211">
        <f>SUM(K118:K120)</f>
        <v>0</v>
      </c>
      <c r="L121" s="211"/>
      <c r="M121" s="211"/>
      <c r="N121" s="211">
        <f>SUM(N118:N120)</f>
        <v>0</v>
      </c>
      <c r="O121" s="211">
        <f>SUM(O118:O120)</f>
        <v>8000</v>
      </c>
    </row>
    <row r="122" spans="1:15" s="195" customFormat="1" ht="24.75" customHeight="1">
      <c r="A122" s="209"/>
      <c r="B122" s="209"/>
      <c r="C122" s="272" t="s">
        <v>455</v>
      </c>
      <c r="D122" s="544"/>
      <c r="E122" s="211">
        <f aca="true" t="shared" si="9" ref="E122:O122">SUM(E8+E19+E36+E59+E81+E89+E115+E117+E121)</f>
        <v>3024076</v>
      </c>
      <c r="F122" s="211">
        <f t="shared" si="9"/>
        <v>3491467</v>
      </c>
      <c r="G122" s="211">
        <f t="shared" si="9"/>
        <v>4552000</v>
      </c>
      <c r="H122" s="211">
        <f t="shared" si="9"/>
        <v>1418305</v>
      </c>
      <c r="I122" s="211">
        <f t="shared" si="9"/>
        <v>144480</v>
      </c>
      <c r="J122" s="211">
        <f t="shared" si="9"/>
        <v>2000</v>
      </c>
      <c r="K122" s="211">
        <f t="shared" si="9"/>
        <v>320000</v>
      </c>
      <c r="L122" s="211">
        <f t="shared" si="9"/>
        <v>378018</v>
      </c>
      <c r="M122" s="211">
        <f t="shared" si="9"/>
        <v>2066107</v>
      </c>
      <c r="N122" s="211">
        <f t="shared" si="9"/>
        <v>148150</v>
      </c>
      <c r="O122" s="211">
        <f t="shared" si="9"/>
        <v>15544603</v>
      </c>
    </row>
    <row r="123" spans="1:15" s="195" customFormat="1" ht="15.75" customHeight="1" thickBot="1">
      <c r="A123" s="196">
        <v>2</v>
      </c>
      <c r="B123" s="196"/>
      <c r="C123" s="202" t="s">
        <v>483</v>
      </c>
      <c r="D123" s="181"/>
      <c r="E123" s="225">
        <f>294113+'táj.1.'!E123</f>
        <v>294113</v>
      </c>
      <c r="F123" s="225">
        <f>0+'táj.1.'!F123</f>
        <v>0</v>
      </c>
      <c r="G123" s="225">
        <f>0+'táj.1.'!G123</f>
        <v>0</v>
      </c>
      <c r="H123" s="225">
        <f>1108071+'táj.1.'!H123</f>
        <v>1108071</v>
      </c>
      <c r="I123" s="225">
        <f>0+'táj.1.'!I123</f>
        <v>0</v>
      </c>
      <c r="J123" s="225">
        <f>65000+'táj.1.'!J123</f>
        <v>65000</v>
      </c>
      <c r="K123" s="225">
        <f>0+'táj.1.'!K123</f>
        <v>0</v>
      </c>
      <c r="L123" s="225">
        <f>0+'táj.1.'!L123</f>
        <v>0</v>
      </c>
      <c r="M123" s="225">
        <f>387881+'táj.1.'!M123</f>
        <v>387881</v>
      </c>
      <c r="N123" s="225">
        <f>0+'táj.1.'!N123</f>
        <v>0</v>
      </c>
      <c r="O123" s="252">
        <f>SUM(E123:N123)</f>
        <v>1855065</v>
      </c>
    </row>
    <row r="124" spans="1:15" s="195" customFormat="1" ht="15.75" customHeight="1" thickBot="1">
      <c r="A124" s="209"/>
      <c r="B124" s="209"/>
      <c r="C124" s="274" t="s">
        <v>468</v>
      </c>
      <c r="D124" s="545"/>
      <c r="E124" s="211">
        <f>SUM(E122:E123)</f>
        <v>3318189</v>
      </c>
      <c r="F124" s="211">
        <f>SUM(F122:F123)</f>
        <v>3491467</v>
      </c>
      <c r="G124" s="211">
        <f aca="true" t="shared" si="10" ref="G124:O124">SUM(G122:G123)+G116</f>
        <v>4552000</v>
      </c>
      <c r="H124" s="211">
        <f t="shared" si="10"/>
        <v>2526376</v>
      </c>
      <c r="I124" s="211">
        <f t="shared" si="10"/>
        <v>144480</v>
      </c>
      <c r="J124" s="211">
        <f t="shared" si="10"/>
        <v>67000</v>
      </c>
      <c r="K124" s="211">
        <f t="shared" si="10"/>
        <v>320000</v>
      </c>
      <c r="L124" s="211">
        <f t="shared" si="10"/>
        <v>378018</v>
      </c>
      <c r="M124" s="211">
        <f t="shared" si="10"/>
        <v>2453988</v>
      </c>
      <c r="N124" s="211">
        <f t="shared" si="10"/>
        <v>148150</v>
      </c>
      <c r="O124" s="211">
        <f t="shared" si="10"/>
        <v>17399668</v>
      </c>
    </row>
    <row r="125" spans="1:16" s="195" customFormat="1" ht="18.75" customHeight="1">
      <c r="A125" s="275"/>
      <c r="B125" s="275"/>
      <c r="C125" s="275"/>
      <c r="D125" s="546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30"/>
    </row>
    <row r="126" spans="1:16" s="195" customFormat="1" ht="13.5" customHeight="1">
      <c r="A126" s="276"/>
      <c r="B126" s="276"/>
      <c r="C126" s="276"/>
      <c r="D126" s="547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30"/>
    </row>
    <row r="127" spans="1:15" ht="12.75">
      <c r="A127" s="276"/>
      <c r="B127" s="276"/>
      <c r="C127" s="276"/>
      <c r="D127" s="547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7"/>
    </row>
    <row r="128" spans="1:15" ht="12.75">
      <c r="A128" s="276"/>
      <c r="B128" s="276"/>
      <c r="C128" s="276"/>
      <c r="D128" s="547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</row>
    <row r="129" spans="1:15" ht="12.75">
      <c r="A129" s="276"/>
      <c r="B129" s="276"/>
      <c r="C129" s="276"/>
      <c r="D129" s="547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</row>
    <row r="130" spans="1:15" ht="12.75">
      <c r="A130" s="276"/>
      <c r="B130" s="276"/>
      <c r="C130" s="276"/>
      <c r="D130" s="547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ht="12.75">
      <c r="A131" s="276"/>
      <c r="B131" s="276"/>
      <c r="C131" s="276"/>
      <c r="D131" s="547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</row>
    <row r="132" spans="1:15" ht="12.75">
      <c r="A132" s="276"/>
      <c r="B132" s="276"/>
      <c r="C132" s="276"/>
      <c r="D132" s="547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</row>
    <row r="133" spans="1:15" ht="12.75">
      <c r="A133" s="276"/>
      <c r="B133" s="276"/>
      <c r="C133" s="276"/>
      <c r="D133" s="547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</row>
    <row r="134" spans="1:15" ht="12.75">
      <c r="A134" s="276"/>
      <c r="B134" s="276"/>
      <c r="C134" s="276"/>
      <c r="D134" s="547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</row>
    <row r="135" spans="1:15" ht="12.75">
      <c r="A135" s="276"/>
      <c r="B135" s="276"/>
      <c r="C135" s="276"/>
      <c r="D135" s="547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</row>
    <row r="136" spans="3:15" ht="12.75">
      <c r="C136" s="276"/>
      <c r="D136" s="547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</row>
    <row r="137" spans="3:15" ht="12.75">
      <c r="C137" s="276"/>
      <c r="D137" s="547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</row>
    <row r="138" spans="3:15" ht="12.75">
      <c r="C138" s="276"/>
      <c r="D138" s="547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3:15" ht="12.75">
      <c r="C139" s="276"/>
      <c r="D139" s="547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</row>
    <row r="140" spans="3:15" ht="12.75">
      <c r="C140" s="276"/>
      <c r="D140" s="547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</row>
    <row r="141" spans="3:15" ht="12.75">
      <c r="C141" s="276"/>
      <c r="D141" s="547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</row>
    <row r="142" spans="3:15" ht="12.75">
      <c r="C142" s="276"/>
      <c r="D142" s="547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</row>
    <row r="143" spans="3:15" ht="12.75">
      <c r="C143" s="276"/>
      <c r="D143" s="547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3:15" ht="12.75">
      <c r="C144" s="276"/>
      <c r="D144" s="547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</row>
    <row r="145" spans="3:15" ht="12.75">
      <c r="C145" s="276"/>
      <c r="D145" s="547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</row>
    <row r="146" spans="3:15" ht="12.75">
      <c r="C146" s="276"/>
      <c r="D146" s="547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3:15" ht="12.75">
      <c r="C147" s="276"/>
      <c r="D147" s="547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</row>
    <row r="148" spans="3:15" ht="12.75">
      <c r="C148" s="276"/>
      <c r="D148" s="547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</row>
    <row r="149" spans="3:15" ht="12.75">
      <c r="C149" s="276"/>
      <c r="D149" s="547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</row>
    <row r="150" spans="3:15" ht="12.75">
      <c r="C150" s="276"/>
      <c r="D150" s="547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</row>
    <row r="151" spans="3:15" ht="12.75">
      <c r="C151" s="276"/>
      <c r="D151" s="547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</row>
    <row r="152" spans="3:15" ht="12.75">
      <c r="C152" s="276"/>
      <c r="D152" s="547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dőlt"4.a melléklet
Adatok ezer Ft-ban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I18" sqref="I18:K18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9.50390625" style="31" customWidth="1"/>
    <col min="12" max="12" width="11.375" style="31" customWidth="1"/>
    <col min="13" max="13" width="12.625" style="31" customWidth="1"/>
    <col min="14" max="14" width="12.00390625" style="36" customWidth="1"/>
    <col min="15" max="16384" width="9.375" style="31" customWidth="1"/>
  </cols>
  <sheetData>
    <row r="1" spans="1:14" ht="12.75" customHeight="1">
      <c r="A1" s="723" t="s">
        <v>642</v>
      </c>
      <c r="B1" s="723" t="s">
        <v>643</v>
      </c>
      <c r="C1" s="723" t="s">
        <v>636</v>
      </c>
      <c r="D1" s="722" t="s">
        <v>656</v>
      </c>
      <c r="E1" s="722"/>
      <c r="F1" s="722"/>
      <c r="G1" s="722"/>
      <c r="H1" s="722"/>
      <c r="I1" s="722"/>
      <c r="J1" s="722"/>
      <c r="K1" s="722"/>
      <c r="L1" s="722" t="s">
        <v>659</v>
      </c>
      <c r="M1" s="722"/>
      <c r="N1" s="723" t="s">
        <v>577</v>
      </c>
    </row>
    <row r="2" spans="1:14" s="33" customFormat="1" ht="60" customHeight="1">
      <c r="A2" s="723"/>
      <c r="B2" s="723"/>
      <c r="C2" s="723"/>
      <c r="D2" s="96" t="s">
        <v>388</v>
      </c>
      <c r="E2" s="96" t="s">
        <v>67</v>
      </c>
      <c r="F2" s="96" t="s">
        <v>472</v>
      </c>
      <c r="G2" s="96" t="s">
        <v>657</v>
      </c>
      <c r="H2" s="96" t="s">
        <v>391</v>
      </c>
      <c r="I2" s="96" t="s">
        <v>395</v>
      </c>
      <c r="J2" s="96" t="s">
        <v>396</v>
      </c>
      <c r="K2" s="96" t="s">
        <v>68</v>
      </c>
      <c r="L2" s="96" t="s">
        <v>69</v>
      </c>
      <c r="M2" s="96" t="s">
        <v>367</v>
      </c>
      <c r="N2" s="723"/>
    </row>
    <row r="3" spans="1:14" s="33" customFormat="1" ht="15" customHeight="1">
      <c r="A3" s="2">
        <v>1</v>
      </c>
      <c r="B3" s="2"/>
      <c r="C3" s="173" t="s">
        <v>482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3" customFormat="1" ht="15" customHeight="1">
      <c r="A4" s="2">
        <v>1</v>
      </c>
      <c r="B4" s="2">
        <v>1</v>
      </c>
      <c r="C4" s="9" t="s">
        <v>404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34" customFormat="1" ht="24.75" customHeight="1">
      <c r="A5" s="5"/>
      <c r="B5" s="5">
        <v>12</v>
      </c>
      <c r="C5" s="176" t="s">
        <v>402</v>
      </c>
      <c r="D5" s="6">
        <f>5a!G42</f>
        <v>0</v>
      </c>
      <c r="E5" s="6">
        <f>5a!H42</f>
        <v>2700</v>
      </c>
      <c r="F5" s="6">
        <f>5a!I42</f>
        <v>21992</v>
      </c>
      <c r="G5" s="6">
        <f>5a!J42</f>
        <v>192280</v>
      </c>
      <c r="H5" s="6">
        <f>5a!K42</f>
        <v>2300</v>
      </c>
      <c r="I5" s="6">
        <f>5a!L42</f>
        <v>30000</v>
      </c>
      <c r="J5" s="6">
        <f>5a!M42</f>
        <v>0</v>
      </c>
      <c r="K5" s="6">
        <f>5a!N42</f>
        <v>42519</v>
      </c>
      <c r="L5" s="6">
        <f>5a!O42</f>
        <v>0</v>
      </c>
      <c r="M5" s="6">
        <f>5a!P42</f>
        <v>0</v>
      </c>
      <c r="N5" s="6">
        <f aca="true" t="shared" si="0" ref="N5:N15">SUM(D5:M5)</f>
        <v>291791</v>
      </c>
    </row>
    <row r="6" spans="1:14" s="34" customFormat="1" ht="13.5" customHeight="1">
      <c r="A6" s="5"/>
      <c r="B6" s="5">
        <v>13</v>
      </c>
      <c r="C6" s="173" t="s">
        <v>403</v>
      </c>
      <c r="D6" s="6">
        <f>5a!G196</f>
        <v>1470</v>
      </c>
      <c r="E6" s="6">
        <f>5a!H196</f>
        <v>405</v>
      </c>
      <c r="F6" s="6">
        <f>5a!I196</f>
        <v>89022</v>
      </c>
      <c r="G6" s="6">
        <f>5a!J196</f>
        <v>19674</v>
      </c>
      <c r="H6" s="6">
        <f>5a!K196</f>
        <v>506192</v>
      </c>
      <c r="I6" s="6">
        <f>5a!L196</f>
        <v>66705</v>
      </c>
      <c r="J6" s="6">
        <f>5a!M196</f>
        <v>63414</v>
      </c>
      <c r="K6" s="6">
        <f>5a!N196</f>
        <v>43965</v>
      </c>
      <c r="L6" s="6">
        <f>5a!O196</f>
        <v>0</v>
      </c>
      <c r="M6" s="6">
        <f>5a!P196</f>
        <v>0</v>
      </c>
      <c r="N6" s="6">
        <f t="shared" si="0"/>
        <v>790847</v>
      </c>
    </row>
    <row r="7" spans="1:14" s="34" customFormat="1" ht="13.5" customHeight="1">
      <c r="A7" s="5"/>
      <c r="B7" s="5">
        <v>14</v>
      </c>
      <c r="C7" s="173" t="s">
        <v>70</v>
      </c>
      <c r="D7" s="6">
        <f>5a!G212</f>
        <v>0</v>
      </c>
      <c r="E7" s="6">
        <f>5a!H212</f>
        <v>0</v>
      </c>
      <c r="F7" s="6">
        <f>5a!I212</f>
        <v>16003</v>
      </c>
      <c r="G7" s="6">
        <f>5a!J212</f>
        <v>0</v>
      </c>
      <c r="H7" s="6">
        <f>5a!K212</f>
        <v>0</v>
      </c>
      <c r="I7" s="6">
        <f>5a!L212</f>
        <v>1038780</v>
      </c>
      <c r="J7" s="6">
        <f>5a!M212</f>
        <v>0</v>
      </c>
      <c r="K7" s="6">
        <f>5a!N212</f>
        <v>574</v>
      </c>
      <c r="L7" s="6">
        <f>5a!O212</f>
        <v>0</v>
      </c>
      <c r="M7" s="6">
        <f>5a!P212</f>
        <v>0</v>
      </c>
      <c r="N7" s="6">
        <f t="shared" si="0"/>
        <v>1055357</v>
      </c>
    </row>
    <row r="8" spans="1:14" s="34" customFormat="1" ht="13.5" customHeight="1">
      <c r="A8" s="5"/>
      <c r="B8" s="5">
        <v>15</v>
      </c>
      <c r="C8" s="38" t="s">
        <v>638</v>
      </c>
      <c r="D8" s="6">
        <f>5a!G431</f>
        <v>1500</v>
      </c>
      <c r="E8" s="6">
        <f>5a!H431</f>
        <v>400</v>
      </c>
      <c r="F8" s="6">
        <f>5a!I431</f>
        <v>1334463</v>
      </c>
      <c r="G8" s="6">
        <f>5a!J431</f>
        <v>0</v>
      </c>
      <c r="H8" s="6">
        <f>5a!K431</f>
        <v>39093</v>
      </c>
      <c r="I8" s="6">
        <f>5a!L431</f>
        <v>217722</v>
      </c>
      <c r="J8" s="6">
        <f>5a!M431</f>
        <v>474954</v>
      </c>
      <c r="K8" s="6">
        <f>5a!N431</f>
        <v>644383</v>
      </c>
      <c r="L8" s="6">
        <f>5a!O431</f>
        <v>0</v>
      </c>
      <c r="M8" s="6">
        <f>5a!P431</f>
        <v>0</v>
      </c>
      <c r="N8" s="6">
        <f t="shared" si="0"/>
        <v>2712515</v>
      </c>
    </row>
    <row r="9" spans="1:14" s="34" customFormat="1" ht="13.5" customHeight="1">
      <c r="A9" s="5"/>
      <c r="B9" s="5">
        <v>16</v>
      </c>
      <c r="C9" s="38" t="s">
        <v>471</v>
      </c>
      <c r="D9" s="6">
        <f>5a!G526</f>
        <v>0</v>
      </c>
      <c r="E9" s="6">
        <f>5a!H526</f>
        <v>0</v>
      </c>
      <c r="F9" s="6">
        <f>5a!I526</f>
        <v>758337</v>
      </c>
      <c r="G9" s="6">
        <f>5a!J526</f>
        <v>0</v>
      </c>
      <c r="H9" s="6">
        <f>5a!K526</f>
        <v>0</v>
      </c>
      <c r="I9" s="6">
        <f>5a!L526</f>
        <v>3443416</v>
      </c>
      <c r="J9" s="6">
        <f>5a!M526</f>
        <v>85289</v>
      </c>
      <c r="K9" s="6">
        <f>5a!N526</f>
        <v>118714</v>
      </c>
      <c r="L9" s="6">
        <f>5a!O526</f>
        <v>0</v>
      </c>
      <c r="M9" s="6">
        <f>5a!P526</f>
        <v>0</v>
      </c>
      <c r="N9" s="6">
        <f t="shared" si="0"/>
        <v>4405756</v>
      </c>
    </row>
    <row r="10" spans="1:14" s="34" customFormat="1" ht="13.5" customHeight="1">
      <c r="A10" s="5"/>
      <c r="B10" s="5">
        <v>17</v>
      </c>
      <c r="C10" s="38" t="s">
        <v>639</v>
      </c>
      <c r="D10" s="6">
        <f>5a!G553</f>
        <v>0</v>
      </c>
      <c r="E10" s="6">
        <f>5a!H553</f>
        <v>0</v>
      </c>
      <c r="F10" s="6">
        <f>5a!I553</f>
        <v>34600</v>
      </c>
      <c r="G10" s="6">
        <f>5a!J553</f>
        <v>0</v>
      </c>
      <c r="H10" s="6">
        <f>5a!K553</f>
        <v>400</v>
      </c>
      <c r="I10" s="6">
        <f>5a!L553</f>
        <v>153061</v>
      </c>
      <c r="J10" s="6">
        <f>5a!M553</f>
        <v>373</v>
      </c>
      <c r="K10" s="6">
        <f>5a!N553</f>
        <v>22520</v>
      </c>
      <c r="L10" s="6">
        <f>5a!O553</f>
        <v>0</v>
      </c>
      <c r="M10" s="6">
        <f>5a!P553</f>
        <v>0</v>
      </c>
      <c r="N10" s="6">
        <f t="shared" si="0"/>
        <v>210954</v>
      </c>
    </row>
    <row r="11" spans="1:14" s="34" customFormat="1" ht="13.5" customHeight="1">
      <c r="A11" s="5"/>
      <c r="B11" s="5">
        <v>18</v>
      </c>
      <c r="C11" s="185" t="s">
        <v>545</v>
      </c>
      <c r="D11" s="6">
        <f>5a!G571</f>
        <v>0</v>
      </c>
      <c r="E11" s="6">
        <f>5a!H571</f>
        <v>0</v>
      </c>
      <c r="F11" s="6">
        <f>5a!I571</f>
        <v>42676</v>
      </c>
      <c r="G11" s="6">
        <f>5a!J571</f>
        <v>0</v>
      </c>
      <c r="H11" s="6">
        <f>5a!K571</f>
        <v>0</v>
      </c>
      <c r="I11" s="6">
        <f>5a!L571</f>
        <v>1200</v>
      </c>
      <c r="J11" s="6">
        <f>5a!M571</f>
        <v>0</v>
      </c>
      <c r="K11" s="6">
        <f>5a!N571</f>
        <v>0</v>
      </c>
      <c r="L11" s="6">
        <f>5a!O571</f>
        <v>0</v>
      </c>
      <c r="M11" s="6">
        <f>5a!P571</f>
        <v>0</v>
      </c>
      <c r="N11" s="6">
        <f t="shared" si="0"/>
        <v>43876</v>
      </c>
    </row>
    <row r="12" spans="1:14" s="34" customFormat="1" ht="13.5" customHeight="1">
      <c r="A12" s="5"/>
      <c r="B12" s="5">
        <v>19</v>
      </c>
      <c r="C12" s="37" t="s">
        <v>640</v>
      </c>
      <c r="D12" s="6">
        <f>5a!G605</f>
        <v>0</v>
      </c>
      <c r="E12" s="6">
        <f>5a!H605</f>
        <v>0</v>
      </c>
      <c r="F12" s="6">
        <f>5a!I605</f>
        <v>312112</v>
      </c>
      <c r="G12" s="6">
        <f>5a!J605</f>
        <v>0</v>
      </c>
      <c r="H12" s="6">
        <f>5a!K605</f>
        <v>615036</v>
      </c>
      <c r="I12" s="6">
        <f>5a!L605</f>
        <v>0</v>
      </c>
      <c r="J12" s="6">
        <f>5a!M605</f>
        <v>0</v>
      </c>
      <c r="K12" s="6">
        <f>5a!N605</f>
        <v>4600</v>
      </c>
      <c r="L12" s="6">
        <f>5a!O605</f>
        <v>0</v>
      </c>
      <c r="M12" s="6">
        <f>5a!P605</f>
        <v>0</v>
      </c>
      <c r="N12" s="6">
        <f t="shared" si="0"/>
        <v>931748</v>
      </c>
    </row>
    <row r="13" spans="1:14" s="34" customFormat="1" ht="12.75" customHeight="1">
      <c r="A13" s="5"/>
      <c r="B13" s="5">
        <v>20</v>
      </c>
      <c r="C13" s="37" t="s">
        <v>580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34" customFormat="1" ht="27" customHeight="1">
      <c r="A14" s="5"/>
      <c r="B14" s="5">
        <v>21</v>
      </c>
      <c r="C14" s="186" t="s">
        <v>71</v>
      </c>
      <c r="D14" s="6">
        <f>5a!G640</f>
        <v>100306</v>
      </c>
      <c r="E14" s="6">
        <f>5a!H640</f>
        <v>28640</v>
      </c>
      <c r="F14" s="6">
        <f>5a!I640</f>
        <v>124323</v>
      </c>
      <c r="G14" s="6">
        <f>5a!J640</f>
        <v>0</v>
      </c>
      <c r="H14" s="6">
        <f>5a!K640</f>
        <v>128033</v>
      </c>
      <c r="I14" s="6">
        <f>5a!L640</f>
        <v>0</v>
      </c>
      <c r="J14" s="6">
        <f>5a!M640</f>
        <v>0</v>
      </c>
      <c r="K14" s="6">
        <f>5a!N640</f>
        <v>10000</v>
      </c>
      <c r="L14" s="6">
        <f>5a!O640</f>
        <v>0</v>
      </c>
      <c r="M14" s="6">
        <f>5a!P640</f>
        <v>0</v>
      </c>
      <c r="N14" s="6">
        <f t="shared" si="0"/>
        <v>391302</v>
      </c>
    </row>
    <row r="15" spans="1:14" s="34" customFormat="1" ht="12.75" customHeight="1">
      <c r="A15" s="5"/>
      <c r="B15" s="5">
        <v>30</v>
      </c>
      <c r="C15" s="7" t="s">
        <v>519</v>
      </c>
      <c r="D15" s="6">
        <f>5a!G666</f>
        <v>0</v>
      </c>
      <c r="E15" s="6">
        <f>5a!H666</f>
        <v>0</v>
      </c>
      <c r="F15" s="6">
        <f>5a!I666</f>
        <v>0</v>
      </c>
      <c r="G15" s="6">
        <f>5a!J666</f>
        <v>0</v>
      </c>
      <c r="H15" s="6">
        <f>5a!K666</f>
        <v>286807</v>
      </c>
      <c r="I15" s="6">
        <f>5a!L666</f>
        <v>51490</v>
      </c>
      <c r="J15" s="6">
        <f>5a!M666</f>
        <v>10000</v>
      </c>
      <c r="K15" s="6">
        <f>5a!N666</f>
        <v>0</v>
      </c>
      <c r="L15" s="6">
        <f>5a!O666</f>
        <v>0</v>
      </c>
      <c r="M15" s="6">
        <f>5a!P666</f>
        <v>0</v>
      </c>
      <c r="N15" s="6">
        <f t="shared" si="0"/>
        <v>348297</v>
      </c>
    </row>
    <row r="16" spans="1:14" s="35" customFormat="1" ht="34.5" customHeight="1">
      <c r="A16" s="39"/>
      <c r="B16" s="39"/>
      <c r="C16" s="179" t="s">
        <v>440</v>
      </c>
      <c r="D16" s="10">
        <f>SUM(D3:D15)</f>
        <v>103276</v>
      </c>
      <c r="E16" s="10">
        <f>SUM(E3:E15)</f>
        <v>32145</v>
      </c>
      <c r="F16" s="10">
        <f aca="true" t="shared" si="1" ref="F16:N16">SUM(F5:F15)</f>
        <v>2733528</v>
      </c>
      <c r="G16" s="10">
        <f t="shared" si="1"/>
        <v>211954</v>
      </c>
      <c r="H16" s="10">
        <f t="shared" si="1"/>
        <v>1577861</v>
      </c>
      <c r="I16" s="10">
        <f t="shared" si="1"/>
        <v>5002374</v>
      </c>
      <c r="J16" s="10">
        <f t="shared" si="1"/>
        <v>634030</v>
      </c>
      <c r="K16" s="10">
        <f t="shared" si="1"/>
        <v>887275</v>
      </c>
      <c r="L16" s="10">
        <f t="shared" si="1"/>
        <v>0</v>
      </c>
      <c r="M16" s="10">
        <f t="shared" si="1"/>
        <v>0</v>
      </c>
      <c r="N16" s="10">
        <f t="shared" si="1"/>
        <v>11182443</v>
      </c>
    </row>
    <row r="17" spans="1:14" s="35" customFormat="1" ht="12.75" customHeight="1">
      <c r="A17" s="11">
        <v>2</v>
      </c>
      <c r="B17" s="11"/>
      <c r="C17" s="187" t="s">
        <v>483</v>
      </c>
      <c r="D17" s="9">
        <f>5a!G668</f>
        <v>2936372</v>
      </c>
      <c r="E17" s="9">
        <f>5a!H668</f>
        <v>822287</v>
      </c>
      <c r="F17" s="9">
        <f>5a!I668</f>
        <v>2337985</v>
      </c>
      <c r="G17" s="9">
        <f>5a!J668</f>
        <v>0</v>
      </c>
      <c r="H17" s="9">
        <f>5a!K668</f>
        <v>32414</v>
      </c>
      <c r="I17" s="9">
        <f>5a!L668</f>
        <v>54246</v>
      </c>
      <c r="J17" s="9">
        <f>5a!M668</f>
        <v>33921</v>
      </c>
      <c r="K17" s="9">
        <f>5a!N668</f>
        <v>0</v>
      </c>
      <c r="L17" s="9"/>
      <c r="M17" s="9">
        <f>5a!P668</f>
        <v>0</v>
      </c>
      <c r="N17" s="188">
        <f>SUM(D17:M17)</f>
        <v>6217225</v>
      </c>
    </row>
    <row r="18" spans="1:14" s="35" customFormat="1" ht="12.75" customHeight="1">
      <c r="A18" s="39"/>
      <c r="B18" s="39"/>
      <c r="C18" s="69" t="s">
        <v>468</v>
      </c>
      <c r="D18" s="10">
        <f aca="true" t="shared" si="2" ref="D18:N18">SUM(D16:D17)</f>
        <v>3039648</v>
      </c>
      <c r="E18" s="10">
        <f t="shared" si="2"/>
        <v>854432</v>
      </c>
      <c r="F18" s="10">
        <f t="shared" si="2"/>
        <v>5071513</v>
      </c>
      <c r="G18" s="10">
        <f t="shared" si="2"/>
        <v>211954</v>
      </c>
      <c r="H18" s="10">
        <f t="shared" si="2"/>
        <v>1610275</v>
      </c>
      <c r="I18" s="10">
        <f t="shared" si="2"/>
        <v>5056620</v>
      </c>
      <c r="J18" s="10">
        <f t="shared" si="2"/>
        <v>667951</v>
      </c>
      <c r="K18" s="10">
        <f t="shared" si="2"/>
        <v>887275</v>
      </c>
      <c r="L18" s="10">
        <f t="shared" si="2"/>
        <v>0</v>
      </c>
      <c r="M18" s="10">
        <f t="shared" si="2"/>
        <v>0</v>
      </c>
      <c r="N18" s="10">
        <f t="shared" si="2"/>
        <v>17399668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dőlt"5.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V675"/>
  <sheetViews>
    <sheetView zoomScale="108" zoomScaleNormal="108" zoomScaleSheetLayoutView="120" zoomScalePageLayoutView="0" workbookViewId="0" topLeftCell="C1">
      <pane ySplit="2" topLeftCell="A3" activePane="bottomLeft" state="frozen"/>
      <selection pane="topLeft" activeCell="A1" sqref="A1"/>
      <selection pane="bottomLeft" activeCell="F1" sqref="F1:F2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15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11.00390625" style="1" customWidth="1"/>
    <col min="19" max="16384" width="9.375" style="1" customWidth="1"/>
  </cols>
  <sheetData>
    <row r="1" spans="1:17" ht="36.75" customHeight="1" thickBot="1">
      <c r="A1" s="726" t="s">
        <v>642</v>
      </c>
      <c r="B1" s="726" t="s">
        <v>643</v>
      </c>
      <c r="C1" s="726" t="s">
        <v>1100</v>
      </c>
      <c r="D1" s="728" t="s">
        <v>636</v>
      </c>
      <c r="E1" s="730" t="s">
        <v>480</v>
      </c>
      <c r="F1" s="733" t="s">
        <v>364</v>
      </c>
      <c r="G1" s="732" t="s">
        <v>656</v>
      </c>
      <c r="H1" s="732"/>
      <c r="I1" s="732"/>
      <c r="J1" s="732"/>
      <c r="K1" s="732"/>
      <c r="L1" s="732"/>
      <c r="M1" s="732"/>
      <c r="N1" s="732"/>
      <c r="O1" s="724" t="s">
        <v>659</v>
      </c>
      <c r="P1" s="725"/>
      <c r="Q1" s="278" t="s">
        <v>637</v>
      </c>
    </row>
    <row r="2" spans="1:17" ht="57.75" customHeight="1" thickBot="1">
      <c r="A2" s="727"/>
      <c r="B2" s="727"/>
      <c r="C2" s="727"/>
      <c r="D2" s="729"/>
      <c r="E2" s="731"/>
      <c r="F2" s="733"/>
      <c r="G2" s="279" t="s">
        <v>388</v>
      </c>
      <c r="H2" s="95" t="s">
        <v>67</v>
      </c>
      <c r="I2" s="95" t="s">
        <v>472</v>
      </c>
      <c r="J2" s="95" t="s">
        <v>657</v>
      </c>
      <c r="K2" s="95" t="s">
        <v>391</v>
      </c>
      <c r="L2" s="95" t="s">
        <v>395</v>
      </c>
      <c r="M2" s="95" t="s">
        <v>396</v>
      </c>
      <c r="N2" s="95" t="s">
        <v>68</v>
      </c>
      <c r="O2" s="280" t="s">
        <v>69</v>
      </c>
      <c r="P2" s="281" t="s">
        <v>367</v>
      </c>
      <c r="Q2" s="282"/>
    </row>
    <row r="3" spans="1:17" ht="16.5" customHeight="1">
      <c r="A3" s="128">
        <v>1</v>
      </c>
      <c r="B3" s="2"/>
      <c r="C3" s="283"/>
      <c r="D3" s="3" t="s">
        <v>485</v>
      </c>
      <c r="E3" s="526"/>
      <c r="F3" s="23"/>
      <c r="G3" s="4"/>
      <c r="H3" s="4"/>
      <c r="I3" s="4"/>
      <c r="J3" s="4"/>
      <c r="K3" s="4"/>
      <c r="L3" s="4"/>
      <c r="M3" s="4"/>
      <c r="N3" s="4"/>
      <c r="O3" s="4"/>
      <c r="P3" s="4"/>
      <c r="Q3" s="284"/>
    </row>
    <row r="4" spans="1:17" ht="12.75" customHeight="1">
      <c r="A4" s="2">
        <v>1</v>
      </c>
      <c r="B4" s="2">
        <v>1</v>
      </c>
      <c r="C4" s="2"/>
      <c r="D4" s="3" t="s">
        <v>404</v>
      </c>
      <c r="E4" s="24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284"/>
    </row>
    <row r="5" spans="1:17" ht="12">
      <c r="A5" s="8">
        <v>1</v>
      </c>
      <c r="B5" s="8">
        <v>12</v>
      </c>
      <c r="C5" s="8"/>
      <c r="D5" s="285" t="s">
        <v>402</v>
      </c>
      <c r="E5" s="666"/>
      <c r="F5" s="1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9"/>
    </row>
    <row r="6" spans="1:17" ht="14.25" customHeight="1">
      <c r="A6" s="8"/>
      <c r="B6" s="8"/>
      <c r="C6" s="287"/>
      <c r="D6" s="156" t="s">
        <v>415</v>
      </c>
      <c r="E6" s="667"/>
      <c r="F6" s="23"/>
      <c r="G6" s="150"/>
      <c r="H6" s="150"/>
      <c r="I6" s="150"/>
      <c r="J6" s="150"/>
      <c r="K6" s="150"/>
      <c r="L6" s="289"/>
      <c r="M6" s="289"/>
      <c r="N6" s="289"/>
      <c r="O6" s="289"/>
      <c r="P6" s="289"/>
      <c r="Q6" s="9"/>
    </row>
    <row r="7" spans="1:19" ht="14.25" customHeight="1">
      <c r="A7" s="8"/>
      <c r="B7" s="8"/>
      <c r="C7" s="287"/>
      <c r="D7" s="156" t="s">
        <v>416</v>
      </c>
      <c r="E7" s="667">
        <v>1</v>
      </c>
      <c r="F7" s="23">
        <v>121101</v>
      </c>
      <c r="G7" s="150">
        <f>0+'táj.2.'!G7</f>
        <v>0</v>
      </c>
      <c r="H7" s="150">
        <f>0+'táj.2.'!H7</f>
        <v>0</v>
      </c>
      <c r="I7" s="150">
        <f>0+'táj.2.'!I7</f>
        <v>0</v>
      </c>
      <c r="J7" s="150">
        <f>14600+'táj.2.'!J7</f>
        <v>14600</v>
      </c>
      <c r="K7" s="150">
        <f>0+'táj.2.'!K7</f>
        <v>0</v>
      </c>
      <c r="L7" s="150">
        <f>0+'táj.2.'!L7</f>
        <v>0</v>
      </c>
      <c r="M7" s="150">
        <f>0+'táj.2.'!M7</f>
        <v>0</v>
      </c>
      <c r="N7" s="150">
        <f>0+'táj.2.'!N7</f>
        <v>0</v>
      </c>
      <c r="O7" s="150">
        <f>0+'táj.2.'!O7</f>
        <v>0</v>
      </c>
      <c r="P7" s="150">
        <f>0+'táj.2.'!P7</f>
        <v>0</v>
      </c>
      <c r="Q7" s="9">
        <f>SUM(G7:P7)</f>
        <v>14600</v>
      </c>
      <c r="R7" s="290"/>
      <c r="S7" s="290"/>
    </row>
    <row r="8" spans="1:19" ht="14.25" customHeight="1">
      <c r="A8" s="8"/>
      <c r="B8" s="8"/>
      <c r="C8" s="287"/>
      <c r="D8" s="12" t="s">
        <v>417</v>
      </c>
      <c r="E8" s="668">
        <v>1</v>
      </c>
      <c r="F8" s="23">
        <v>121102</v>
      </c>
      <c r="G8" s="150">
        <f>0+'táj.2.'!G8</f>
        <v>0</v>
      </c>
      <c r="H8" s="150">
        <f>0+'táj.2.'!H8</f>
        <v>0</v>
      </c>
      <c r="I8" s="150">
        <f>0+'táj.2.'!I8</f>
        <v>0</v>
      </c>
      <c r="J8" s="150">
        <f>45800+'táj.2.'!J8</f>
        <v>45800</v>
      </c>
      <c r="K8" s="150">
        <f>0+'táj.2.'!K8</f>
        <v>0</v>
      </c>
      <c r="L8" s="150">
        <f>0+'táj.2.'!L8</f>
        <v>0</v>
      </c>
      <c r="M8" s="150">
        <f>0+'táj.2.'!M8</f>
        <v>0</v>
      </c>
      <c r="N8" s="150">
        <f>0+'táj.2.'!N8</f>
        <v>0</v>
      </c>
      <c r="O8" s="150">
        <f>0+'táj.2.'!O8</f>
        <v>0</v>
      </c>
      <c r="P8" s="150">
        <f>0+'táj.2.'!P8</f>
        <v>0</v>
      </c>
      <c r="Q8" s="9">
        <f>SUM(G8:P8)</f>
        <v>45800</v>
      </c>
      <c r="R8" s="290"/>
      <c r="S8" s="290"/>
    </row>
    <row r="9" spans="1:18" ht="14.25" customHeight="1">
      <c r="A9" s="8"/>
      <c r="B9" s="8"/>
      <c r="C9" s="287"/>
      <c r="D9" s="12" t="s">
        <v>145</v>
      </c>
      <c r="E9" s="668">
        <v>2</v>
      </c>
      <c r="F9" s="23">
        <v>121103</v>
      </c>
      <c r="G9" s="150">
        <f>0+'táj.2.'!G9</f>
        <v>0</v>
      </c>
      <c r="H9" s="150">
        <f>0+'táj.2.'!H9</f>
        <v>0</v>
      </c>
      <c r="I9" s="150">
        <f>0+'táj.2.'!I9</f>
        <v>0</v>
      </c>
      <c r="J9" s="150">
        <f>15000+'táj.2.'!J9</f>
        <v>15000</v>
      </c>
      <c r="K9" s="150">
        <f>0+'táj.2.'!K9</f>
        <v>0</v>
      </c>
      <c r="L9" s="150">
        <f>0+'táj.2.'!L9</f>
        <v>0</v>
      </c>
      <c r="M9" s="150">
        <f>0+'táj.2.'!M9</f>
        <v>0</v>
      </c>
      <c r="N9" s="150">
        <f>0+'táj.2.'!N9</f>
        <v>0</v>
      </c>
      <c r="O9" s="150">
        <f>0+'táj.2.'!O9</f>
        <v>0</v>
      </c>
      <c r="P9" s="150">
        <f>0+'táj.2.'!P9</f>
        <v>0</v>
      </c>
      <c r="Q9" s="9">
        <f>SUM(G9:P9)</f>
        <v>15000</v>
      </c>
      <c r="R9" s="290"/>
    </row>
    <row r="10" spans="1:18" ht="14.25" customHeight="1">
      <c r="A10" s="8"/>
      <c r="B10" s="8"/>
      <c r="C10" s="287"/>
      <c r="D10" s="12" t="s">
        <v>5</v>
      </c>
      <c r="E10" s="668"/>
      <c r="F10" s="23"/>
      <c r="G10" s="150"/>
      <c r="H10" s="150"/>
      <c r="I10" s="150"/>
      <c r="J10" s="150"/>
      <c r="K10" s="150"/>
      <c r="L10" s="289"/>
      <c r="M10" s="289"/>
      <c r="N10" s="289"/>
      <c r="O10" s="289"/>
      <c r="P10" s="289"/>
      <c r="Q10" s="9"/>
      <c r="R10" s="290"/>
    </row>
    <row r="11" spans="1:19" ht="14.25" customHeight="1">
      <c r="A11" s="8"/>
      <c r="B11" s="8"/>
      <c r="C11" s="287"/>
      <c r="D11" s="12" t="s">
        <v>6</v>
      </c>
      <c r="E11" s="668">
        <v>1</v>
      </c>
      <c r="F11" s="23">
        <v>121104</v>
      </c>
      <c r="G11" s="150">
        <f>0+'táj.2.'!G11</f>
        <v>0</v>
      </c>
      <c r="H11" s="150">
        <f>0+'táj.2.'!H11</f>
        <v>0</v>
      </c>
      <c r="I11" s="150">
        <f>0+'táj.2.'!I11</f>
        <v>0</v>
      </c>
      <c r="J11" s="150">
        <f>23000+'táj.2.'!J11</f>
        <v>23000</v>
      </c>
      <c r="K11" s="150">
        <f>0+'táj.2.'!K11</f>
        <v>0</v>
      </c>
      <c r="L11" s="150">
        <f>0+'táj.2.'!L11</f>
        <v>0</v>
      </c>
      <c r="M11" s="150">
        <f>0+'táj.2.'!M11</f>
        <v>0</v>
      </c>
      <c r="N11" s="150">
        <f>0+'táj.2.'!N11</f>
        <v>0</v>
      </c>
      <c r="O11" s="150">
        <f>0+'táj.2.'!O11</f>
        <v>0</v>
      </c>
      <c r="P11" s="150">
        <f>0+'táj.2.'!P11</f>
        <v>0</v>
      </c>
      <c r="Q11" s="9">
        <f>SUM(G11:P11)</f>
        <v>23000</v>
      </c>
      <c r="S11" s="290"/>
    </row>
    <row r="12" spans="1:19" ht="14.25" customHeight="1">
      <c r="A12" s="8"/>
      <c r="B12" s="8"/>
      <c r="C12" s="287"/>
      <c r="D12" s="12" t="s">
        <v>146</v>
      </c>
      <c r="E12" s="668">
        <v>2</v>
      </c>
      <c r="F12" s="23">
        <v>121114</v>
      </c>
      <c r="G12" s="150">
        <f>0+'táj.2.'!G12</f>
        <v>0</v>
      </c>
      <c r="H12" s="150">
        <f>0+'táj.2.'!H12</f>
        <v>0</v>
      </c>
      <c r="I12" s="150">
        <f>0+'táj.2.'!I12</f>
        <v>0</v>
      </c>
      <c r="J12" s="150">
        <f>14000+'táj.2.'!J12</f>
        <v>14000</v>
      </c>
      <c r="K12" s="150">
        <f>0+'táj.2.'!K12</f>
        <v>0</v>
      </c>
      <c r="L12" s="150">
        <f>0+'táj.2.'!L12</f>
        <v>0</v>
      </c>
      <c r="M12" s="150">
        <f>0+'táj.2.'!M12</f>
        <v>0</v>
      </c>
      <c r="N12" s="150">
        <f>0+'táj.2.'!N12</f>
        <v>0</v>
      </c>
      <c r="O12" s="150">
        <f>0+'táj.2.'!O12</f>
        <v>0</v>
      </c>
      <c r="P12" s="150">
        <f>0+'táj.2.'!P12</f>
        <v>0</v>
      </c>
      <c r="Q12" s="9">
        <f>SUM(G12:P12)</f>
        <v>14000</v>
      </c>
      <c r="S12" s="290"/>
    </row>
    <row r="13" spans="1:19" ht="14.25" customHeight="1">
      <c r="A13" s="8"/>
      <c r="B13" s="8"/>
      <c r="C13" s="287"/>
      <c r="D13" s="12" t="s">
        <v>651</v>
      </c>
      <c r="E13" s="668"/>
      <c r="F13" s="23"/>
      <c r="G13" s="150"/>
      <c r="H13" s="150"/>
      <c r="I13" s="150"/>
      <c r="J13" s="150"/>
      <c r="K13" s="150"/>
      <c r="L13" s="289"/>
      <c r="M13" s="289"/>
      <c r="N13" s="289"/>
      <c r="O13" s="289"/>
      <c r="P13" s="289"/>
      <c r="Q13" s="9"/>
      <c r="S13" s="290"/>
    </row>
    <row r="14" spans="1:19" ht="14.25" customHeight="1">
      <c r="A14" s="8"/>
      <c r="B14" s="8"/>
      <c r="C14" s="287"/>
      <c r="D14" s="12" t="s">
        <v>435</v>
      </c>
      <c r="E14" s="668">
        <v>2</v>
      </c>
      <c r="F14" s="23">
        <v>121109</v>
      </c>
      <c r="G14" s="150">
        <f>0+'táj.2.'!G14</f>
        <v>0</v>
      </c>
      <c r="H14" s="150">
        <f>0+'táj.2.'!H14</f>
        <v>0</v>
      </c>
      <c r="I14" s="150">
        <f>0+'táj.2.'!I14</f>
        <v>0</v>
      </c>
      <c r="J14" s="150">
        <f>12000+'táj.2.'!J14</f>
        <v>12000</v>
      </c>
      <c r="K14" s="150">
        <f>0+'táj.2.'!K14</f>
        <v>0</v>
      </c>
      <c r="L14" s="150">
        <f>0+'táj.2.'!L14</f>
        <v>0</v>
      </c>
      <c r="M14" s="150">
        <f>0+'táj.2.'!M14</f>
        <v>0</v>
      </c>
      <c r="N14" s="150">
        <f>0+'táj.2.'!N14</f>
        <v>0</v>
      </c>
      <c r="O14" s="150">
        <f>0+'táj.2.'!O14</f>
        <v>0</v>
      </c>
      <c r="P14" s="150">
        <f>0+'táj.2.'!P14</f>
        <v>0</v>
      </c>
      <c r="Q14" s="9">
        <f>SUM(G14:P14)</f>
        <v>12000</v>
      </c>
      <c r="S14" s="290"/>
    </row>
    <row r="15" spans="1:19" ht="14.25" customHeight="1">
      <c r="A15" s="8"/>
      <c r="B15" s="8"/>
      <c r="C15" s="287"/>
      <c r="D15" s="12" t="s">
        <v>147</v>
      </c>
      <c r="E15" s="668">
        <v>2</v>
      </c>
      <c r="F15" s="23">
        <v>121110</v>
      </c>
      <c r="G15" s="150">
        <f>0+'táj.2.'!G15</f>
        <v>0</v>
      </c>
      <c r="H15" s="150">
        <f>0+'táj.2.'!H15</f>
        <v>0</v>
      </c>
      <c r="I15" s="150">
        <f>0+'táj.2.'!I15</f>
        <v>0</v>
      </c>
      <c r="J15" s="150">
        <f>2000+'táj.2.'!J15</f>
        <v>2000</v>
      </c>
      <c r="K15" s="150">
        <f>0+'táj.2.'!K15</f>
        <v>0</v>
      </c>
      <c r="L15" s="150">
        <f>0+'táj.2.'!L15</f>
        <v>0</v>
      </c>
      <c r="M15" s="150">
        <f>0+'táj.2.'!M15</f>
        <v>0</v>
      </c>
      <c r="N15" s="150">
        <f>0+'táj.2.'!N15</f>
        <v>0</v>
      </c>
      <c r="O15" s="150">
        <f>0+'táj.2.'!O15</f>
        <v>0</v>
      </c>
      <c r="P15" s="150">
        <f>0+'táj.2.'!P15</f>
        <v>0</v>
      </c>
      <c r="Q15" s="9">
        <f>SUM(G15:P15)</f>
        <v>2000</v>
      </c>
      <c r="S15" s="290"/>
    </row>
    <row r="16" spans="1:19" ht="14.25" customHeight="1">
      <c r="A16" s="8"/>
      <c r="B16" s="8"/>
      <c r="C16" s="287"/>
      <c r="D16" s="12" t="s">
        <v>148</v>
      </c>
      <c r="E16" s="668">
        <v>2</v>
      </c>
      <c r="F16" s="23">
        <v>121111</v>
      </c>
      <c r="G16" s="150">
        <f>0+'táj.2.'!G16</f>
        <v>0</v>
      </c>
      <c r="H16" s="150">
        <f>0+'táj.2.'!H16</f>
        <v>0</v>
      </c>
      <c r="I16" s="150">
        <f>0+'táj.2.'!I16</f>
        <v>0</v>
      </c>
      <c r="J16" s="150">
        <f>8500+'táj.2.'!J16</f>
        <v>8500</v>
      </c>
      <c r="K16" s="150">
        <f>0+'táj.2.'!K16</f>
        <v>0</v>
      </c>
      <c r="L16" s="150">
        <f>0+'táj.2.'!L16</f>
        <v>0</v>
      </c>
      <c r="M16" s="150">
        <f>0+'táj.2.'!M16</f>
        <v>0</v>
      </c>
      <c r="N16" s="150">
        <f>0+'táj.2.'!N16</f>
        <v>0</v>
      </c>
      <c r="O16" s="150">
        <f>0+'táj.2.'!O16</f>
        <v>0</v>
      </c>
      <c r="P16" s="150">
        <f>0+'táj.2.'!P16</f>
        <v>0</v>
      </c>
      <c r="Q16" s="9">
        <f>SUM(G16:P16)</f>
        <v>8500</v>
      </c>
      <c r="S16" s="290"/>
    </row>
    <row r="17" spans="1:19" ht="14.25" customHeight="1">
      <c r="A17" s="8"/>
      <c r="B17" s="8"/>
      <c r="C17" s="287"/>
      <c r="D17" s="12" t="s">
        <v>7</v>
      </c>
      <c r="E17" s="668"/>
      <c r="F17" s="23"/>
      <c r="G17" s="150"/>
      <c r="H17" s="150"/>
      <c r="I17" s="150"/>
      <c r="J17" s="150"/>
      <c r="K17" s="150"/>
      <c r="L17" s="289"/>
      <c r="M17" s="289"/>
      <c r="N17" s="289"/>
      <c r="O17" s="289"/>
      <c r="P17" s="289"/>
      <c r="Q17" s="9"/>
      <c r="S17" s="290"/>
    </row>
    <row r="18" spans="1:19" ht="14.25" customHeight="1">
      <c r="A18" s="8"/>
      <c r="B18" s="8"/>
      <c r="C18" s="287"/>
      <c r="D18" s="12" t="s">
        <v>149</v>
      </c>
      <c r="E18" s="668">
        <v>2</v>
      </c>
      <c r="F18" s="23">
        <v>121106</v>
      </c>
      <c r="G18" s="150">
        <f>0+'táj.2.'!G18</f>
        <v>0</v>
      </c>
      <c r="H18" s="150">
        <f>0+'táj.2.'!H18</f>
        <v>0</v>
      </c>
      <c r="I18" s="150">
        <f>0+'táj.2.'!I18</f>
        <v>0</v>
      </c>
      <c r="J18" s="150">
        <f>5380+'táj.2.'!J18</f>
        <v>5380</v>
      </c>
      <c r="K18" s="150">
        <f>0+'táj.2.'!K18</f>
        <v>0</v>
      </c>
      <c r="L18" s="150">
        <f>0+'táj.2.'!L18</f>
        <v>0</v>
      </c>
      <c r="M18" s="150">
        <f>0+'táj.2.'!M18</f>
        <v>0</v>
      </c>
      <c r="N18" s="150">
        <f>0+'táj.2.'!N18</f>
        <v>0</v>
      </c>
      <c r="O18" s="150">
        <f>0+'táj.2.'!O18</f>
        <v>0</v>
      </c>
      <c r="P18" s="150">
        <f>0+'táj.2.'!P18</f>
        <v>0</v>
      </c>
      <c r="Q18" s="9">
        <f>SUM(G18:P18)</f>
        <v>5380</v>
      </c>
      <c r="S18" s="290"/>
    </row>
    <row r="19" spans="1:19" ht="14.25" customHeight="1">
      <c r="A19" s="8"/>
      <c r="B19" s="8"/>
      <c r="C19" s="287"/>
      <c r="D19" s="12" t="s">
        <v>5</v>
      </c>
      <c r="E19" s="668"/>
      <c r="F19" s="23"/>
      <c r="G19" s="150"/>
      <c r="H19" s="150"/>
      <c r="I19" s="150"/>
      <c r="J19" s="150"/>
      <c r="K19" s="150"/>
      <c r="L19" s="289"/>
      <c r="M19" s="289"/>
      <c r="N19" s="289"/>
      <c r="O19" s="289"/>
      <c r="P19" s="289"/>
      <c r="Q19" s="9"/>
      <c r="S19" s="290"/>
    </row>
    <row r="20" spans="1:19" ht="14.25" customHeight="1">
      <c r="A20" s="8"/>
      <c r="B20" s="8"/>
      <c r="C20" s="287"/>
      <c r="D20" s="12" t="s">
        <v>8</v>
      </c>
      <c r="E20" s="668">
        <v>1</v>
      </c>
      <c r="F20" s="23">
        <v>121107</v>
      </c>
      <c r="G20" s="150">
        <f>0+'táj.2.'!G20</f>
        <v>0</v>
      </c>
      <c r="H20" s="150">
        <f>0+'táj.2.'!H20</f>
        <v>0</v>
      </c>
      <c r="I20" s="150">
        <f>0+'táj.2.'!I20</f>
        <v>0</v>
      </c>
      <c r="J20" s="150">
        <f>7000+'táj.2.'!J20</f>
        <v>7000</v>
      </c>
      <c r="K20" s="150">
        <f>0+'táj.2.'!K20</f>
        <v>0</v>
      </c>
      <c r="L20" s="150">
        <f>0+'táj.2.'!L20</f>
        <v>0</v>
      </c>
      <c r="M20" s="150">
        <f>0+'táj.2.'!M20</f>
        <v>0</v>
      </c>
      <c r="N20" s="150">
        <f>0+'táj.2.'!N20</f>
        <v>0</v>
      </c>
      <c r="O20" s="150">
        <f>0+'táj.2.'!O20</f>
        <v>0</v>
      </c>
      <c r="P20" s="150">
        <f>0+'táj.2.'!P20</f>
        <v>0</v>
      </c>
      <c r="Q20" s="9">
        <f>SUM(G20:P20)</f>
        <v>7000</v>
      </c>
      <c r="S20" s="290"/>
    </row>
    <row r="21" spans="1:19" ht="14.25" customHeight="1">
      <c r="A21" s="8"/>
      <c r="B21" s="8"/>
      <c r="C21" s="287"/>
      <c r="D21" s="12" t="s">
        <v>150</v>
      </c>
      <c r="E21" s="668">
        <v>2</v>
      </c>
      <c r="F21" s="23">
        <v>121108</v>
      </c>
      <c r="G21" s="150">
        <f>0+'táj.2.'!G21</f>
        <v>0</v>
      </c>
      <c r="H21" s="150">
        <f>0+'táj.2.'!H21</f>
        <v>0</v>
      </c>
      <c r="I21" s="150">
        <f>0+'táj.2.'!I21</f>
        <v>0</v>
      </c>
      <c r="J21" s="150">
        <f>1000+'táj.2.'!J21</f>
        <v>1000</v>
      </c>
      <c r="K21" s="150">
        <f>0+'táj.2.'!K21</f>
        <v>0</v>
      </c>
      <c r="L21" s="150">
        <f>0+'táj.2.'!L21</f>
        <v>0</v>
      </c>
      <c r="M21" s="150">
        <f>0+'táj.2.'!M21</f>
        <v>0</v>
      </c>
      <c r="N21" s="150">
        <f>0+'táj.2.'!N21</f>
        <v>0</v>
      </c>
      <c r="O21" s="150">
        <f>0+'táj.2.'!O21</f>
        <v>0</v>
      </c>
      <c r="P21" s="150">
        <f>0+'táj.2.'!P21</f>
        <v>0</v>
      </c>
      <c r="Q21" s="9">
        <f>SUM(G21:P21)</f>
        <v>1000</v>
      </c>
      <c r="S21" s="290"/>
    </row>
    <row r="22" spans="1:19" ht="14.25" customHeight="1">
      <c r="A22" s="8"/>
      <c r="B22" s="8"/>
      <c r="C22" s="287"/>
      <c r="D22" s="12" t="s">
        <v>651</v>
      </c>
      <c r="E22" s="668"/>
      <c r="F22" s="23"/>
      <c r="G22" s="150"/>
      <c r="H22" s="150"/>
      <c r="I22" s="150"/>
      <c r="J22" s="150"/>
      <c r="K22" s="150"/>
      <c r="L22" s="289"/>
      <c r="M22" s="289"/>
      <c r="N22" s="289"/>
      <c r="O22" s="289"/>
      <c r="P22" s="289"/>
      <c r="Q22" s="9"/>
      <c r="S22" s="290"/>
    </row>
    <row r="23" spans="1:19" ht="14.25" customHeight="1">
      <c r="A23" s="8"/>
      <c r="B23" s="8"/>
      <c r="C23" s="287"/>
      <c r="D23" s="12" t="s">
        <v>151</v>
      </c>
      <c r="E23" s="668">
        <v>1</v>
      </c>
      <c r="F23" s="23">
        <v>121204</v>
      </c>
      <c r="G23" s="150">
        <f>0+'táj.2.'!G23</f>
        <v>0</v>
      </c>
      <c r="H23" s="150">
        <f>0+'táj.2.'!H23</f>
        <v>0</v>
      </c>
      <c r="I23" s="150">
        <f>0+'táj.2.'!I23</f>
        <v>0</v>
      </c>
      <c r="J23" s="150">
        <f>24800+'táj.2.'!J23</f>
        <v>24800</v>
      </c>
      <c r="K23" s="150">
        <f>0+'táj.2.'!K23</f>
        <v>0</v>
      </c>
      <c r="L23" s="150">
        <f>0+'táj.2.'!L23</f>
        <v>0</v>
      </c>
      <c r="M23" s="150">
        <f>0+'táj.2.'!M23</f>
        <v>0</v>
      </c>
      <c r="N23" s="150">
        <f>0+'táj.2.'!N23</f>
        <v>0</v>
      </c>
      <c r="O23" s="150">
        <f>0+'táj.2.'!O23</f>
        <v>0</v>
      </c>
      <c r="P23" s="150">
        <f>0+'táj.2.'!P23</f>
        <v>0</v>
      </c>
      <c r="Q23" s="9">
        <f>SUM(G23:P23)</f>
        <v>24800</v>
      </c>
      <c r="S23" s="290"/>
    </row>
    <row r="24" spans="1:19" ht="14.25" customHeight="1">
      <c r="A24" s="8"/>
      <c r="B24" s="8"/>
      <c r="C24" s="287"/>
      <c r="D24" s="98" t="s">
        <v>978</v>
      </c>
      <c r="E24" s="668">
        <v>1</v>
      </c>
      <c r="F24" s="23">
        <v>121203</v>
      </c>
      <c r="G24" s="150">
        <f>0+'táj.2.'!G24</f>
        <v>0</v>
      </c>
      <c r="H24" s="150">
        <f>0+'táj.2.'!H24</f>
        <v>0</v>
      </c>
      <c r="I24" s="150">
        <f>0+'táj.2.'!I24</f>
        <v>0</v>
      </c>
      <c r="J24" s="150">
        <f>7200+'táj.2.'!J24</f>
        <v>7200</v>
      </c>
      <c r="K24" s="150">
        <f>0+'táj.2.'!K24</f>
        <v>0</v>
      </c>
      <c r="L24" s="150">
        <f>0+'táj.2.'!L24</f>
        <v>0</v>
      </c>
      <c r="M24" s="150">
        <f>0+'táj.2.'!M24</f>
        <v>0</v>
      </c>
      <c r="N24" s="150">
        <f>0+'táj.2.'!N24</f>
        <v>0</v>
      </c>
      <c r="O24" s="150">
        <f>0+'táj.2.'!O24</f>
        <v>0</v>
      </c>
      <c r="P24" s="150">
        <f>0+'táj.2.'!P24</f>
        <v>0</v>
      </c>
      <c r="Q24" s="9">
        <f>SUM(G24:P24)</f>
        <v>7200</v>
      </c>
      <c r="S24" s="290"/>
    </row>
    <row r="25" spans="1:19" ht="14.25" customHeight="1">
      <c r="A25" s="8"/>
      <c r="B25" s="8"/>
      <c r="C25" s="287"/>
      <c r="D25" s="16" t="s">
        <v>981</v>
      </c>
      <c r="E25" s="668"/>
      <c r="F25" s="23"/>
      <c r="G25" s="150"/>
      <c r="H25" s="15"/>
      <c r="I25" s="9"/>
      <c r="J25" s="9"/>
      <c r="K25" s="150"/>
      <c r="L25" s="292"/>
      <c r="M25" s="292"/>
      <c r="N25" s="292"/>
      <c r="O25" s="292"/>
      <c r="P25" s="293"/>
      <c r="Q25" s="9"/>
      <c r="S25" s="290"/>
    </row>
    <row r="26" spans="1:19" ht="14.25" customHeight="1">
      <c r="A26" s="8"/>
      <c r="B26" s="8"/>
      <c r="C26" s="287"/>
      <c r="D26" s="12" t="s">
        <v>152</v>
      </c>
      <c r="E26" s="668">
        <v>2</v>
      </c>
      <c r="F26" s="23">
        <v>121504</v>
      </c>
      <c r="G26" s="150">
        <f>0+'táj.2.'!G26</f>
        <v>0</v>
      </c>
      <c r="H26" s="150">
        <f>0+'táj.2.'!H26</f>
        <v>0</v>
      </c>
      <c r="I26" s="150">
        <f>0+'táj.2.'!I26</f>
        <v>0</v>
      </c>
      <c r="J26" s="150">
        <f>5500+'táj.2.'!J26</f>
        <v>5500</v>
      </c>
      <c r="K26" s="150">
        <f>0+'táj.2.'!K26</f>
        <v>0</v>
      </c>
      <c r="L26" s="150">
        <f>0+'táj.2.'!L26</f>
        <v>0</v>
      </c>
      <c r="M26" s="150">
        <f>0+'táj.2.'!M26</f>
        <v>0</v>
      </c>
      <c r="N26" s="150">
        <f>0+'táj.2.'!N26</f>
        <v>0</v>
      </c>
      <c r="O26" s="150">
        <f>0+'táj.2.'!O26</f>
        <v>0</v>
      </c>
      <c r="P26" s="150">
        <f>0+'táj.2.'!P26</f>
        <v>0</v>
      </c>
      <c r="Q26" s="9">
        <f>SUM(G26:P26)</f>
        <v>5500</v>
      </c>
      <c r="S26" s="290"/>
    </row>
    <row r="27" spans="1:19" ht="14.25" customHeight="1">
      <c r="A27" s="8"/>
      <c r="B27" s="8"/>
      <c r="C27" s="287"/>
      <c r="D27" s="12" t="s">
        <v>117</v>
      </c>
      <c r="E27" s="668"/>
      <c r="F27" s="23"/>
      <c r="G27" s="150"/>
      <c r="H27" s="9"/>
      <c r="I27" s="9"/>
      <c r="J27" s="292"/>
      <c r="K27" s="150"/>
      <c r="L27" s="292"/>
      <c r="M27" s="292"/>
      <c r="N27" s="292"/>
      <c r="O27" s="292"/>
      <c r="P27" s="293"/>
      <c r="Q27" s="9"/>
      <c r="S27" s="290"/>
    </row>
    <row r="28" spans="1:19" ht="12" customHeight="1">
      <c r="A28" s="13"/>
      <c r="B28" s="294"/>
      <c r="C28" s="295"/>
      <c r="D28" s="15" t="s">
        <v>153</v>
      </c>
      <c r="E28" s="668">
        <v>1</v>
      </c>
      <c r="F28" s="23">
        <v>121403</v>
      </c>
      <c r="G28" s="150">
        <f>0+'táj.2.'!G28</f>
        <v>0</v>
      </c>
      <c r="H28" s="150">
        <f>0+'táj.2.'!H28</f>
        <v>0</v>
      </c>
      <c r="I28" s="150">
        <f>90+'táj.2.'!I28</f>
        <v>90</v>
      </c>
      <c r="J28" s="150">
        <f>0+'táj.2.'!J28</f>
        <v>0</v>
      </c>
      <c r="K28" s="150">
        <f>0+'táj.2.'!K28</f>
        <v>0</v>
      </c>
      <c r="L28" s="150">
        <f>0+'táj.2.'!L28</f>
        <v>0</v>
      </c>
      <c r="M28" s="150">
        <f>0+'táj.2.'!M28</f>
        <v>0</v>
      </c>
      <c r="N28" s="150">
        <f>0+'táj.2.'!N28</f>
        <v>0</v>
      </c>
      <c r="O28" s="150">
        <f>0+'táj.2.'!O28</f>
        <v>0</v>
      </c>
      <c r="P28" s="150">
        <f>0+'táj.2.'!P28</f>
        <v>0</v>
      </c>
      <c r="Q28" s="9">
        <f>SUM(G28:P28)</f>
        <v>90</v>
      </c>
      <c r="S28" s="290"/>
    </row>
    <row r="29" spans="1:19" ht="12" customHeight="1">
      <c r="A29" s="13"/>
      <c r="B29" s="294"/>
      <c r="C29" s="295"/>
      <c r="D29" s="15" t="s">
        <v>154</v>
      </c>
      <c r="E29" s="16"/>
      <c r="F29" s="23"/>
      <c r="G29" s="150"/>
      <c r="H29" s="15"/>
      <c r="I29" s="15"/>
      <c r="J29" s="296"/>
      <c r="K29" s="15"/>
      <c r="L29" s="296"/>
      <c r="M29" s="296"/>
      <c r="N29" s="296"/>
      <c r="O29" s="296"/>
      <c r="P29" s="296"/>
      <c r="Q29" s="9"/>
      <c r="S29" s="290"/>
    </row>
    <row r="30" spans="1:19" ht="12" customHeight="1">
      <c r="A30" s="13"/>
      <c r="B30" s="13"/>
      <c r="C30" s="163"/>
      <c r="D30" s="16" t="s">
        <v>155</v>
      </c>
      <c r="E30" s="16">
        <v>1</v>
      </c>
      <c r="F30" s="23">
        <v>121301</v>
      </c>
      <c r="G30" s="150">
        <f>0+'táj.2.'!G30</f>
        <v>0</v>
      </c>
      <c r="H30" s="150">
        <f>0+'táj.2.'!H30</f>
        <v>0</v>
      </c>
      <c r="I30" s="150">
        <f>0+'táj.2.'!I30</f>
        <v>0</v>
      </c>
      <c r="J30" s="150">
        <f>0+'táj.2.'!J30</f>
        <v>0</v>
      </c>
      <c r="K30" s="150">
        <f>1800+'táj.2.'!K30</f>
        <v>1800</v>
      </c>
      <c r="L30" s="150">
        <f>0+'táj.2.'!L30</f>
        <v>0</v>
      </c>
      <c r="M30" s="150">
        <f>0+'táj.2.'!M30</f>
        <v>0</v>
      </c>
      <c r="N30" s="150">
        <f>0+'táj.2.'!N30</f>
        <v>0</v>
      </c>
      <c r="O30" s="150">
        <f>0+'táj.2.'!O30</f>
        <v>0</v>
      </c>
      <c r="P30" s="150">
        <f>0+'táj.2.'!P30</f>
        <v>0</v>
      </c>
      <c r="Q30" s="9">
        <f>SUM(G30:P30)</f>
        <v>1800</v>
      </c>
      <c r="S30" s="290"/>
    </row>
    <row r="31" spans="1:19" ht="12" customHeight="1">
      <c r="A31" s="13"/>
      <c r="B31" s="13"/>
      <c r="C31" s="163"/>
      <c r="D31" s="297" t="s">
        <v>437</v>
      </c>
      <c r="E31" s="668"/>
      <c r="F31" s="23"/>
      <c r="G31" s="150"/>
      <c r="H31" s="15"/>
      <c r="I31" s="15"/>
      <c r="J31" s="296"/>
      <c r="K31" s="15"/>
      <c r="L31" s="296"/>
      <c r="M31" s="296"/>
      <c r="N31" s="296"/>
      <c r="O31" s="296"/>
      <c r="P31" s="15"/>
      <c r="Q31" s="9"/>
      <c r="S31" s="290"/>
    </row>
    <row r="32" spans="1:19" ht="12" customHeight="1">
      <c r="A32" s="13"/>
      <c r="B32" s="13"/>
      <c r="C32" s="163"/>
      <c r="D32" s="101" t="s">
        <v>979</v>
      </c>
      <c r="E32" s="668">
        <v>2</v>
      </c>
      <c r="F32" s="23">
        <v>221902</v>
      </c>
      <c r="G32" s="150">
        <f>0+'táj.2.'!G32</f>
        <v>0</v>
      </c>
      <c r="H32" s="150">
        <f>0+'táj.2.'!H32</f>
        <v>0</v>
      </c>
      <c r="I32" s="150">
        <f>21202+'táj.2.'!I32</f>
        <v>21202</v>
      </c>
      <c r="J32" s="150">
        <f>0+'táj.2.'!J32</f>
        <v>0</v>
      </c>
      <c r="K32" s="150">
        <f>0+'táj.2.'!K32</f>
        <v>0</v>
      </c>
      <c r="L32" s="150">
        <f>0+'táj.2.'!L32</f>
        <v>0</v>
      </c>
      <c r="M32" s="150">
        <f>0+'táj.2.'!M32</f>
        <v>0</v>
      </c>
      <c r="N32" s="150">
        <f>0+'táj.2.'!N32</f>
        <v>0</v>
      </c>
      <c r="O32" s="150">
        <f>0+'táj.2.'!O32</f>
        <v>0</v>
      </c>
      <c r="P32" s="150">
        <f>0+'táj.2.'!P32</f>
        <v>0</v>
      </c>
      <c r="Q32" s="9">
        <f>SUM(G32:P32)</f>
        <v>21202</v>
      </c>
      <c r="S32" s="290"/>
    </row>
    <row r="33" spans="1:19" ht="12" customHeight="1">
      <c r="A33" s="13"/>
      <c r="B33" s="13"/>
      <c r="C33" s="163"/>
      <c r="D33" s="298" t="s">
        <v>414</v>
      </c>
      <c r="E33" s="668">
        <v>2</v>
      </c>
      <c r="F33" s="23" t="s">
        <v>1103</v>
      </c>
      <c r="G33" s="150">
        <f>0+'táj.2.'!G33</f>
        <v>0</v>
      </c>
      <c r="H33" s="150">
        <f>2700+'táj.2.'!H33</f>
        <v>2700</v>
      </c>
      <c r="I33" s="150">
        <f>300+'táj.2.'!I33</f>
        <v>300</v>
      </c>
      <c r="J33" s="150">
        <f>6500+'táj.2.'!J33</f>
        <v>6500</v>
      </c>
      <c r="K33" s="150">
        <f>0+'táj.2.'!K33</f>
        <v>0</v>
      </c>
      <c r="L33" s="150">
        <f>0+'táj.2.'!L33</f>
        <v>0</v>
      </c>
      <c r="M33" s="150">
        <f>0+'táj.2.'!M33</f>
        <v>0</v>
      </c>
      <c r="N33" s="150">
        <f>0+'táj.2.'!N33</f>
        <v>0</v>
      </c>
      <c r="O33" s="150">
        <f>0+'táj.2.'!O33</f>
        <v>0</v>
      </c>
      <c r="P33" s="150">
        <f>0+'táj.2.'!P33</f>
        <v>0</v>
      </c>
      <c r="Q33" s="9">
        <f>SUM(G33:P33)</f>
        <v>9500</v>
      </c>
      <c r="S33" s="290"/>
    </row>
    <row r="34" spans="1:19" ht="13.5" customHeight="1">
      <c r="A34" s="13"/>
      <c r="B34" s="13"/>
      <c r="C34" s="163"/>
      <c r="D34" s="299" t="s">
        <v>156</v>
      </c>
      <c r="E34" s="668"/>
      <c r="F34" s="23"/>
      <c r="G34" s="150"/>
      <c r="H34" s="25"/>
      <c r="I34" s="25"/>
      <c r="J34" s="25"/>
      <c r="K34" s="25"/>
      <c r="L34" s="25"/>
      <c r="M34" s="25"/>
      <c r="N34" s="25"/>
      <c r="O34" s="25"/>
      <c r="P34" s="25"/>
      <c r="Q34" s="9">
        <f>SUM(G34:P34)</f>
        <v>0</v>
      </c>
      <c r="S34" s="290"/>
    </row>
    <row r="35" spans="1:19" ht="13.5" customHeight="1">
      <c r="A35" s="13"/>
      <c r="B35" s="13"/>
      <c r="C35" s="163"/>
      <c r="D35" s="24" t="s">
        <v>157</v>
      </c>
      <c r="E35" s="668">
        <v>1</v>
      </c>
      <c r="F35" s="23">
        <v>121601</v>
      </c>
      <c r="G35" s="150">
        <f>0+'táj.2.'!G35</f>
        <v>0</v>
      </c>
      <c r="H35" s="150">
        <f>0+'táj.2.'!H35</f>
        <v>0</v>
      </c>
      <c r="I35" s="150">
        <f>400+'táj.2.'!I35</f>
        <v>400</v>
      </c>
      <c r="J35" s="150">
        <f>0+'táj.2.'!J35</f>
        <v>0</v>
      </c>
      <c r="K35" s="150">
        <f>500+'táj.2.'!K35</f>
        <v>500</v>
      </c>
      <c r="L35" s="150">
        <f>0+'táj.2.'!L35</f>
        <v>0</v>
      </c>
      <c r="M35" s="150">
        <f>0+'táj.2.'!M35</f>
        <v>0</v>
      </c>
      <c r="N35" s="150">
        <f>0+'táj.2.'!N35</f>
        <v>0</v>
      </c>
      <c r="O35" s="150">
        <f>0+'táj.2.'!O35</f>
        <v>0</v>
      </c>
      <c r="P35" s="150">
        <f>0+'táj.2.'!P35</f>
        <v>0</v>
      </c>
      <c r="Q35" s="25">
        <f>SUM(G35:P35)</f>
        <v>900</v>
      </c>
      <c r="S35" s="290"/>
    </row>
    <row r="36" spans="1:19" ht="13.5">
      <c r="A36" s="17"/>
      <c r="B36" s="17"/>
      <c r="C36" s="300"/>
      <c r="D36" s="18" t="s">
        <v>158</v>
      </c>
      <c r="E36" s="669"/>
      <c r="F36" s="17"/>
      <c r="G36" s="302">
        <f aca="true" t="shared" si="0" ref="G36:L36">SUM(G5:G35)</f>
        <v>0</v>
      </c>
      <c r="H36" s="302">
        <f t="shared" si="0"/>
        <v>2700</v>
      </c>
      <c r="I36" s="302">
        <f t="shared" si="0"/>
        <v>21992</v>
      </c>
      <c r="J36" s="302">
        <f t="shared" si="0"/>
        <v>192280</v>
      </c>
      <c r="K36" s="302">
        <f t="shared" si="0"/>
        <v>2300</v>
      </c>
      <c r="L36" s="302">
        <f t="shared" si="0"/>
        <v>0</v>
      </c>
      <c r="M36" s="302"/>
      <c r="N36" s="302">
        <f>SUM(N5:N35)</f>
        <v>0</v>
      </c>
      <c r="O36" s="302"/>
      <c r="P36" s="302">
        <f>SUM(P5:P35)</f>
        <v>0</v>
      </c>
      <c r="Q36" s="302">
        <f>SUM(Q5:Q35)</f>
        <v>219272</v>
      </c>
      <c r="S36" s="290"/>
    </row>
    <row r="37" spans="1:17" ht="12">
      <c r="A37" s="13"/>
      <c r="B37" s="13"/>
      <c r="C37" s="163"/>
      <c r="D37" s="16" t="s">
        <v>159</v>
      </c>
      <c r="E37" s="670"/>
      <c r="F37" s="13"/>
      <c r="G37" s="15"/>
      <c r="H37" s="15"/>
      <c r="I37" s="15"/>
      <c r="J37" s="15"/>
      <c r="K37" s="15"/>
      <c r="L37" s="15"/>
      <c r="M37" s="15"/>
      <c r="N37" s="20"/>
      <c r="O37" s="20"/>
      <c r="P37" s="20"/>
      <c r="Q37" s="15">
        <f>SUM(G37:P37)</f>
        <v>0</v>
      </c>
    </row>
    <row r="38" spans="1:17" ht="28.5" customHeight="1">
      <c r="A38" s="13"/>
      <c r="B38" s="13"/>
      <c r="C38" s="163" t="s">
        <v>592</v>
      </c>
      <c r="D38" s="303" t="s">
        <v>669</v>
      </c>
      <c r="E38" s="16"/>
      <c r="F38" s="13">
        <v>121401</v>
      </c>
      <c r="G38" s="15">
        <f>0+'táj.2.'!G38</f>
        <v>0</v>
      </c>
      <c r="H38" s="15">
        <f>0+'táj.2.'!H38</f>
        <v>0</v>
      </c>
      <c r="I38" s="15">
        <f>0+'táj.2.'!I38</f>
        <v>0</v>
      </c>
      <c r="J38" s="15">
        <f>0+'táj.2.'!J38</f>
        <v>0</v>
      </c>
      <c r="K38" s="15">
        <f>0+'táj.2.'!K38</f>
        <v>0</v>
      </c>
      <c r="L38" s="15">
        <f>0+'táj.2.'!L38</f>
        <v>0</v>
      </c>
      <c r="M38" s="15">
        <f>0+'táj.2.'!M38</f>
        <v>0</v>
      </c>
      <c r="N38" s="15">
        <f>20000+'táj.2.'!N38</f>
        <v>20000</v>
      </c>
      <c r="O38" s="15">
        <f>0+'táj.2.'!O38</f>
        <v>0</v>
      </c>
      <c r="P38" s="15">
        <f>0+'táj.2.'!P38</f>
        <v>0</v>
      </c>
      <c r="Q38" s="15">
        <f>SUM(G38:P38)</f>
        <v>20000</v>
      </c>
    </row>
    <row r="39" spans="1:17" ht="12">
      <c r="A39" s="13"/>
      <c r="B39" s="13"/>
      <c r="C39" s="163"/>
      <c r="D39" s="16" t="s">
        <v>160</v>
      </c>
      <c r="E39" s="16"/>
      <c r="F39" s="13"/>
      <c r="G39" s="15"/>
      <c r="H39" s="15"/>
      <c r="I39" s="15"/>
      <c r="J39" s="15"/>
      <c r="K39" s="15"/>
      <c r="L39" s="15"/>
      <c r="M39" s="15"/>
      <c r="N39" s="15"/>
      <c r="O39" s="20"/>
      <c r="P39" s="20"/>
      <c r="Q39" s="15"/>
    </row>
    <row r="40" spans="1:17" ht="24">
      <c r="A40" s="13"/>
      <c r="B40" s="13"/>
      <c r="C40" s="163" t="s">
        <v>492</v>
      </c>
      <c r="D40" s="102" t="s">
        <v>676</v>
      </c>
      <c r="E40" s="16"/>
      <c r="F40" s="13">
        <v>121402</v>
      </c>
      <c r="G40" s="15">
        <f>0+'táj.2.'!G40</f>
        <v>0</v>
      </c>
      <c r="H40" s="15">
        <f>0+'táj.2.'!H40</f>
        <v>0</v>
      </c>
      <c r="I40" s="15">
        <f>0+'táj.2.'!I40</f>
        <v>0</v>
      </c>
      <c r="J40" s="15">
        <f>0+'táj.2.'!J40</f>
        <v>0</v>
      </c>
      <c r="K40" s="15">
        <f>0+'táj.2.'!K40</f>
        <v>0</v>
      </c>
      <c r="L40" s="15">
        <f>0+'táj.2.'!L40</f>
        <v>0</v>
      </c>
      <c r="M40" s="15">
        <f>0+'táj.2.'!M40</f>
        <v>0</v>
      </c>
      <c r="N40" s="15">
        <f>22519+'táj.2.'!N40</f>
        <v>22519</v>
      </c>
      <c r="O40" s="15">
        <f>0+'táj.2.'!O40</f>
        <v>0</v>
      </c>
      <c r="P40" s="15">
        <f>0+'táj.2.'!P40</f>
        <v>0</v>
      </c>
      <c r="Q40" s="15">
        <f>SUM(G40:P40)</f>
        <v>22519</v>
      </c>
    </row>
    <row r="41" spans="1:17" ht="24">
      <c r="A41" s="13"/>
      <c r="B41" s="13"/>
      <c r="C41" s="163" t="s">
        <v>520</v>
      </c>
      <c r="D41" s="520" t="s">
        <v>491</v>
      </c>
      <c r="E41" s="16"/>
      <c r="F41" s="13">
        <v>121404</v>
      </c>
      <c r="G41" s="15">
        <f>0+'táj.2.'!G41</f>
        <v>0</v>
      </c>
      <c r="H41" s="15">
        <f>0+'táj.2.'!H41</f>
        <v>0</v>
      </c>
      <c r="I41" s="15">
        <f>0+'táj.2.'!I41</f>
        <v>0</v>
      </c>
      <c r="J41" s="15">
        <f>0+'táj.2.'!J41</f>
        <v>0</v>
      </c>
      <c r="K41" s="15">
        <f>0+'táj.2.'!K41</f>
        <v>0</v>
      </c>
      <c r="L41" s="15">
        <f>30000+'táj.2.'!L41</f>
        <v>30000</v>
      </c>
      <c r="M41" s="15">
        <f>0+'táj.2.'!M41</f>
        <v>0</v>
      </c>
      <c r="N41" s="15">
        <f>0+'táj.2.'!N41</f>
        <v>0</v>
      </c>
      <c r="O41" s="15">
        <f>0+'táj.2.'!O41</f>
        <v>0</v>
      </c>
      <c r="P41" s="15">
        <f>0+'táj.2.'!P41</f>
        <v>0</v>
      </c>
      <c r="Q41" s="15">
        <f>SUM(G41:P41)</f>
        <v>30000</v>
      </c>
    </row>
    <row r="42" spans="1:17" ht="13.5">
      <c r="A42" s="17"/>
      <c r="B42" s="17"/>
      <c r="C42" s="300"/>
      <c r="D42" s="18" t="s">
        <v>444</v>
      </c>
      <c r="E42" s="669"/>
      <c r="F42" s="17"/>
      <c r="G42" s="210">
        <f aca="true" t="shared" si="1" ref="G42:N42">SUM(G36:G41)</f>
        <v>0</v>
      </c>
      <c r="H42" s="210">
        <f t="shared" si="1"/>
        <v>2700</v>
      </c>
      <c r="I42" s="210">
        <f t="shared" si="1"/>
        <v>21992</v>
      </c>
      <c r="J42" s="210">
        <f t="shared" si="1"/>
        <v>192280</v>
      </c>
      <c r="K42" s="210">
        <f t="shared" si="1"/>
        <v>2300</v>
      </c>
      <c r="L42" s="210">
        <f t="shared" si="1"/>
        <v>30000</v>
      </c>
      <c r="M42" s="210">
        <f t="shared" si="1"/>
        <v>0</v>
      </c>
      <c r="N42" s="210">
        <f t="shared" si="1"/>
        <v>42519</v>
      </c>
      <c r="O42" s="210"/>
      <c r="P42" s="210">
        <f>SUM(P36:P41)</f>
        <v>0</v>
      </c>
      <c r="Q42" s="210">
        <f>SUM(Q36:Q41)</f>
        <v>291791</v>
      </c>
    </row>
    <row r="43" spans="1:17" ht="12">
      <c r="A43" s="13">
        <v>1</v>
      </c>
      <c r="B43" s="13">
        <v>13</v>
      </c>
      <c r="C43" s="13"/>
      <c r="D43" s="285" t="s">
        <v>403</v>
      </c>
      <c r="E43" s="21" t="s">
        <v>161</v>
      </c>
      <c r="F43" s="14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">
      <c r="A44" s="13"/>
      <c r="B44" s="13"/>
      <c r="C44" s="163"/>
      <c r="D44" s="304" t="s">
        <v>478</v>
      </c>
      <c r="E44" s="21"/>
      <c r="F44" s="14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">
      <c r="A45" s="13"/>
      <c r="B45" s="13"/>
      <c r="C45" s="163"/>
      <c r="D45" s="98" t="s">
        <v>438</v>
      </c>
      <c r="E45" s="668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customHeight="1">
      <c r="A46" s="13"/>
      <c r="B46" s="13"/>
      <c r="C46" s="163"/>
      <c r="D46" s="16" t="s">
        <v>162</v>
      </c>
      <c r="E46" s="16">
        <v>2</v>
      </c>
      <c r="F46" s="13">
        <v>131112</v>
      </c>
      <c r="G46" s="15">
        <f>0+'táj.2.'!G46</f>
        <v>0</v>
      </c>
      <c r="H46" s="15">
        <f>0+'táj.2.'!H46</f>
        <v>0</v>
      </c>
      <c r="I46" s="15">
        <f>0+'táj.2.'!I46</f>
        <v>0</v>
      </c>
      <c r="J46" s="15">
        <f>4074+'táj.2.'!J46</f>
        <v>4074</v>
      </c>
      <c r="K46" s="15">
        <f>0+'táj.2.'!K46</f>
        <v>0</v>
      </c>
      <c r="L46" s="15">
        <f>0+'táj.2.'!L46</f>
        <v>0</v>
      </c>
      <c r="M46" s="15">
        <f>0+'táj.2.'!M46</f>
        <v>0</v>
      </c>
      <c r="N46" s="15">
        <f>0+'táj.2.'!N46</f>
        <v>0</v>
      </c>
      <c r="O46" s="15">
        <f>0+'táj.2.'!O46</f>
        <v>0</v>
      </c>
      <c r="P46" s="15">
        <f>0+'táj.2.'!P46</f>
        <v>0</v>
      </c>
      <c r="Q46" s="15">
        <f>SUM(G46:P46)</f>
        <v>4074</v>
      </c>
    </row>
    <row r="47" spans="1:17" ht="15" customHeight="1">
      <c r="A47" s="13"/>
      <c r="B47" s="13"/>
      <c r="C47" s="163"/>
      <c r="D47" s="162" t="s">
        <v>980</v>
      </c>
      <c r="E47" s="16">
        <v>2</v>
      </c>
      <c r="F47" s="13">
        <v>131123</v>
      </c>
      <c r="G47" s="15">
        <f>0+'táj.2.'!G47</f>
        <v>0</v>
      </c>
      <c r="H47" s="15">
        <f>0+'táj.2.'!H47</f>
        <v>0</v>
      </c>
      <c r="I47" s="15">
        <f>0+'táj.2.'!I47</f>
        <v>0</v>
      </c>
      <c r="J47" s="15">
        <f>0+'táj.2.'!J47</f>
        <v>0</v>
      </c>
      <c r="K47" s="15">
        <f>4500+'táj.2.'!K47</f>
        <v>4500</v>
      </c>
      <c r="L47" s="15">
        <f>0+'táj.2.'!L47</f>
        <v>0</v>
      </c>
      <c r="M47" s="15">
        <f>0+'táj.2.'!M47</f>
        <v>0</v>
      </c>
      <c r="N47" s="15">
        <f>0+'táj.2.'!N47</f>
        <v>0</v>
      </c>
      <c r="O47" s="15">
        <f>0+'táj.2.'!O47</f>
        <v>0</v>
      </c>
      <c r="P47" s="15">
        <f>0+'táj.2.'!P47</f>
        <v>0</v>
      </c>
      <c r="Q47" s="15">
        <f>SUM(G47:P47)</f>
        <v>4500</v>
      </c>
    </row>
    <row r="48" spans="1:17" ht="15" customHeight="1">
      <c r="A48" s="13"/>
      <c r="B48" s="13"/>
      <c r="C48" s="163"/>
      <c r="D48" s="162" t="s">
        <v>163</v>
      </c>
      <c r="E48" s="16">
        <v>2</v>
      </c>
      <c r="F48" s="13">
        <v>131122</v>
      </c>
      <c r="G48" s="15">
        <f>750+'táj.2.'!G48</f>
        <v>750</v>
      </c>
      <c r="H48" s="15">
        <f>203+'táj.2.'!H48</f>
        <v>203</v>
      </c>
      <c r="I48" s="15">
        <f>297+'táj.2.'!I48</f>
        <v>297</v>
      </c>
      <c r="J48" s="15">
        <f>0+'táj.2.'!J48</f>
        <v>0</v>
      </c>
      <c r="K48" s="15">
        <f>250+'táj.2.'!K48</f>
        <v>250</v>
      </c>
      <c r="L48" s="15">
        <f>0+'táj.2.'!L48</f>
        <v>0</v>
      </c>
      <c r="M48" s="15">
        <f>0+'táj.2.'!M48</f>
        <v>0</v>
      </c>
      <c r="N48" s="15">
        <f>0+'táj.2.'!N48</f>
        <v>0</v>
      </c>
      <c r="O48" s="15">
        <f>0+'táj.2.'!O48</f>
        <v>0</v>
      </c>
      <c r="P48" s="15">
        <f>0+'táj.2.'!P48</f>
        <v>0</v>
      </c>
      <c r="Q48" s="15">
        <f>SUM(G48:P48)</f>
        <v>1500</v>
      </c>
    </row>
    <row r="49" spans="1:17" ht="22.5" customHeight="1">
      <c r="A49" s="13"/>
      <c r="B49" s="13"/>
      <c r="C49" s="163"/>
      <c r="D49" s="162" t="s">
        <v>164</v>
      </c>
      <c r="E49" s="16"/>
      <c r="F49" s="1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24.75" customHeight="1">
      <c r="A50" s="13"/>
      <c r="B50" s="13"/>
      <c r="C50" s="163"/>
      <c r="D50" s="162" t="s">
        <v>165</v>
      </c>
      <c r="E50" s="16">
        <v>2</v>
      </c>
      <c r="F50" s="13">
        <v>131110</v>
      </c>
      <c r="G50" s="15">
        <f>0+'táj.2.'!G50</f>
        <v>0</v>
      </c>
      <c r="H50" s="15">
        <f>0+'táj.2.'!H50</f>
        <v>0</v>
      </c>
      <c r="I50" s="15">
        <f>0+'táj.2.'!I50</f>
        <v>0</v>
      </c>
      <c r="J50" s="15">
        <f>0+'táj.2.'!J50</f>
        <v>0</v>
      </c>
      <c r="K50" s="15">
        <f>4500+'táj.2.'!K50</f>
        <v>4500</v>
      </c>
      <c r="L50" s="15">
        <f>0+'táj.2.'!L50</f>
        <v>0</v>
      </c>
      <c r="M50" s="15">
        <f>0+'táj.2.'!M50</f>
        <v>0</v>
      </c>
      <c r="N50" s="15">
        <f>0+'táj.2.'!N50</f>
        <v>0</v>
      </c>
      <c r="O50" s="15">
        <f>0+'táj.2.'!O50</f>
        <v>0</v>
      </c>
      <c r="P50" s="15">
        <f>0+'táj.2.'!P50</f>
        <v>0</v>
      </c>
      <c r="Q50" s="15">
        <f>SUM(G50:P50)</f>
        <v>4500</v>
      </c>
    </row>
    <row r="51" spans="1:17" ht="12" customHeight="1">
      <c r="A51" s="13"/>
      <c r="B51" s="13"/>
      <c r="C51" s="163"/>
      <c r="D51" s="162" t="s">
        <v>438</v>
      </c>
      <c r="E51" s="16"/>
      <c r="F51" s="13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 customHeight="1">
      <c r="A52" s="13"/>
      <c r="B52" s="13"/>
      <c r="C52" s="163"/>
      <c r="D52" s="24" t="s">
        <v>166</v>
      </c>
      <c r="E52" s="16">
        <v>2</v>
      </c>
      <c r="F52" s="13">
        <v>131107</v>
      </c>
      <c r="G52" s="15">
        <f>0+'táj.2.'!G52</f>
        <v>0</v>
      </c>
      <c r="H52" s="15">
        <f>0+'táj.2.'!H52</f>
        <v>0</v>
      </c>
      <c r="I52" s="15">
        <f>0+'táj.2.'!I52</f>
        <v>0</v>
      </c>
      <c r="J52" s="15">
        <f>0+'táj.2.'!J52</f>
        <v>0</v>
      </c>
      <c r="K52" s="15">
        <f>72000+'táj.2.'!K52</f>
        <v>72000</v>
      </c>
      <c r="L52" s="15">
        <f>0+'táj.2.'!L52</f>
        <v>0</v>
      </c>
      <c r="M52" s="15">
        <f>0+'táj.2.'!M52</f>
        <v>0</v>
      </c>
      <c r="N52" s="15">
        <f>0+'táj.2.'!N52</f>
        <v>0</v>
      </c>
      <c r="O52" s="15">
        <f>0+'táj.2.'!O52</f>
        <v>0</v>
      </c>
      <c r="P52" s="15">
        <f>0+'táj.2.'!P52</f>
        <v>0</v>
      </c>
      <c r="Q52" s="25">
        <f>SUM(G52:P52)</f>
        <v>72000</v>
      </c>
    </row>
    <row r="53" spans="1:17" ht="14.25" customHeight="1">
      <c r="A53" s="13"/>
      <c r="B53" s="13"/>
      <c r="C53" s="163"/>
      <c r="D53" s="24" t="s">
        <v>981</v>
      </c>
      <c r="E53" s="16"/>
      <c r="F53" s="13"/>
      <c r="G53" s="1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4.75" customHeight="1">
      <c r="A54" s="13"/>
      <c r="B54" s="13"/>
      <c r="C54" s="163"/>
      <c r="D54" s="160" t="s">
        <v>167</v>
      </c>
      <c r="E54" s="16">
        <v>2</v>
      </c>
      <c r="F54" s="13">
        <v>131115</v>
      </c>
      <c r="G54" s="15">
        <f>0+'táj.2.'!G54</f>
        <v>0</v>
      </c>
      <c r="H54" s="15">
        <f>0+'táj.2.'!H54</f>
        <v>0</v>
      </c>
      <c r="I54" s="15">
        <f>0+'táj.2.'!I54</f>
        <v>0</v>
      </c>
      <c r="J54" s="15">
        <f>0+'táj.2.'!J54</f>
        <v>0</v>
      </c>
      <c r="K54" s="15">
        <f>1687+'táj.2.'!K54</f>
        <v>1687</v>
      </c>
      <c r="L54" s="15">
        <f>0+'táj.2.'!L54</f>
        <v>0</v>
      </c>
      <c r="M54" s="15">
        <f>0+'táj.2.'!M54</f>
        <v>0</v>
      </c>
      <c r="N54" s="15">
        <f>0+'táj.2.'!N54</f>
        <v>0</v>
      </c>
      <c r="O54" s="15">
        <f>0+'táj.2.'!O54</f>
        <v>0</v>
      </c>
      <c r="P54" s="15">
        <f>0+'táj.2.'!P54</f>
        <v>0</v>
      </c>
      <c r="Q54" s="25">
        <f>SUM(G54:P54)</f>
        <v>1687</v>
      </c>
    </row>
    <row r="55" spans="1:17" ht="15" customHeight="1">
      <c r="A55" s="13"/>
      <c r="B55" s="13"/>
      <c r="C55" s="163"/>
      <c r="D55" s="305" t="s">
        <v>479</v>
      </c>
      <c r="E55" s="671"/>
      <c r="F55" s="593"/>
      <c r="G55" s="15"/>
      <c r="H55" s="25"/>
      <c r="I55" s="25"/>
      <c r="J55" s="15"/>
      <c r="K55" s="15"/>
      <c r="L55" s="25"/>
      <c r="M55" s="25"/>
      <c r="N55" s="25"/>
      <c r="O55" s="25"/>
      <c r="P55" s="25"/>
      <c r="Q55" s="25"/>
    </row>
    <row r="56" spans="1:17" ht="24.75" customHeight="1">
      <c r="A56" s="13"/>
      <c r="B56" s="13"/>
      <c r="C56" s="163"/>
      <c r="D56" s="162" t="s">
        <v>168</v>
      </c>
      <c r="E56" s="672"/>
      <c r="F56" s="59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" customHeight="1">
      <c r="A57" s="13"/>
      <c r="B57" s="13"/>
      <c r="C57" s="163"/>
      <c r="D57" s="16" t="s">
        <v>393</v>
      </c>
      <c r="E57" s="16">
        <v>2</v>
      </c>
      <c r="F57" s="13">
        <v>131101</v>
      </c>
      <c r="G57" s="15">
        <f>0+'táj.2.'!G57</f>
        <v>0</v>
      </c>
      <c r="H57" s="15">
        <f>0+'táj.2.'!H57</f>
        <v>0</v>
      </c>
      <c r="I57" s="15">
        <f>2002+'táj.2.'!I57</f>
        <v>2002</v>
      </c>
      <c r="J57" s="15">
        <f>0+'táj.2.'!J57</f>
        <v>0</v>
      </c>
      <c r="K57" s="15">
        <f>120+'táj.2.'!K57</f>
        <v>120</v>
      </c>
      <c r="L57" s="15">
        <f>0+'táj.2.'!L57</f>
        <v>0</v>
      </c>
      <c r="M57" s="15">
        <f>0+'táj.2.'!M57</f>
        <v>0</v>
      </c>
      <c r="N57" s="15">
        <f>0+'táj.2.'!N57</f>
        <v>0</v>
      </c>
      <c r="O57" s="15">
        <f>0+'táj.2.'!O57</f>
        <v>0</v>
      </c>
      <c r="P57" s="15">
        <f>0+'táj.2.'!P57</f>
        <v>0</v>
      </c>
      <c r="Q57" s="15">
        <f>SUM(G57:P57)</f>
        <v>2122</v>
      </c>
    </row>
    <row r="58" spans="1:17" ht="12" customHeight="1">
      <c r="A58" s="13"/>
      <c r="B58" s="13"/>
      <c r="C58" s="163"/>
      <c r="D58" s="16" t="s">
        <v>9</v>
      </c>
      <c r="E58" s="16">
        <v>2</v>
      </c>
      <c r="F58" s="13">
        <v>131102</v>
      </c>
      <c r="G58" s="15">
        <f>0+'táj.2.'!G58</f>
        <v>0</v>
      </c>
      <c r="H58" s="15">
        <f>0+'táj.2.'!H58</f>
        <v>0</v>
      </c>
      <c r="I58" s="15">
        <f>1000+'táj.2.'!I58</f>
        <v>1000</v>
      </c>
      <c r="J58" s="15">
        <f>0+'táj.2.'!J58</f>
        <v>0</v>
      </c>
      <c r="K58" s="15">
        <f>0+'táj.2.'!K58</f>
        <v>0</v>
      </c>
      <c r="L58" s="15">
        <f>0+'táj.2.'!L58</f>
        <v>0</v>
      </c>
      <c r="M58" s="15">
        <f>0+'táj.2.'!M58</f>
        <v>0</v>
      </c>
      <c r="N58" s="15">
        <f>0+'táj.2.'!N58</f>
        <v>0</v>
      </c>
      <c r="O58" s="15">
        <f>0+'táj.2.'!O58</f>
        <v>0</v>
      </c>
      <c r="P58" s="15">
        <f>0+'táj.2.'!P58</f>
        <v>0</v>
      </c>
      <c r="Q58" s="15">
        <f>SUM(G58:P58)</f>
        <v>1000</v>
      </c>
    </row>
    <row r="59" spans="1:17" ht="12" customHeight="1">
      <c r="A59" s="13"/>
      <c r="B59" s="13"/>
      <c r="C59" s="163"/>
      <c r="D59" s="16" t="s">
        <v>169</v>
      </c>
      <c r="E59" s="16">
        <v>2</v>
      </c>
      <c r="F59" s="13">
        <v>131205</v>
      </c>
      <c r="G59" s="15">
        <f>0+'táj.2.'!G59</f>
        <v>0</v>
      </c>
      <c r="H59" s="15">
        <f>0+'táj.2.'!H59</f>
        <v>0</v>
      </c>
      <c r="I59" s="15">
        <f>0+'táj.2.'!I59</f>
        <v>0</v>
      </c>
      <c r="J59" s="15">
        <f>0+'táj.2.'!J59</f>
        <v>0</v>
      </c>
      <c r="K59" s="15">
        <f>1000+'táj.2.'!K59</f>
        <v>1000</v>
      </c>
      <c r="L59" s="15">
        <f>0+'táj.2.'!L59</f>
        <v>0</v>
      </c>
      <c r="M59" s="15">
        <f>0+'táj.2.'!M59</f>
        <v>0</v>
      </c>
      <c r="N59" s="15">
        <f>0+'táj.2.'!N59</f>
        <v>0</v>
      </c>
      <c r="O59" s="15">
        <f>0+'táj.2.'!O59</f>
        <v>0</v>
      </c>
      <c r="P59" s="15">
        <f>0+'táj.2.'!P59</f>
        <v>0</v>
      </c>
      <c r="Q59" s="15">
        <f>SUM(G59:P59)</f>
        <v>1000</v>
      </c>
    </row>
    <row r="60" spans="1:17" ht="12" customHeight="1">
      <c r="A60" s="13"/>
      <c r="B60" s="13"/>
      <c r="C60" s="163"/>
      <c r="D60" s="16" t="s">
        <v>170</v>
      </c>
      <c r="E60" s="16">
        <v>2</v>
      </c>
      <c r="F60" s="13">
        <v>131206</v>
      </c>
      <c r="G60" s="15">
        <f>0+'táj.2.'!G60</f>
        <v>0</v>
      </c>
      <c r="H60" s="15">
        <f>0+'táj.2.'!H60</f>
        <v>0</v>
      </c>
      <c r="I60" s="15">
        <f>0+'táj.2.'!I60</f>
        <v>0</v>
      </c>
      <c r="J60" s="15">
        <f>0+'táj.2.'!J60</f>
        <v>0</v>
      </c>
      <c r="K60" s="15">
        <f>900+'táj.2.'!K60</f>
        <v>900</v>
      </c>
      <c r="L60" s="15">
        <f>0+'táj.2.'!L60</f>
        <v>0</v>
      </c>
      <c r="M60" s="15">
        <f>0+'táj.2.'!M60</f>
        <v>0</v>
      </c>
      <c r="N60" s="15">
        <f>0+'táj.2.'!N60</f>
        <v>0</v>
      </c>
      <c r="O60" s="15">
        <f>0+'táj.2.'!O60</f>
        <v>0</v>
      </c>
      <c r="P60" s="15">
        <f>0+'táj.2.'!P60</f>
        <v>0</v>
      </c>
      <c r="Q60" s="15">
        <f>SUM(G60:P60)</f>
        <v>900</v>
      </c>
    </row>
    <row r="61" spans="1:17" ht="12" customHeight="1">
      <c r="A61" s="13"/>
      <c r="B61" s="13"/>
      <c r="C61" s="163"/>
      <c r="D61" s="98" t="s">
        <v>10</v>
      </c>
      <c r="E61" s="16">
        <v>2</v>
      </c>
      <c r="F61" s="13">
        <v>131209</v>
      </c>
      <c r="G61" s="15">
        <f>0+'táj.2.'!G61</f>
        <v>0</v>
      </c>
      <c r="H61" s="15">
        <f>0+'táj.2.'!H61</f>
        <v>0</v>
      </c>
      <c r="I61" s="15">
        <f>1029+'táj.2.'!I61</f>
        <v>1029</v>
      </c>
      <c r="J61" s="15">
        <f>0+'táj.2.'!J61</f>
        <v>0</v>
      </c>
      <c r="K61" s="15">
        <f>300+'táj.2.'!K61</f>
        <v>300</v>
      </c>
      <c r="L61" s="15">
        <f>0+'táj.2.'!L61</f>
        <v>0</v>
      </c>
      <c r="M61" s="15">
        <f>0+'táj.2.'!M61</f>
        <v>0</v>
      </c>
      <c r="N61" s="15">
        <f>0+'táj.2.'!N61</f>
        <v>0</v>
      </c>
      <c r="O61" s="15">
        <f>0+'táj.2.'!O61</f>
        <v>0</v>
      </c>
      <c r="P61" s="15">
        <f>0+'táj.2.'!P61</f>
        <v>0</v>
      </c>
      <c r="Q61" s="15">
        <f>SUM(G61:P61)</f>
        <v>1329</v>
      </c>
    </row>
    <row r="62" spans="1:17" ht="12" customHeight="1">
      <c r="A62" s="13"/>
      <c r="B62" s="13"/>
      <c r="C62" s="163"/>
      <c r="D62" s="16" t="s">
        <v>981</v>
      </c>
      <c r="E62" s="16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" customHeight="1">
      <c r="A63" s="13"/>
      <c r="B63" s="13"/>
      <c r="C63" s="163"/>
      <c r="D63" s="98" t="s">
        <v>982</v>
      </c>
      <c r="E63" s="16">
        <v>2</v>
      </c>
      <c r="F63" s="13">
        <v>131101</v>
      </c>
      <c r="G63" s="15">
        <f>0+'táj.2.'!G63</f>
        <v>0</v>
      </c>
      <c r="H63" s="15">
        <f>0+'táj.2.'!H63</f>
        <v>0</v>
      </c>
      <c r="I63" s="15">
        <f>0+'táj.2.'!I63</f>
        <v>0</v>
      </c>
      <c r="J63" s="15">
        <f>15000+'táj.2.'!J63</f>
        <v>15000</v>
      </c>
      <c r="K63" s="15">
        <f>0+'táj.2.'!K63</f>
        <v>0</v>
      </c>
      <c r="L63" s="15">
        <f>0+'táj.2.'!L63</f>
        <v>0</v>
      </c>
      <c r="M63" s="15">
        <f>0+'táj.2.'!M63</f>
        <v>0</v>
      </c>
      <c r="N63" s="15">
        <f>0+'táj.2.'!N63</f>
        <v>0</v>
      </c>
      <c r="O63" s="15">
        <f>0+'táj.2.'!O63</f>
        <v>0</v>
      </c>
      <c r="P63" s="15">
        <f>0+'táj.2.'!P63</f>
        <v>0</v>
      </c>
      <c r="Q63" s="15">
        <f>SUM(G63:P63)</f>
        <v>15000</v>
      </c>
    </row>
    <row r="64" spans="1:17" ht="12" customHeight="1">
      <c r="A64" s="13"/>
      <c r="B64" s="13"/>
      <c r="C64" s="163"/>
      <c r="D64" s="98" t="s">
        <v>171</v>
      </c>
      <c r="E64" s="16"/>
      <c r="F64" s="13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 customHeight="1">
      <c r="A65" s="13"/>
      <c r="B65" s="13"/>
      <c r="C65" s="163"/>
      <c r="D65" s="16" t="s">
        <v>172</v>
      </c>
      <c r="E65" s="16">
        <v>2</v>
      </c>
      <c r="F65" s="13">
        <v>131120</v>
      </c>
      <c r="G65" s="15">
        <f>102+'táj.2.'!G65</f>
        <v>102</v>
      </c>
      <c r="H65" s="15">
        <f>52+'táj.2.'!H65</f>
        <v>52</v>
      </c>
      <c r="I65" s="15">
        <f>587+'táj.2.'!I65</f>
        <v>587</v>
      </c>
      <c r="J65" s="15">
        <f>0+'táj.2.'!J65</f>
        <v>0</v>
      </c>
      <c r="K65" s="15">
        <f>0+'táj.2.'!K65</f>
        <v>0</v>
      </c>
      <c r="L65" s="15">
        <f>0+'táj.2.'!L65</f>
        <v>0</v>
      </c>
      <c r="M65" s="15">
        <f>0+'táj.2.'!M65</f>
        <v>0</v>
      </c>
      <c r="N65" s="15">
        <f>0+'táj.2.'!N65</f>
        <v>0</v>
      </c>
      <c r="O65" s="15">
        <f>0+'táj.2.'!O65</f>
        <v>0</v>
      </c>
      <c r="P65" s="15">
        <f>0+'táj.2.'!P65</f>
        <v>0</v>
      </c>
      <c r="Q65" s="15">
        <f>SUM(G65:P65)</f>
        <v>741</v>
      </c>
    </row>
    <row r="66" spans="1:17" ht="12" customHeight="1">
      <c r="A66" s="13"/>
      <c r="B66" s="13"/>
      <c r="C66" s="163"/>
      <c r="D66" s="16" t="s">
        <v>439</v>
      </c>
      <c r="E66" s="668"/>
      <c r="F66" s="2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" customHeight="1">
      <c r="A67" s="13"/>
      <c r="B67" s="13"/>
      <c r="C67" s="163"/>
      <c r="D67" s="16" t="s">
        <v>11</v>
      </c>
      <c r="E67" s="16">
        <v>1</v>
      </c>
      <c r="F67" s="13">
        <v>131303</v>
      </c>
      <c r="G67" s="15">
        <f>0+'táj.2.'!G67</f>
        <v>0</v>
      </c>
      <c r="H67" s="15">
        <f>0+'táj.2.'!H67</f>
        <v>0</v>
      </c>
      <c r="I67" s="15">
        <f>1600+'táj.2.'!I67</f>
        <v>1600</v>
      </c>
      <c r="J67" s="15">
        <f>0+'táj.2.'!J67</f>
        <v>0</v>
      </c>
      <c r="K67" s="15">
        <f>1900+'táj.2.'!K67</f>
        <v>1900</v>
      </c>
      <c r="L67" s="15">
        <f>0+'táj.2.'!L67</f>
        <v>0</v>
      </c>
      <c r="M67" s="15">
        <f>0+'táj.2.'!M67</f>
        <v>0</v>
      </c>
      <c r="N67" s="15">
        <f>0+'táj.2.'!N67</f>
        <v>0</v>
      </c>
      <c r="O67" s="15">
        <f>0+'táj.2.'!O67</f>
        <v>0</v>
      </c>
      <c r="P67" s="15">
        <f>0+'táj.2.'!P67</f>
        <v>0</v>
      </c>
      <c r="Q67" s="15">
        <f aca="true" t="shared" si="2" ref="Q67:Q85">SUM(G67:P67)</f>
        <v>3500</v>
      </c>
    </row>
    <row r="68" spans="1:17" ht="12" customHeight="1">
      <c r="A68" s="13"/>
      <c r="B68" s="13"/>
      <c r="C68" s="163"/>
      <c r="D68" s="16" t="s">
        <v>173</v>
      </c>
      <c r="E68" s="16">
        <v>2</v>
      </c>
      <c r="F68" s="13">
        <v>131302</v>
      </c>
      <c r="G68" s="15">
        <f>0+'táj.2.'!G68</f>
        <v>0</v>
      </c>
      <c r="H68" s="15">
        <f>0+'táj.2.'!H68</f>
        <v>0</v>
      </c>
      <c r="I68" s="15">
        <f>0+'táj.2.'!I68</f>
        <v>0</v>
      </c>
      <c r="J68" s="15">
        <f>0+'táj.2.'!J68</f>
        <v>0</v>
      </c>
      <c r="K68" s="15">
        <f>360+'táj.2.'!K68</f>
        <v>360</v>
      </c>
      <c r="L68" s="15">
        <f>0+'táj.2.'!L68</f>
        <v>0</v>
      </c>
      <c r="M68" s="15">
        <f>0+'táj.2.'!M68</f>
        <v>0</v>
      </c>
      <c r="N68" s="15">
        <f>0+'táj.2.'!N68</f>
        <v>0</v>
      </c>
      <c r="O68" s="15">
        <f>0+'táj.2.'!O68</f>
        <v>0</v>
      </c>
      <c r="P68" s="15">
        <f>0+'táj.2.'!P68</f>
        <v>0</v>
      </c>
      <c r="Q68" s="15">
        <f t="shared" si="2"/>
        <v>360</v>
      </c>
    </row>
    <row r="69" spans="1:17" ht="12" customHeight="1">
      <c r="A69" s="13"/>
      <c r="B69" s="13"/>
      <c r="C69" s="163"/>
      <c r="D69" s="16" t="s">
        <v>174</v>
      </c>
      <c r="E69" s="16">
        <v>2</v>
      </c>
      <c r="F69" s="13">
        <v>131305</v>
      </c>
      <c r="G69" s="15">
        <f>0+'táj.2.'!G69</f>
        <v>0</v>
      </c>
      <c r="H69" s="15">
        <f>0+'táj.2.'!H69</f>
        <v>0</v>
      </c>
      <c r="I69" s="15">
        <f>0+'táj.2.'!I69</f>
        <v>0</v>
      </c>
      <c r="J69" s="15">
        <f>0+'táj.2.'!J69</f>
        <v>0</v>
      </c>
      <c r="K69" s="15">
        <f>900+'táj.2.'!K69</f>
        <v>900</v>
      </c>
      <c r="L69" s="15">
        <f>0+'táj.2.'!L69</f>
        <v>0</v>
      </c>
      <c r="M69" s="15">
        <f>0+'táj.2.'!M69</f>
        <v>0</v>
      </c>
      <c r="N69" s="15">
        <f>0+'táj.2.'!N69</f>
        <v>0</v>
      </c>
      <c r="O69" s="15">
        <f>0+'táj.2.'!O69</f>
        <v>0</v>
      </c>
      <c r="P69" s="15">
        <f>0+'táj.2.'!P69</f>
        <v>0</v>
      </c>
      <c r="Q69" s="15">
        <f t="shared" si="2"/>
        <v>900</v>
      </c>
    </row>
    <row r="70" spans="1:17" ht="13.5" customHeight="1">
      <c r="A70" s="13"/>
      <c r="B70" s="13"/>
      <c r="C70" s="163"/>
      <c r="D70" s="141" t="s">
        <v>175</v>
      </c>
      <c r="E70" s="16">
        <v>2</v>
      </c>
      <c r="F70" s="13">
        <v>131325</v>
      </c>
      <c r="G70" s="15">
        <f>0+'táj.2.'!G70</f>
        <v>0</v>
      </c>
      <c r="H70" s="15">
        <f>0+'táj.2.'!H70</f>
        <v>0</v>
      </c>
      <c r="I70" s="15">
        <f>616+'táj.2.'!I70</f>
        <v>616</v>
      </c>
      <c r="J70" s="15">
        <f>0+'táj.2.'!J70</f>
        <v>0</v>
      </c>
      <c r="K70" s="15">
        <f>0+'táj.2.'!K70</f>
        <v>0</v>
      </c>
      <c r="L70" s="15">
        <f>0+'táj.2.'!L70</f>
        <v>0</v>
      </c>
      <c r="M70" s="15">
        <f>0+'táj.2.'!M70</f>
        <v>0</v>
      </c>
      <c r="N70" s="15">
        <f>0+'táj.2.'!N70</f>
        <v>0</v>
      </c>
      <c r="O70" s="15">
        <f>0+'táj.2.'!O70</f>
        <v>0</v>
      </c>
      <c r="P70" s="15">
        <f>0+'táj.2.'!P70</f>
        <v>0</v>
      </c>
      <c r="Q70" s="15">
        <f t="shared" si="2"/>
        <v>616</v>
      </c>
    </row>
    <row r="71" spans="1:17" ht="24" customHeight="1">
      <c r="A71" s="13"/>
      <c r="B71" s="13"/>
      <c r="C71" s="163"/>
      <c r="D71" s="141" t="s">
        <v>176</v>
      </c>
      <c r="E71" s="16">
        <v>2</v>
      </c>
      <c r="F71" s="13">
        <v>131308</v>
      </c>
      <c r="G71" s="15">
        <f>0+'táj.2.'!G71</f>
        <v>0</v>
      </c>
      <c r="H71" s="15">
        <f>0+'táj.2.'!H71</f>
        <v>0</v>
      </c>
      <c r="I71" s="15">
        <f>0+'táj.2.'!I71</f>
        <v>0</v>
      </c>
      <c r="J71" s="15">
        <f>0+'táj.2.'!J71</f>
        <v>0</v>
      </c>
      <c r="K71" s="15">
        <f>6000+'táj.2.'!K71</f>
        <v>6000</v>
      </c>
      <c r="L71" s="15">
        <f>0+'táj.2.'!L71</f>
        <v>0</v>
      </c>
      <c r="M71" s="15">
        <f>0+'táj.2.'!M71</f>
        <v>0</v>
      </c>
      <c r="N71" s="15">
        <f>0+'táj.2.'!N71</f>
        <v>0</v>
      </c>
      <c r="O71" s="15">
        <f>0+'táj.2.'!O71</f>
        <v>0</v>
      </c>
      <c r="P71" s="15">
        <f>0+'táj.2.'!P71</f>
        <v>0</v>
      </c>
      <c r="Q71" s="15">
        <f t="shared" si="2"/>
        <v>6000</v>
      </c>
    </row>
    <row r="72" spans="1:17" ht="13.5" customHeight="1">
      <c r="A72" s="13"/>
      <c r="B72" s="13"/>
      <c r="C72" s="163"/>
      <c r="D72" s="141" t="s">
        <v>177</v>
      </c>
      <c r="E72" s="16">
        <v>2</v>
      </c>
      <c r="F72" s="13">
        <v>131505</v>
      </c>
      <c r="G72" s="15">
        <f>0+'táj.2.'!G72</f>
        <v>0</v>
      </c>
      <c r="H72" s="15">
        <f>0+'táj.2.'!H72</f>
        <v>0</v>
      </c>
      <c r="I72" s="15">
        <f>600+'táj.2.'!I72</f>
        <v>600</v>
      </c>
      <c r="J72" s="15">
        <f>0+'táj.2.'!J72</f>
        <v>0</v>
      </c>
      <c r="K72" s="15">
        <f>0+'táj.2.'!K72</f>
        <v>0</v>
      </c>
      <c r="L72" s="15">
        <f>0+'táj.2.'!L72</f>
        <v>0</v>
      </c>
      <c r="M72" s="15">
        <f>0+'táj.2.'!M72</f>
        <v>0</v>
      </c>
      <c r="N72" s="15">
        <f>0+'táj.2.'!N72</f>
        <v>0</v>
      </c>
      <c r="O72" s="15">
        <f>0+'táj.2.'!O72</f>
        <v>0</v>
      </c>
      <c r="P72" s="15">
        <f>0+'táj.2.'!P72</f>
        <v>0</v>
      </c>
      <c r="Q72" s="15">
        <f t="shared" si="2"/>
        <v>600</v>
      </c>
    </row>
    <row r="73" spans="1:17" ht="12" customHeight="1">
      <c r="A73" s="13"/>
      <c r="B73" s="13"/>
      <c r="C73" s="163"/>
      <c r="D73" s="16" t="s">
        <v>178</v>
      </c>
      <c r="E73" s="16">
        <v>2</v>
      </c>
      <c r="F73" s="13">
        <v>131306</v>
      </c>
      <c r="G73" s="15">
        <f>0+'táj.2.'!G73</f>
        <v>0</v>
      </c>
      <c r="H73" s="15">
        <f>0+'táj.2.'!H73</f>
        <v>0</v>
      </c>
      <c r="I73" s="15">
        <f>0+'táj.2.'!I73</f>
        <v>0</v>
      </c>
      <c r="J73" s="15">
        <f>0+'táj.2.'!J73</f>
        <v>0</v>
      </c>
      <c r="K73" s="15">
        <f>540+'táj.2.'!K73</f>
        <v>540</v>
      </c>
      <c r="L73" s="15">
        <f>0+'táj.2.'!L73</f>
        <v>0</v>
      </c>
      <c r="M73" s="15">
        <f>0+'táj.2.'!M73</f>
        <v>0</v>
      </c>
      <c r="N73" s="15">
        <f>0+'táj.2.'!N73</f>
        <v>0</v>
      </c>
      <c r="O73" s="15">
        <f>0+'táj.2.'!O73</f>
        <v>0</v>
      </c>
      <c r="P73" s="15">
        <f>0+'táj.2.'!P73</f>
        <v>0</v>
      </c>
      <c r="Q73" s="15">
        <f t="shared" si="2"/>
        <v>540</v>
      </c>
    </row>
    <row r="74" spans="1:17" ht="12" customHeight="1">
      <c r="A74" s="13"/>
      <c r="B74" s="13"/>
      <c r="C74" s="163"/>
      <c r="D74" s="141" t="s">
        <v>179</v>
      </c>
      <c r="E74" s="16">
        <v>2</v>
      </c>
      <c r="F74" s="13">
        <v>131121</v>
      </c>
      <c r="G74" s="15">
        <f>0+'táj.2.'!G74</f>
        <v>0</v>
      </c>
      <c r="H74" s="15">
        <f>0+'táj.2.'!H74</f>
        <v>0</v>
      </c>
      <c r="I74" s="15">
        <f>0+'táj.2.'!I74</f>
        <v>0</v>
      </c>
      <c r="J74" s="15">
        <f>0+'táj.2.'!J74</f>
        <v>0</v>
      </c>
      <c r="K74" s="15">
        <f>50000+'táj.2.'!K74</f>
        <v>50000</v>
      </c>
      <c r="L74" s="15">
        <f>0+'táj.2.'!L74</f>
        <v>0</v>
      </c>
      <c r="M74" s="15">
        <f>0+'táj.2.'!M74</f>
        <v>0</v>
      </c>
      <c r="N74" s="15">
        <f>0+'táj.2.'!N74</f>
        <v>0</v>
      </c>
      <c r="O74" s="15">
        <f>0+'táj.2.'!O74</f>
        <v>0</v>
      </c>
      <c r="P74" s="15">
        <f>0+'táj.2.'!P74</f>
        <v>0</v>
      </c>
      <c r="Q74" s="15">
        <f t="shared" si="2"/>
        <v>50000</v>
      </c>
    </row>
    <row r="75" spans="1:17" ht="12" customHeight="1">
      <c r="A75" s="13"/>
      <c r="B75" s="13"/>
      <c r="C75" s="163"/>
      <c r="D75" s="162" t="s">
        <v>180</v>
      </c>
      <c r="E75" s="16">
        <v>2</v>
      </c>
      <c r="F75" s="13">
        <v>131501</v>
      </c>
      <c r="G75" s="15">
        <f>0+'táj.2.'!G75</f>
        <v>0</v>
      </c>
      <c r="H75" s="15">
        <f>0+'táj.2.'!H75</f>
        <v>0</v>
      </c>
      <c r="I75" s="15">
        <f>0+'táj.2.'!I75</f>
        <v>0</v>
      </c>
      <c r="J75" s="15">
        <f>0+'táj.2.'!J75</f>
        <v>0</v>
      </c>
      <c r="K75" s="15">
        <f>300+'táj.2.'!K75</f>
        <v>300</v>
      </c>
      <c r="L75" s="15">
        <f>0+'táj.2.'!L75</f>
        <v>0</v>
      </c>
      <c r="M75" s="15">
        <f>0+'táj.2.'!M75</f>
        <v>0</v>
      </c>
      <c r="N75" s="15">
        <f>0+'táj.2.'!N75</f>
        <v>0</v>
      </c>
      <c r="O75" s="15">
        <f>0+'táj.2.'!O75</f>
        <v>0</v>
      </c>
      <c r="P75" s="15">
        <f>0+'táj.2.'!P75</f>
        <v>0</v>
      </c>
      <c r="Q75" s="15">
        <f t="shared" si="2"/>
        <v>300</v>
      </c>
    </row>
    <row r="76" spans="1:17" ht="12" customHeight="1">
      <c r="A76" s="13"/>
      <c r="B76" s="13"/>
      <c r="C76" s="163"/>
      <c r="D76" s="162" t="s">
        <v>181</v>
      </c>
      <c r="E76" s="16">
        <v>2</v>
      </c>
      <c r="F76" s="13">
        <v>131307</v>
      </c>
      <c r="G76" s="15">
        <f>0+'táj.2.'!G76</f>
        <v>0</v>
      </c>
      <c r="H76" s="15">
        <f>0+'táj.2.'!H76</f>
        <v>0</v>
      </c>
      <c r="I76" s="15">
        <f>0+'táj.2.'!I76</f>
        <v>0</v>
      </c>
      <c r="J76" s="15">
        <f>0+'táj.2.'!J76</f>
        <v>0</v>
      </c>
      <c r="K76" s="15">
        <f>720+'táj.2.'!K76</f>
        <v>720</v>
      </c>
      <c r="L76" s="15">
        <f>0+'táj.2.'!L76</f>
        <v>0</v>
      </c>
      <c r="M76" s="15">
        <f>0+'táj.2.'!M76</f>
        <v>0</v>
      </c>
      <c r="N76" s="15">
        <f>0+'táj.2.'!N76</f>
        <v>0</v>
      </c>
      <c r="O76" s="15">
        <f>0+'táj.2.'!O76</f>
        <v>0</v>
      </c>
      <c r="P76" s="15">
        <f>0+'táj.2.'!P76</f>
        <v>0</v>
      </c>
      <c r="Q76" s="15">
        <f t="shared" si="2"/>
        <v>720</v>
      </c>
    </row>
    <row r="77" spans="1:17" ht="12" customHeight="1">
      <c r="A77" s="13"/>
      <c r="B77" s="13"/>
      <c r="C77" s="163"/>
      <c r="D77" s="141" t="s">
        <v>413</v>
      </c>
      <c r="E77" s="16">
        <v>1</v>
      </c>
      <c r="F77" s="13">
        <v>131322</v>
      </c>
      <c r="G77" s="15">
        <f>0+'táj.2.'!G77</f>
        <v>0</v>
      </c>
      <c r="H77" s="15">
        <f>0+'táj.2.'!H77</f>
        <v>0</v>
      </c>
      <c r="I77" s="15">
        <f>67+'táj.2.'!I77</f>
        <v>67</v>
      </c>
      <c r="J77" s="15">
        <f>0+'táj.2.'!J77</f>
        <v>0</v>
      </c>
      <c r="K77" s="15">
        <f>0+'táj.2.'!K77</f>
        <v>0</v>
      </c>
      <c r="L77" s="15">
        <f>0+'táj.2.'!L77</f>
        <v>0</v>
      </c>
      <c r="M77" s="15">
        <f>0+'táj.2.'!M77</f>
        <v>0</v>
      </c>
      <c r="N77" s="15">
        <f>0+'táj.2.'!N77</f>
        <v>0</v>
      </c>
      <c r="O77" s="15">
        <f>0+'táj.2.'!O77</f>
        <v>0</v>
      </c>
      <c r="P77" s="15">
        <f>0+'táj.2.'!P77</f>
        <v>0</v>
      </c>
      <c r="Q77" s="15">
        <f t="shared" si="2"/>
        <v>67</v>
      </c>
    </row>
    <row r="78" spans="1:17" ht="12" customHeight="1">
      <c r="A78" s="13"/>
      <c r="B78" s="13"/>
      <c r="C78" s="163"/>
      <c r="D78" s="141" t="s">
        <v>182</v>
      </c>
      <c r="E78" s="16">
        <v>2</v>
      </c>
      <c r="F78" s="13">
        <v>131323</v>
      </c>
      <c r="G78" s="15">
        <f>0+'táj.2.'!G78</f>
        <v>0</v>
      </c>
      <c r="H78" s="15">
        <f>0+'táj.2.'!H78</f>
        <v>0</v>
      </c>
      <c r="I78" s="15">
        <f>0+'táj.2.'!I78</f>
        <v>0</v>
      </c>
      <c r="J78" s="15">
        <f>0+'táj.2.'!J78</f>
        <v>0</v>
      </c>
      <c r="K78" s="15">
        <f>450+'táj.2.'!K78</f>
        <v>450</v>
      </c>
      <c r="L78" s="15">
        <f>0+'táj.2.'!L78</f>
        <v>0</v>
      </c>
      <c r="M78" s="15">
        <f>0+'táj.2.'!M78</f>
        <v>0</v>
      </c>
      <c r="N78" s="15">
        <f>0+'táj.2.'!N78</f>
        <v>0</v>
      </c>
      <c r="O78" s="15">
        <f>0+'táj.2.'!O78</f>
        <v>0</v>
      </c>
      <c r="P78" s="15">
        <f>0+'táj.2.'!P78</f>
        <v>0</v>
      </c>
      <c r="Q78" s="15">
        <f t="shared" si="2"/>
        <v>450</v>
      </c>
    </row>
    <row r="79" spans="1:17" ht="12" customHeight="1">
      <c r="A79" s="13"/>
      <c r="B79" s="13"/>
      <c r="C79" s="163"/>
      <c r="D79" s="162" t="s">
        <v>183</v>
      </c>
      <c r="E79" s="16">
        <v>2</v>
      </c>
      <c r="F79" s="13">
        <v>131326</v>
      </c>
      <c r="G79" s="15">
        <f>0+'táj.2.'!G79</f>
        <v>0</v>
      </c>
      <c r="H79" s="15">
        <f>0+'táj.2.'!H79</f>
        <v>0</v>
      </c>
      <c r="I79" s="15">
        <f>0+'táj.2.'!I79</f>
        <v>0</v>
      </c>
      <c r="J79" s="15">
        <f>0+'táj.2.'!J79</f>
        <v>0</v>
      </c>
      <c r="K79" s="15">
        <f>1200+'táj.2.'!K79</f>
        <v>1200</v>
      </c>
      <c r="L79" s="15">
        <f>0+'táj.2.'!L79</f>
        <v>0</v>
      </c>
      <c r="M79" s="15">
        <f>0+'táj.2.'!M79</f>
        <v>0</v>
      </c>
      <c r="N79" s="15">
        <f>0+'táj.2.'!N79</f>
        <v>0</v>
      </c>
      <c r="O79" s="15">
        <f>0+'táj.2.'!O79</f>
        <v>0</v>
      </c>
      <c r="P79" s="15">
        <f>0+'táj.2.'!P79</f>
        <v>0</v>
      </c>
      <c r="Q79" s="15">
        <f t="shared" si="2"/>
        <v>1200</v>
      </c>
    </row>
    <row r="80" spans="1:17" ht="12" customHeight="1">
      <c r="A80" s="13"/>
      <c r="B80" s="13"/>
      <c r="C80" s="163"/>
      <c r="D80" s="162" t="s">
        <v>184</v>
      </c>
      <c r="E80" s="16">
        <v>2</v>
      </c>
      <c r="F80" s="13">
        <v>131314</v>
      </c>
      <c r="G80" s="15">
        <f>0+'táj.2.'!G80</f>
        <v>0</v>
      </c>
      <c r="H80" s="15">
        <f>0+'táj.2.'!H80</f>
        <v>0</v>
      </c>
      <c r="I80" s="15">
        <f>0+'táj.2.'!I80</f>
        <v>0</v>
      </c>
      <c r="J80" s="15">
        <f>0+'táj.2.'!J80</f>
        <v>0</v>
      </c>
      <c r="K80" s="15">
        <f>1800+'táj.2.'!K80</f>
        <v>1800</v>
      </c>
      <c r="L80" s="15">
        <f>0+'táj.2.'!L80</f>
        <v>0</v>
      </c>
      <c r="M80" s="15">
        <f>0+'táj.2.'!M80</f>
        <v>0</v>
      </c>
      <c r="N80" s="15">
        <f>0+'táj.2.'!N80</f>
        <v>0</v>
      </c>
      <c r="O80" s="15">
        <f>0+'táj.2.'!O80</f>
        <v>0</v>
      </c>
      <c r="P80" s="15">
        <f>0+'táj.2.'!P80</f>
        <v>0</v>
      </c>
      <c r="Q80" s="15">
        <f t="shared" si="2"/>
        <v>1800</v>
      </c>
    </row>
    <row r="81" spans="1:17" ht="12" customHeight="1">
      <c r="A81" s="13"/>
      <c r="B81" s="13"/>
      <c r="C81" s="163"/>
      <c r="D81" s="162" t="s">
        <v>185</v>
      </c>
      <c r="E81" s="16">
        <v>2</v>
      </c>
      <c r="F81" s="13">
        <v>131135</v>
      </c>
      <c r="G81" s="15">
        <f>0+'táj.2.'!G81</f>
        <v>0</v>
      </c>
      <c r="H81" s="15">
        <f>0+'táj.2.'!H81</f>
        <v>0</v>
      </c>
      <c r="I81" s="15">
        <f>0+'táj.2.'!I81</f>
        <v>0</v>
      </c>
      <c r="J81" s="15">
        <f>0+'táj.2.'!J81</f>
        <v>0</v>
      </c>
      <c r="K81" s="15">
        <f>2500+'táj.2.'!K81</f>
        <v>2500</v>
      </c>
      <c r="L81" s="15">
        <f>0+'táj.2.'!L81</f>
        <v>0</v>
      </c>
      <c r="M81" s="15">
        <f>0+'táj.2.'!M81</f>
        <v>0</v>
      </c>
      <c r="N81" s="15">
        <f>0+'táj.2.'!N81</f>
        <v>0</v>
      </c>
      <c r="O81" s="15">
        <f>0+'táj.2.'!O81</f>
        <v>0</v>
      </c>
      <c r="P81" s="15">
        <f>0+'táj.2.'!P81</f>
        <v>0</v>
      </c>
      <c r="Q81" s="15">
        <f t="shared" si="2"/>
        <v>2500</v>
      </c>
    </row>
    <row r="82" spans="1:17" ht="12" customHeight="1">
      <c r="A82" s="13"/>
      <c r="B82" s="13"/>
      <c r="C82" s="163"/>
      <c r="D82" s="162" t="s">
        <v>186</v>
      </c>
      <c r="E82" s="16">
        <v>2</v>
      </c>
      <c r="F82" s="13">
        <v>131136</v>
      </c>
      <c r="G82" s="15">
        <f>0+'táj.2.'!G82</f>
        <v>0</v>
      </c>
      <c r="H82" s="15">
        <f>0+'táj.2.'!H82</f>
        <v>0</v>
      </c>
      <c r="I82" s="15">
        <f>0+'táj.2.'!I82</f>
        <v>0</v>
      </c>
      <c r="J82" s="15">
        <f>0+'táj.2.'!J82</f>
        <v>0</v>
      </c>
      <c r="K82" s="15">
        <f>721+'táj.2.'!K82</f>
        <v>721</v>
      </c>
      <c r="L82" s="15">
        <f>0+'táj.2.'!L82</f>
        <v>0</v>
      </c>
      <c r="M82" s="15">
        <f>0+'táj.2.'!M82</f>
        <v>0</v>
      </c>
      <c r="N82" s="15">
        <f>0+'táj.2.'!N82</f>
        <v>0</v>
      </c>
      <c r="O82" s="15">
        <f>0+'táj.2.'!O82</f>
        <v>0</v>
      </c>
      <c r="P82" s="15">
        <f>0+'táj.2.'!P82</f>
        <v>0</v>
      </c>
      <c r="Q82" s="15">
        <f t="shared" si="2"/>
        <v>721</v>
      </c>
    </row>
    <row r="83" spans="1:17" ht="12" customHeight="1">
      <c r="A83" s="13"/>
      <c r="B83" s="13"/>
      <c r="C83" s="163"/>
      <c r="D83" s="162" t="s">
        <v>187</v>
      </c>
      <c r="E83" s="16">
        <v>2</v>
      </c>
      <c r="F83" s="13">
        <v>131137</v>
      </c>
      <c r="G83" s="15">
        <f>0+'táj.2.'!G83</f>
        <v>0</v>
      </c>
      <c r="H83" s="15">
        <f>0+'táj.2.'!H83</f>
        <v>0</v>
      </c>
      <c r="I83" s="15">
        <f>0+'táj.2.'!I83</f>
        <v>0</v>
      </c>
      <c r="J83" s="15">
        <f>0+'táj.2.'!J83</f>
        <v>0</v>
      </c>
      <c r="K83" s="15">
        <f>500+'táj.2.'!K83</f>
        <v>500</v>
      </c>
      <c r="L83" s="15">
        <f>0+'táj.2.'!L83</f>
        <v>0</v>
      </c>
      <c r="M83" s="15">
        <f>0+'táj.2.'!M83</f>
        <v>0</v>
      </c>
      <c r="N83" s="15">
        <f>0+'táj.2.'!N83</f>
        <v>0</v>
      </c>
      <c r="O83" s="15">
        <f>0+'táj.2.'!O83</f>
        <v>0</v>
      </c>
      <c r="P83" s="15">
        <f>0+'táj.2.'!P83</f>
        <v>0</v>
      </c>
      <c r="Q83" s="15">
        <f t="shared" si="2"/>
        <v>500</v>
      </c>
    </row>
    <row r="84" spans="1:17" ht="12" customHeight="1">
      <c r="A84" s="13"/>
      <c r="B84" s="13"/>
      <c r="C84" s="163"/>
      <c r="D84" s="162" t="s">
        <v>188</v>
      </c>
      <c r="E84" s="16">
        <v>2</v>
      </c>
      <c r="F84" s="13">
        <v>131138</v>
      </c>
      <c r="G84" s="15">
        <f>0+'táj.2.'!G84</f>
        <v>0</v>
      </c>
      <c r="H84" s="15">
        <f>0+'táj.2.'!H84</f>
        <v>0</v>
      </c>
      <c r="I84" s="15">
        <f>0+'táj.2.'!I84</f>
        <v>0</v>
      </c>
      <c r="J84" s="15">
        <f>0+'táj.2.'!J84</f>
        <v>0</v>
      </c>
      <c r="K84" s="15">
        <f>2500+'táj.2.'!K84</f>
        <v>2500</v>
      </c>
      <c r="L84" s="15">
        <f>0+'táj.2.'!L84</f>
        <v>0</v>
      </c>
      <c r="M84" s="15">
        <f>0+'táj.2.'!M84</f>
        <v>0</v>
      </c>
      <c r="N84" s="15">
        <f>0+'táj.2.'!N84</f>
        <v>0</v>
      </c>
      <c r="O84" s="15">
        <f>0+'táj.2.'!O84</f>
        <v>0</v>
      </c>
      <c r="P84" s="15">
        <f>0+'táj.2.'!P84</f>
        <v>0</v>
      </c>
      <c r="Q84" s="15">
        <f t="shared" si="2"/>
        <v>2500</v>
      </c>
    </row>
    <row r="85" spans="1:17" ht="12" customHeight="1">
      <c r="A85" s="13"/>
      <c r="B85" s="13"/>
      <c r="C85" s="163"/>
      <c r="D85" s="162" t="s">
        <v>189</v>
      </c>
      <c r="E85" s="16">
        <v>2</v>
      </c>
      <c r="F85" s="13">
        <v>131139</v>
      </c>
      <c r="G85" s="15">
        <f>0+'táj.2.'!G85</f>
        <v>0</v>
      </c>
      <c r="H85" s="15">
        <f>0+'táj.2.'!H85</f>
        <v>0</v>
      </c>
      <c r="I85" s="15">
        <f>0+'táj.2.'!I85</f>
        <v>0</v>
      </c>
      <c r="J85" s="15">
        <f>0+'táj.2.'!J85</f>
        <v>0</v>
      </c>
      <c r="K85" s="15">
        <f>500+'táj.2.'!K85</f>
        <v>500</v>
      </c>
      <c r="L85" s="15">
        <f>0+'táj.2.'!L85</f>
        <v>0</v>
      </c>
      <c r="M85" s="15">
        <f>0+'táj.2.'!M85</f>
        <v>0</v>
      </c>
      <c r="N85" s="15">
        <f>0+'táj.2.'!N85</f>
        <v>0</v>
      </c>
      <c r="O85" s="15">
        <f>0+'táj.2.'!O85</f>
        <v>0</v>
      </c>
      <c r="P85" s="15">
        <f>0+'táj.2.'!P85</f>
        <v>0</v>
      </c>
      <c r="Q85" s="15">
        <f t="shared" si="2"/>
        <v>500</v>
      </c>
    </row>
    <row r="86" spans="1:17" ht="12" customHeight="1">
      <c r="A86" s="13"/>
      <c r="B86" s="13"/>
      <c r="C86" s="163"/>
      <c r="D86" s="16" t="s">
        <v>190</v>
      </c>
      <c r="E86" s="668"/>
      <c r="F86" s="23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24.75" customHeight="1">
      <c r="A87" s="13"/>
      <c r="B87" s="13"/>
      <c r="C87" s="163"/>
      <c r="D87" s="141" t="s">
        <v>191</v>
      </c>
      <c r="E87" s="668">
        <v>2</v>
      </c>
      <c r="F87" s="23">
        <v>131135</v>
      </c>
      <c r="G87" s="15">
        <f>0+'táj.2.'!G87</f>
        <v>0</v>
      </c>
      <c r="H87" s="15">
        <f>0+'táj.2.'!H87</f>
        <v>0</v>
      </c>
      <c r="I87" s="15">
        <f>0+'táj.2.'!I87</f>
        <v>0</v>
      </c>
      <c r="J87" s="15">
        <f>0+'táj.2.'!J87</f>
        <v>0</v>
      </c>
      <c r="K87" s="15">
        <f>2250+'táj.2.'!K87</f>
        <v>2250</v>
      </c>
      <c r="L87" s="15">
        <f>0+'táj.2.'!L87</f>
        <v>0</v>
      </c>
      <c r="M87" s="15">
        <f>0+'táj.2.'!M87</f>
        <v>0</v>
      </c>
      <c r="N87" s="15">
        <f>0+'táj.2.'!N87</f>
        <v>0</v>
      </c>
      <c r="O87" s="15">
        <f>0+'táj.2.'!O87</f>
        <v>0</v>
      </c>
      <c r="P87" s="15">
        <f>0+'táj.2.'!P87</f>
        <v>0</v>
      </c>
      <c r="Q87" s="15">
        <f aca="true" t="shared" si="3" ref="Q87:Q92">SUM(G87:P87)</f>
        <v>2250</v>
      </c>
    </row>
    <row r="88" spans="1:17" ht="12" customHeight="1">
      <c r="A88" s="13"/>
      <c r="B88" s="13"/>
      <c r="C88" s="309"/>
      <c r="D88" s="310" t="s">
        <v>192</v>
      </c>
      <c r="E88" s="668">
        <v>2</v>
      </c>
      <c r="F88" s="23">
        <v>131136</v>
      </c>
      <c r="G88" s="15">
        <f>0+'táj.2.'!G88</f>
        <v>0</v>
      </c>
      <c r="H88" s="15">
        <f>0+'táj.2.'!H88</f>
        <v>0</v>
      </c>
      <c r="I88" s="15">
        <f>0+'táj.2.'!I88</f>
        <v>0</v>
      </c>
      <c r="J88" s="15">
        <f>0+'táj.2.'!J88</f>
        <v>0</v>
      </c>
      <c r="K88" s="15">
        <f>5000+'táj.2.'!K88</f>
        <v>5000</v>
      </c>
      <c r="L88" s="15">
        <f>0+'táj.2.'!L88</f>
        <v>0</v>
      </c>
      <c r="M88" s="15">
        <f>0+'táj.2.'!M88</f>
        <v>0</v>
      </c>
      <c r="N88" s="15">
        <f>0+'táj.2.'!N88</f>
        <v>0</v>
      </c>
      <c r="O88" s="15">
        <f>0+'táj.2.'!O88</f>
        <v>0</v>
      </c>
      <c r="P88" s="15">
        <f>0+'táj.2.'!P88</f>
        <v>0</v>
      </c>
      <c r="Q88" s="15">
        <f t="shared" si="3"/>
        <v>5000</v>
      </c>
    </row>
    <row r="89" spans="1:17" ht="12" customHeight="1">
      <c r="A89" s="13"/>
      <c r="B89" s="13"/>
      <c r="C89" s="163"/>
      <c r="D89" s="16" t="s">
        <v>193</v>
      </c>
      <c r="E89" s="668">
        <v>2</v>
      </c>
      <c r="F89" s="23">
        <v>131137</v>
      </c>
      <c r="G89" s="15">
        <f>0+'táj.2.'!G89</f>
        <v>0</v>
      </c>
      <c r="H89" s="15">
        <f>0+'táj.2.'!H89</f>
        <v>0</v>
      </c>
      <c r="I89" s="15">
        <f>0+'táj.2.'!I89</f>
        <v>0</v>
      </c>
      <c r="J89" s="15">
        <f>0+'táj.2.'!J89</f>
        <v>0</v>
      </c>
      <c r="K89" s="15">
        <f>10000+'táj.2.'!K89</f>
        <v>10000</v>
      </c>
      <c r="L89" s="15">
        <f>0+'táj.2.'!L89</f>
        <v>0</v>
      </c>
      <c r="M89" s="15">
        <f>0+'táj.2.'!M89</f>
        <v>0</v>
      </c>
      <c r="N89" s="15">
        <f>0+'táj.2.'!N89</f>
        <v>0</v>
      </c>
      <c r="O89" s="15">
        <f>0+'táj.2.'!O89</f>
        <v>0</v>
      </c>
      <c r="P89" s="15">
        <f>0+'táj.2.'!P89</f>
        <v>0</v>
      </c>
      <c r="Q89" s="15">
        <f t="shared" si="3"/>
        <v>10000</v>
      </c>
    </row>
    <row r="90" spans="1:17" ht="12" customHeight="1">
      <c r="A90" s="13"/>
      <c r="B90" s="13"/>
      <c r="C90" s="163"/>
      <c r="D90" s="16" t="s">
        <v>194</v>
      </c>
      <c r="E90" s="668">
        <v>2</v>
      </c>
      <c r="F90" s="23">
        <v>131138</v>
      </c>
      <c r="G90" s="15">
        <f>0+'táj.2.'!G90</f>
        <v>0</v>
      </c>
      <c r="H90" s="15">
        <f>0+'táj.2.'!H90</f>
        <v>0</v>
      </c>
      <c r="I90" s="15">
        <f>0+'táj.2.'!I90</f>
        <v>0</v>
      </c>
      <c r="J90" s="15">
        <f>0+'táj.2.'!J90</f>
        <v>0</v>
      </c>
      <c r="K90" s="15">
        <f>5500+'táj.2.'!K90</f>
        <v>5500</v>
      </c>
      <c r="L90" s="15">
        <f>0+'táj.2.'!L90</f>
        <v>0</v>
      </c>
      <c r="M90" s="15">
        <f>0+'táj.2.'!M90</f>
        <v>0</v>
      </c>
      <c r="N90" s="15">
        <f>0+'táj.2.'!N90</f>
        <v>0</v>
      </c>
      <c r="O90" s="15">
        <f>0+'táj.2.'!O90</f>
        <v>0</v>
      </c>
      <c r="P90" s="15">
        <f>0+'táj.2.'!P90</f>
        <v>0</v>
      </c>
      <c r="Q90" s="15">
        <f t="shared" si="3"/>
        <v>5500</v>
      </c>
    </row>
    <row r="91" spans="1:17" ht="12" customHeight="1">
      <c r="A91" s="13"/>
      <c r="B91" s="13"/>
      <c r="C91" s="163"/>
      <c r="D91" s="16" t="s">
        <v>195</v>
      </c>
      <c r="E91" s="668">
        <v>2</v>
      </c>
      <c r="F91" s="23">
        <v>131139</v>
      </c>
      <c r="G91" s="15">
        <f>0+'táj.2.'!G91</f>
        <v>0</v>
      </c>
      <c r="H91" s="15">
        <f>0+'táj.2.'!H91</f>
        <v>0</v>
      </c>
      <c r="I91" s="15">
        <f>0+'táj.2.'!I91</f>
        <v>0</v>
      </c>
      <c r="J91" s="15">
        <f>0+'táj.2.'!J91</f>
        <v>0</v>
      </c>
      <c r="K91" s="15">
        <f>2700+'táj.2.'!K91</f>
        <v>2700</v>
      </c>
      <c r="L91" s="15">
        <f>0+'táj.2.'!L91</f>
        <v>0</v>
      </c>
      <c r="M91" s="15">
        <f>0+'táj.2.'!M91</f>
        <v>0</v>
      </c>
      <c r="N91" s="15">
        <f>0+'táj.2.'!N91</f>
        <v>0</v>
      </c>
      <c r="O91" s="15">
        <f>0+'táj.2.'!O91</f>
        <v>0</v>
      </c>
      <c r="P91" s="15">
        <f>0+'táj.2.'!P91</f>
        <v>0</v>
      </c>
      <c r="Q91" s="15">
        <f t="shared" si="3"/>
        <v>2700</v>
      </c>
    </row>
    <row r="92" spans="1:17" ht="12" customHeight="1">
      <c r="A92" s="13"/>
      <c r="B92" s="13"/>
      <c r="C92" s="163"/>
      <c r="D92" s="16" t="s">
        <v>196</v>
      </c>
      <c r="E92" s="668">
        <v>2</v>
      </c>
      <c r="F92" s="23">
        <v>134925</v>
      </c>
      <c r="G92" s="15">
        <f>0+'táj.2.'!G92</f>
        <v>0</v>
      </c>
      <c r="H92" s="15">
        <f>0+'táj.2.'!H92</f>
        <v>0</v>
      </c>
      <c r="I92" s="15">
        <f>0+'táj.2.'!I92</f>
        <v>0</v>
      </c>
      <c r="J92" s="15">
        <f>0+'táj.2.'!J92</f>
        <v>0</v>
      </c>
      <c r="K92" s="15">
        <f>2500+'táj.2.'!K92</f>
        <v>2500</v>
      </c>
      <c r="L92" s="15">
        <f>0+'táj.2.'!L92</f>
        <v>0</v>
      </c>
      <c r="M92" s="15">
        <f>0+'táj.2.'!M92</f>
        <v>0</v>
      </c>
      <c r="N92" s="15">
        <f>0+'táj.2.'!N92</f>
        <v>0</v>
      </c>
      <c r="O92" s="15">
        <f>0+'táj.2.'!O92</f>
        <v>0</v>
      </c>
      <c r="P92" s="15">
        <f>0+'táj.2.'!P92</f>
        <v>0</v>
      </c>
      <c r="Q92" s="15">
        <f t="shared" si="3"/>
        <v>2500</v>
      </c>
    </row>
    <row r="93" spans="1:17" ht="15" customHeight="1">
      <c r="A93" s="13"/>
      <c r="B93" s="13"/>
      <c r="C93" s="163"/>
      <c r="D93" s="162" t="s">
        <v>197</v>
      </c>
      <c r="E93" s="672"/>
      <c r="F93" s="59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customHeight="1">
      <c r="A94" s="13"/>
      <c r="B94" s="13"/>
      <c r="C94" s="163"/>
      <c r="D94" s="162" t="s">
        <v>198</v>
      </c>
      <c r="E94" s="673">
        <v>2</v>
      </c>
      <c r="F94" s="595">
        <v>131502</v>
      </c>
      <c r="G94" s="15">
        <f>0+'táj.2.'!G94</f>
        <v>0</v>
      </c>
      <c r="H94" s="15">
        <f>0+'táj.2.'!H94</f>
        <v>0</v>
      </c>
      <c r="I94" s="15">
        <f>0+'táj.2.'!I94</f>
        <v>0</v>
      </c>
      <c r="J94" s="15">
        <f>600+'táj.2.'!J94</f>
        <v>600</v>
      </c>
      <c r="K94" s="15">
        <f>0+'táj.2.'!K94</f>
        <v>0</v>
      </c>
      <c r="L94" s="15">
        <f>0+'táj.2.'!L94</f>
        <v>0</v>
      </c>
      <c r="M94" s="15">
        <f>0+'táj.2.'!M94</f>
        <v>0</v>
      </c>
      <c r="N94" s="15">
        <f>0+'táj.2.'!N94</f>
        <v>0</v>
      </c>
      <c r="O94" s="15">
        <f>0+'táj.2.'!O94</f>
        <v>0</v>
      </c>
      <c r="P94" s="15">
        <f>0+'táj.2.'!P94</f>
        <v>0</v>
      </c>
      <c r="Q94" s="15">
        <f>SUM(G94:P94)</f>
        <v>600</v>
      </c>
    </row>
    <row r="95" spans="1:17" ht="15" customHeight="1">
      <c r="A95" s="13"/>
      <c r="B95" s="13"/>
      <c r="C95" s="163"/>
      <c r="D95" s="311" t="s">
        <v>477</v>
      </c>
      <c r="E95" s="674"/>
      <c r="F95" s="59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" customHeight="1">
      <c r="A96" s="13"/>
      <c r="B96" s="13"/>
      <c r="C96" s="163"/>
      <c r="D96" s="16" t="s">
        <v>12</v>
      </c>
      <c r="E96" s="668"/>
      <c r="F96" s="23"/>
      <c r="G96" s="15"/>
      <c r="H96" s="15"/>
      <c r="I96" s="15"/>
      <c r="J96" s="296"/>
      <c r="K96" s="15"/>
      <c r="L96" s="296"/>
      <c r="M96" s="296"/>
      <c r="N96" s="296"/>
      <c r="O96" s="296"/>
      <c r="P96" s="296"/>
      <c r="Q96" s="9"/>
    </row>
    <row r="97" spans="1:17" ht="15" customHeight="1">
      <c r="A97" s="13"/>
      <c r="B97" s="13"/>
      <c r="C97" s="163"/>
      <c r="D97" s="16" t="s">
        <v>13</v>
      </c>
      <c r="E97" s="16">
        <v>2</v>
      </c>
      <c r="F97" s="13">
        <v>131701</v>
      </c>
      <c r="G97" s="15">
        <f>0+'táj.2.'!G97</f>
        <v>0</v>
      </c>
      <c r="H97" s="15">
        <f>0+'táj.2.'!H97</f>
        <v>0</v>
      </c>
      <c r="I97" s="15">
        <f>350+'táj.2.'!I97</f>
        <v>350</v>
      </c>
      <c r="J97" s="15">
        <f>0+'táj.2.'!J97</f>
        <v>0</v>
      </c>
      <c r="K97" s="15">
        <f>100+'táj.2.'!K97</f>
        <v>100</v>
      </c>
      <c r="L97" s="15">
        <f>0+'táj.2.'!L97</f>
        <v>0</v>
      </c>
      <c r="M97" s="15">
        <f>0+'táj.2.'!M97</f>
        <v>0</v>
      </c>
      <c r="N97" s="15">
        <f>0+'táj.2.'!N97</f>
        <v>0</v>
      </c>
      <c r="O97" s="15">
        <f>0+'táj.2.'!O97</f>
        <v>0</v>
      </c>
      <c r="P97" s="15">
        <f>0+'táj.2.'!P97</f>
        <v>0</v>
      </c>
      <c r="Q97" s="9">
        <f>SUM(G97:P97)</f>
        <v>450</v>
      </c>
    </row>
    <row r="98" spans="1:17" ht="15" customHeight="1">
      <c r="A98" s="13"/>
      <c r="B98" s="13"/>
      <c r="C98" s="163"/>
      <c r="D98" s="16" t="s">
        <v>190</v>
      </c>
      <c r="E98" s="675"/>
      <c r="F98" s="597"/>
      <c r="G98" s="15"/>
      <c r="H98" s="15"/>
      <c r="I98" s="15"/>
      <c r="J98" s="296"/>
      <c r="K98" s="15"/>
      <c r="L98" s="296"/>
      <c r="M98" s="296"/>
      <c r="N98" s="296"/>
      <c r="O98" s="296"/>
      <c r="P98" s="296"/>
      <c r="Q98" s="9"/>
    </row>
    <row r="99" spans="1:17" ht="15" customHeight="1">
      <c r="A99" s="13"/>
      <c r="B99" s="13"/>
      <c r="C99" s="163"/>
      <c r="D99" s="141" t="s">
        <v>199</v>
      </c>
      <c r="E99" s="676">
        <v>2</v>
      </c>
      <c r="F99" s="595">
        <v>131708</v>
      </c>
      <c r="G99" s="15">
        <f>0+'táj.2.'!G99</f>
        <v>0</v>
      </c>
      <c r="H99" s="15">
        <f>0+'táj.2.'!H99</f>
        <v>0</v>
      </c>
      <c r="I99" s="15">
        <f>0+'táj.2.'!I99</f>
        <v>0</v>
      </c>
      <c r="J99" s="15">
        <f>0+'táj.2.'!J99</f>
        <v>0</v>
      </c>
      <c r="K99" s="15">
        <f>1000+'táj.2.'!K99</f>
        <v>1000</v>
      </c>
      <c r="L99" s="15">
        <f>0+'táj.2.'!L99</f>
        <v>0</v>
      </c>
      <c r="M99" s="15">
        <f>0+'táj.2.'!M99</f>
        <v>0</v>
      </c>
      <c r="N99" s="15">
        <f>0+'táj.2.'!N99</f>
        <v>0</v>
      </c>
      <c r="O99" s="15">
        <f>0+'táj.2.'!O99</f>
        <v>0</v>
      </c>
      <c r="P99" s="15">
        <f>0+'táj.2.'!P99</f>
        <v>0</v>
      </c>
      <c r="Q99" s="9">
        <f>SUM(G99:P99)</f>
        <v>1000</v>
      </c>
    </row>
    <row r="100" spans="1:17" ht="15" customHeight="1">
      <c r="A100" s="13"/>
      <c r="B100" s="13"/>
      <c r="C100" s="163"/>
      <c r="D100" s="12" t="s">
        <v>200</v>
      </c>
      <c r="E100" s="668"/>
      <c r="F100" s="23"/>
      <c r="G100" s="15"/>
      <c r="H100" s="15"/>
      <c r="I100" s="15"/>
      <c r="J100" s="296"/>
      <c r="K100" s="15"/>
      <c r="L100" s="296"/>
      <c r="M100" s="296"/>
      <c r="N100" s="296"/>
      <c r="O100" s="296"/>
      <c r="P100" s="296"/>
      <c r="Q100" s="9"/>
    </row>
    <row r="101" spans="1:17" ht="15" customHeight="1">
      <c r="A101" s="13"/>
      <c r="B101" s="13"/>
      <c r="C101" s="163"/>
      <c r="D101" s="12" t="s">
        <v>201</v>
      </c>
      <c r="E101" s="668">
        <v>1</v>
      </c>
      <c r="F101" s="23">
        <v>131703</v>
      </c>
      <c r="G101" s="15">
        <f>0+'táj.2.'!G101</f>
        <v>0</v>
      </c>
      <c r="H101" s="15">
        <f>0+'táj.2.'!H101</f>
        <v>0</v>
      </c>
      <c r="I101" s="15">
        <f>21528+'táj.2.'!I101</f>
        <v>21528</v>
      </c>
      <c r="J101" s="15">
        <f>0+'táj.2.'!J101</f>
        <v>0</v>
      </c>
      <c r="K101" s="15">
        <f>0+'táj.2.'!K101</f>
        <v>0</v>
      </c>
      <c r="L101" s="15">
        <f>0+'táj.2.'!L101</f>
        <v>0</v>
      </c>
      <c r="M101" s="15">
        <f>0+'táj.2.'!M101</f>
        <v>0</v>
      </c>
      <c r="N101" s="15">
        <f>0+'táj.2.'!N101</f>
        <v>0</v>
      </c>
      <c r="O101" s="15">
        <f>0+'táj.2.'!O101</f>
        <v>0</v>
      </c>
      <c r="P101" s="15">
        <f>0+'táj.2.'!P101</f>
        <v>0</v>
      </c>
      <c r="Q101" s="9">
        <f>SUM(G101:P101)</f>
        <v>21528</v>
      </c>
    </row>
    <row r="102" spans="1:17" ht="15" customHeight="1">
      <c r="A102" s="13"/>
      <c r="B102" s="13"/>
      <c r="C102" s="163"/>
      <c r="D102" s="98" t="s">
        <v>202</v>
      </c>
      <c r="E102" s="668">
        <v>1</v>
      </c>
      <c r="F102" s="23">
        <v>121319</v>
      </c>
      <c r="G102" s="15">
        <f>0+'táj.2.'!G102</f>
        <v>0</v>
      </c>
      <c r="H102" s="15">
        <f>0+'táj.2.'!H102</f>
        <v>0</v>
      </c>
      <c r="I102" s="15">
        <f>2465+'táj.2.'!I102</f>
        <v>2465</v>
      </c>
      <c r="J102" s="15">
        <f>0+'táj.2.'!J102</f>
        <v>0</v>
      </c>
      <c r="K102" s="15">
        <f>0+'táj.2.'!K102</f>
        <v>0</v>
      </c>
      <c r="L102" s="15">
        <f>0+'táj.2.'!L102</f>
        <v>0</v>
      </c>
      <c r="M102" s="15">
        <f>0+'táj.2.'!M102</f>
        <v>0</v>
      </c>
      <c r="N102" s="15">
        <f>0+'táj.2.'!N102</f>
        <v>0</v>
      </c>
      <c r="O102" s="15">
        <f>0+'táj.2.'!O102</f>
        <v>0</v>
      </c>
      <c r="P102" s="15">
        <f>0+'táj.2.'!P102</f>
        <v>0</v>
      </c>
      <c r="Q102" s="9">
        <f>SUM(G102:P102)</f>
        <v>2465</v>
      </c>
    </row>
    <row r="103" spans="1:17" ht="27" customHeight="1">
      <c r="A103" s="13"/>
      <c r="B103" s="13"/>
      <c r="C103" s="163"/>
      <c r="D103" s="218" t="s">
        <v>14</v>
      </c>
      <c r="E103" s="16"/>
      <c r="F103" s="13"/>
      <c r="G103" s="15"/>
      <c r="H103" s="15"/>
      <c r="I103" s="9"/>
      <c r="J103" s="9"/>
      <c r="K103" s="150"/>
      <c r="L103" s="292"/>
      <c r="M103" s="292"/>
      <c r="N103" s="292"/>
      <c r="O103" s="292"/>
      <c r="P103" s="293"/>
      <c r="Q103" s="9"/>
    </row>
    <row r="104" spans="1:17" ht="16.5" customHeight="1">
      <c r="A104" s="13"/>
      <c r="B104" s="13"/>
      <c r="C104" s="163"/>
      <c r="D104" s="218" t="s">
        <v>203</v>
      </c>
      <c r="E104" s="16">
        <v>2</v>
      </c>
      <c r="F104" s="13">
        <v>131506</v>
      </c>
      <c r="G104" s="15">
        <f>0+'táj.2.'!G104</f>
        <v>0</v>
      </c>
      <c r="H104" s="15">
        <f>0+'táj.2.'!H104</f>
        <v>0</v>
      </c>
      <c r="I104" s="15">
        <f>2000+'táj.2.'!I104</f>
        <v>2000</v>
      </c>
      <c r="J104" s="15">
        <f>0+'táj.2.'!J104</f>
        <v>0</v>
      </c>
      <c r="K104" s="15">
        <f>0+'táj.2.'!K104</f>
        <v>0</v>
      </c>
      <c r="L104" s="15">
        <f>0+'táj.2.'!L104</f>
        <v>0</v>
      </c>
      <c r="M104" s="15">
        <f>0+'táj.2.'!M104</f>
        <v>0</v>
      </c>
      <c r="N104" s="15">
        <f>0+'táj.2.'!N104</f>
        <v>0</v>
      </c>
      <c r="O104" s="15">
        <f>0+'táj.2.'!O104</f>
        <v>0</v>
      </c>
      <c r="P104" s="15">
        <f>0+'táj.2.'!P104</f>
        <v>0</v>
      </c>
      <c r="Q104" s="9">
        <f>SUM(G104:P104)</f>
        <v>2000</v>
      </c>
    </row>
    <row r="105" spans="1:17" ht="15" customHeight="1">
      <c r="A105" s="13"/>
      <c r="B105" s="13"/>
      <c r="C105" s="163"/>
      <c r="D105" s="16" t="s">
        <v>204</v>
      </c>
      <c r="E105" s="16"/>
      <c r="F105" s="13"/>
      <c r="G105" s="15"/>
      <c r="H105" s="15"/>
      <c r="I105" s="9"/>
      <c r="J105" s="9"/>
      <c r="K105" s="150"/>
      <c r="L105" s="292"/>
      <c r="M105" s="292"/>
      <c r="N105" s="292"/>
      <c r="O105" s="292"/>
      <c r="P105" s="293"/>
      <c r="Q105" s="9"/>
    </row>
    <row r="106" spans="1:17" ht="15" customHeight="1">
      <c r="A106" s="13"/>
      <c r="B106" s="13"/>
      <c r="C106" s="163"/>
      <c r="D106" s="16" t="s">
        <v>205</v>
      </c>
      <c r="E106" s="16">
        <v>2</v>
      </c>
      <c r="F106" s="13">
        <v>131707</v>
      </c>
      <c r="G106" s="15">
        <f>0+'táj.2.'!G106</f>
        <v>0</v>
      </c>
      <c r="H106" s="15">
        <f>0+'táj.2.'!H106</f>
        <v>0</v>
      </c>
      <c r="I106" s="15">
        <f>0+'táj.2.'!I106</f>
        <v>0</v>
      </c>
      <c r="J106" s="15">
        <f>0+'táj.2.'!J106</f>
        <v>0</v>
      </c>
      <c r="K106" s="15">
        <f>11500+'táj.2.'!K106</f>
        <v>11500</v>
      </c>
      <c r="L106" s="15">
        <f>0+'táj.2.'!L106</f>
        <v>0</v>
      </c>
      <c r="M106" s="15">
        <f>0+'táj.2.'!M106</f>
        <v>0</v>
      </c>
      <c r="N106" s="15">
        <f>0+'táj.2.'!N106</f>
        <v>0</v>
      </c>
      <c r="O106" s="15">
        <f>0+'táj.2.'!O106</f>
        <v>0</v>
      </c>
      <c r="P106" s="15">
        <f>0+'táj.2.'!P106</f>
        <v>0</v>
      </c>
      <c r="Q106" s="9">
        <f>SUM(G106:P106)</f>
        <v>11500</v>
      </c>
    </row>
    <row r="107" spans="1:17" ht="16.5" customHeight="1">
      <c r="A107" s="13"/>
      <c r="B107" s="13"/>
      <c r="C107" s="163"/>
      <c r="D107" s="141" t="s">
        <v>15</v>
      </c>
      <c r="E107" s="677"/>
      <c r="F107" s="598"/>
      <c r="G107" s="15"/>
      <c r="H107" s="15"/>
      <c r="I107" s="15"/>
      <c r="J107" s="296"/>
      <c r="K107" s="15"/>
      <c r="L107" s="296"/>
      <c r="M107" s="296"/>
      <c r="N107" s="296"/>
      <c r="O107" s="296"/>
      <c r="P107" s="15"/>
      <c r="Q107" s="9"/>
    </row>
    <row r="108" spans="1:17" ht="15" customHeight="1">
      <c r="A108" s="13"/>
      <c r="B108" s="13"/>
      <c r="C108" s="163"/>
      <c r="D108" s="16" t="s">
        <v>206</v>
      </c>
      <c r="E108" s="678">
        <v>2</v>
      </c>
      <c r="F108" s="23">
        <v>131706</v>
      </c>
      <c r="G108" s="15">
        <f>0+'táj.2.'!G108</f>
        <v>0</v>
      </c>
      <c r="H108" s="15">
        <f>0+'táj.2.'!H108</f>
        <v>0</v>
      </c>
      <c r="I108" s="15">
        <f>800+'táj.2.'!I108</f>
        <v>800</v>
      </c>
      <c r="J108" s="15">
        <f>0+'táj.2.'!J108</f>
        <v>0</v>
      </c>
      <c r="K108" s="15">
        <f>100+'táj.2.'!K108</f>
        <v>100</v>
      </c>
      <c r="L108" s="15">
        <f>0+'táj.2.'!L108</f>
        <v>0</v>
      </c>
      <c r="M108" s="15">
        <f>0+'táj.2.'!M108</f>
        <v>0</v>
      </c>
      <c r="N108" s="15">
        <f>0+'táj.2.'!N108</f>
        <v>0</v>
      </c>
      <c r="O108" s="15">
        <f>0+'táj.2.'!O108</f>
        <v>0</v>
      </c>
      <c r="P108" s="15">
        <f>0+'táj.2.'!P108</f>
        <v>0</v>
      </c>
      <c r="Q108" s="9">
        <f>SUM(G108:P108)</f>
        <v>900</v>
      </c>
    </row>
    <row r="109" spans="1:17" ht="15" customHeight="1">
      <c r="A109" s="13"/>
      <c r="B109" s="13"/>
      <c r="C109" s="163"/>
      <c r="D109" s="16" t="s">
        <v>207</v>
      </c>
      <c r="E109" s="678">
        <v>2</v>
      </c>
      <c r="F109" s="23">
        <v>121517</v>
      </c>
      <c r="G109" s="15">
        <f>0+'táj.2.'!G109</f>
        <v>0</v>
      </c>
      <c r="H109" s="15">
        <f>0+'táj.2.'!H109</f>
        <v>0</v>
      </c>
      <c r="I109" s="15">
        <f>0+'táj.2.'!I109</f>
        <v>0</v>
      </c>
      <c r="J109" s="15">
        <f>0+'táj.2.'!J109</f>
        <v>0</v>
      </c>
      <c r="K109" s="15">
        <f>1570+'táj.2.'!K109</f>
        <v>1570</v>
      </c>
      <c r="L109" s="15">
        <f>0+'táj.2.'!L109</f>
        <v>0</v>
      </c>
      <c r="M109" s="15">
        <f>0+'táj.2.'!M109</f>
        <v>0</v>
      </c>
      <c r="N109" s="15">
        <f>0+'táj.2.'!N109</f>
        <v>0</v>
      </c>
      <c r="O109" s="15">
        <f>0+'táj.2.'!O109</f>
        <v>0</v>
      </c>
      <c r="P109" s="15">
        <f>0+'táj.2.'!P109</f>
        <v>0</v>
      </c>
      <c r="Q109" s="9">
        <f>SUM(G109:P109)</f>
        <v>1570</v>
      </c>
    </row>
    <row r="110" spans="1:17" ht="15" customHeight="1">
      <c r="A110" s="13"/>
      <c r="B110" s="13"/>
      <c r="C110" s="163"/>
      <c r="D110" s="311" t="s">
        <v>708</v>
      </c>
      <c r="E110" s="16"/>
      <c r="F110" s="1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" customHeight="1">
      <c r="A111" s="13"/>
      <c r="B111" s="13"/>
      <c r="C111" s="163"/>
      <c r="D111" s="98" t="s">
        <v>16</v>
      </c>
      <c r="E111" s="668"/>
      <c r="F111" s="2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"/>
      <c r="B112" s="13"/>
      <c r="C112" s="163"/>
      <c r="D112" s="16" t="s">
        <v>208</v>
      </c>
      <c r="E112" s="16">
        <v>2</v>
      </c>
      <c r="F112" s="13">
        <v>131803</v>
      </c>
      <c r="G112" s="15">
        <f>0+'táj.2.'!G112</f>
        <v>0</v>
      </c>
      <c r="H112" s="15">
        <f>0+'táj.2.'!H112</f>
        <v>0</v>
      </c>
      <c r="I112" s="15">
        <f>0+'táj.2.'!I112</f>
        <v>0</v>
      </c>
      <c r="J112" s="15">
        <f>0+'táj.2.'!J112</f>
        <v>0</v>
      </c>
      <c r="K112" s="15">
        <f>150485+'táj.2.'!K112</f>
        <v>150485</v>
      </c>
      <c r="L112" s="15">
        <f>0+'táj.2.'!L112</f>
        <v>0</v>
      </c>
      <c r="M112" s="15">
        <f>0+'táj.2.'!M112</f>
        <v>0</v>
      </c>
      <c r="N112" s="15">
        <f>0+'táj.2.'!N112</f>
        <v>0</v>
      </c>
      <c r="O112" s="15">
        <f>0+'táj.2.'!O112</f>
        <v>0</v>
      </c>
      <c r="P112" s="15">
        <f>0+'táj.2.'!P112</f>
        <v>0</v>
      </c>
      <c r="Q112" s="15">
        <f>SUM(G112:P112)</f>
        <v>150485</v>
      </c>
    </row>
    <row r="113" spans="1:17" ht="15" customHeight="1">
      <c r="A113" s="13"/>
      <c r="B113" s="13"/>
      <c r="C113" s="163"/>
      <c r="D113" s="16" t="s">
        <v>209</v>
      </c>
      <c r="E113" s="16">
        <v>2</v>
      </c>
      <c r="F113" s="13">
        <v>131804</v>
      </c>
      <c r="G113" s="15">
        <f>0+'táj.2.'!G113</f>
        <v>0</v>
      </c>
      <c r="H113" s="15">
        <f>0+'táj.2.'!H113</f>
        <v>0</v>
      </c>
      <c r="I113" s="15">
        <f>0+'táj.2.'!I113</f>
        <v>0</v>
      </c>
      <c r="J113" s="15">
        <f>0+'táj.2.'!J113</f>
        <v>0</v>
      </c>
      <c r="K113" s="15">
        <f>58029+'táj.2.'!K113</f>
        <v>58029</v>
      </c>
      <c r="L113" s="15">
        <f>0+'táj.2.'!L113</f>
        <v>0</v>
      </c>
      <c r="M113" s="15">
        <f>0+'táj.2.'!M113</f>
        <v>0</v>
      </c>
      <c r="N113" s="15">
        <f>0+'táj.2.'!N113</f>
        <v>0</v>
      </c>
      <c r="O113" s="15">
        <f>0+'táj.2.'!O113</f>
        <v>0</v>
      </c>
      <c r="P113" s="15">
        <f>0+'táj.2.'!P113</f>
        <v>0</v>
      </c>
      <c r="Q113" s="15">
        <f>SUM(G113:P113)</f>
        <v>58029</v>
      </c>
    </row>
    <row r="114" spans="1:17" ht="15" customHeight="1">
      <c r="A114" s="13"/>
      <c r="B114" s="13"/>
      <c r="C114" s="163"/>
      <c r="D114" s="16" t="s">
        <v>210</v>
      </c>
      <c r="E114" s="16">
        <v>2</v>
      </c>
      <c r="F114" s="13">
        <v>131805</v>
      </c>
      <c r="G114" s="15">
        <f>0+'táj.2.'!G114</f>
        <v>0</v>
      </c>
      <c r="H114" s="15">
        <f>0+'táj.2.'!H114</f>
        <v>0</v>
      </c>
      <c r="I114" s="15">
        <f>0+'táj.2.'!I114</f>
        <v>0</v>
      </c>
      <c r="J114" s="15">
        <f>0+'táj.2.'!J114</f>
        <v>0</v>
      </c>
      <c r="K114" s="15">
        <f>10800+'táj.2.'!K114</f>
        <v>10800</v>
      </c>
      <c r="L114" s="15">
        <f>0+'táj.2.'!L114</f>
        <v>0</v>
      </c>
      <c r="M114" s="15">
        <f>0+'táj.2.'!M114</f>
        <v>0</v>
      </c>
      <c r="N114" s="15">
        <f>0+'táj.2.'!N114</f>
        <v>0</v>
      </c>
      <c r="O114" s="15">
        <f>0+'táj.2.'!O114</f>
        <v>0</v>
      </c>
      <c r="P114" s="15">
        <f>0+'táj.2.'!P114</f>
        <v>0</v>
      </c>
      <c r="Q114" s="15">
        <f>SUM(G114:P114)</f>
        <v>10800</v>
      </c>
    </row>
    <row r="115" spans="1:17" ht="15" customHeight="1">
      <c r="A115" s="13"/>
      <c r="B115" s="13"/>
      <c r="C115" s="163"/>
      <c r="D115" s="98" t="s">
        <v>709</v>
      </c>
      <c r="E115" s="668"/>
      <c r="F115" s="23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 customHeight="1">
      <c r="A116" s="13"/>
      <c r="B116" s="13"/>
      <c r="C116" s="163"/>
      <c r="D116" s="24" t="s">
        <v>17</v>
      </c>
      <c r="E116" s="668">
        <v>1</v>
      </c>
      <c r="F116" s="23">
        <v>131808</v>
      </c>
      <c r="G116" s="15">
        <f>350+'táj.2.'!G116</f>
        <v>350</v>
      </c>
      <c r="H116" s="15">
        <f>85+'táj.2.'!H116</f>
        <v>85</v>
      </c>
      <c r="I116" s="15">
        <f>1910+'táj.2.'!I116</f>
        <v>1910</v>
      </c>
      <c r="J116" s="15">
        <f>0+'táj.2.'!J116</f>
        <v>0</v>
      </c>
      <c r="K116" s="15">
        <f>0+'táj.2.'!K116</f>
        <v>0</v>
      </c>
      <c r="L116" s="15">
        <f>0+'táj.2.'!L116</f>
        <v>0</v>
      </c>
      <c r="M116" s="15">
        <f>0+'táj.2.'!M116</f>
        <v>0</v>
      </c>
      <c r="N116" s="15">
        <f>0+'táj.2.'!N116</f>
        <v>0</v>
      </c>
      <c r="O116" s="15">
        <f>0+'táj.2.'!O116</f>
        <v>0</v>
      </c>
      <c r="P116" s="15">
        <f>0+'táj.2.'!P116</f>
        <v>0</v>
      </c>
      <c r="Q116" s="15">
        <f>SUM(G116:P116)</f>
        <v>2345</v>
      </c>
    </row>
    <row r="117" spans="1:17" ht="15" customHeight="1">
      <c r="A117" s="13"/>
      <c r="B117" s="13"/>
      <c r="C117" s="163"/>
      <c r="D117" s="24" t="s">
        <v>710</v>
      </c>
      <c r="E117" s="24">
        <v>1</v>
      </c>
      <c r="F117" s="23">
        <v>131807</v>
      </c>
      <c r="G117" s="15">
        <f>0+'táj.2.'!G117</f>
        <v>0</v>
      </c>
      <c r="H117" s="15">
        <f>0+'táj.2.'!H117</f>
        <v>0</v>
      </c>
      <c r="I117" s="15">
        <f>1020+'táj.2.'!I117</f>
        <v>1020</v>
      </c>
      <c r="J117" s="15">
        <f>0+'táj.2.'!J117</f>
        <v>0</v>
      </c>
      <c r="K117" s="15">
        <f>600+'táj.2.'!K117</f>
        <v>600</v>
      </c>
      <c r="L117" s="15">
        <f>0+'táj.2.'!L117</f>
        <v>0</v>
      </c>
      <c r="M117" s="15">
        <f>0+'táj.2.'!M117</f>
        <v>0</v>
      </c>
      <c r="N117" s="15">
        <f>0+'táj.2.'!N117</f>
        <v>0</v>
      </c>
      <c r="O117" s="15">
        <f>0+'táj.2.'!O117</f>
        <v>0</v>
      </c>
      <c r="P117" s="15">
        <f>0+'táj.2.'!P117</f>
        <v>0</v>
      </c>
      <c r="Q117" s="15">
        <f>SUM(G117:P117)</f>
        <v>1620</v>
      </c>
    </row>
    <row r="118" spans="1:17" ht="15" customHeight="1">
      <c r="A118" s="13"/>
      <c r="B118" s="13"/>
      <c r="C118" s="163"/>
      <c r="D118" s="24" t="s">
        <v>211</v>
      </c>
      <c r="E118" s="668">
        <v>1</v>
      </c>
      <c r="F118" s="23">
        <v>131809</v>
      </c>
      <c r="G118" s="15">
        <f>0+'táj.2.'!G118</f>
        <v>0</v>
      </c>
      <c r="H118" s="15">
        <f>0+'táj.2.'!H118</f>
        <v>0</v>
      </c>
      <c r="I118" s="15">
        <f>0+'táj.2.'!I118</f>
        <v>0</v>
      </c>
      <c r="J118" s="15">
        <f>0+'táj.2.'!J118</f>
        <v>0</v>
      </c>
      <c r="K118" s="15">
        <f>450+'táj.2.'!K118</f>
        <v>450</v>
      </c>
      <c r="L118" s="15">
        <f>0+'táj.2.'!L118</f>
        <v>0</v>
      </c>
      <c r="M118" s="15">
        <f>0+'táj.2.'!M118</f>
        <v>0</v>
      </c>
      <c r="N118" s="15">
        <f>0+'táj.2.'!N118</f>
        <v>0</v>
      </c>
      <c r="O118" s="15">
        <f>0+'táj.2.'!O118</f>
        <v>0</v>
      </c>
      <c r="P118" s="15">
        <f>0+'táj.2.'!P118</f>
        <v>0</v>
      </c>
      <c r="Q118" s="15">
        <f>SUM(G118:P118)</f>
        <v>450</v>
      </c>
    </row>
    <row r="119" spans="1:17" ht="15" customHeight="1">
      <c r="A119" s="13"/>
      <c r="B119" s="13"/>
      <c r="C119" s="163"/>
      <c r="D119" s="162" t="s">
        <v>212</v>
      </c>
      <c r="E119" s="16">
        <v>2</v>
      </c>
      <c r="F119" s="13">
        <v>131835</v>
      </c>
      <c r="G119" s="15">
        <f>0+'táj.2.'!G119</f>
        <v>0</v>
      </c>
      <c r="H119" s="15">
        <f>0+'táj.2.'!H119</f>
        <v>0</v>
      </c>
      <c r="I119" s="15">
        <f>0+'táj.2.'!I119</f>
        <v>0</v>
      </c>
      <c r="J119" s="15">
        <f>0+'táj.2.'!J119</f>
        <v>0</v>
      </c>
      <c r="K119" s="15">
        <f>6500+'táj.2.'!K119</f>
        <v>6500</v>
      </c>
      <c r="L119" s="15">
        <f>0+'táj.2.'!L119</f>
        <v>0</v>
      </c>
      <c r="M119" s="15">
        <f>0+'táj.2.'!M119</f>
        <v>0</v>
      </c>
      <c r="N119" s="15">
        <f>0+'táj.2.'!N119</f>
        <v>0</v>
      </c>
      <c r="O119" s="15">
        <f>0+'táj.2.'!O119</f>
        <v>0</v>
      </c>
      <c r="P119" s="15">
        <f>0+'táj.2.'!P119</f>
        <v>0</v>
      </c>
      <c r="Q119" s="15">
        <f>SUM(G119:P119)</f>
        <v>6500</v>
      </c>
    </row>
    <row r="120" spans="1:17" ht="15" customHeight="1">
      <c r="A120" s="13"/>
      <c r="B120" s="13"/>
      <c r="C120" s="163"/>
      <c r="D120" s="100" t="s">
        <v>18</v>
      </c>
      <c r="E120" s="668"/>
      <c r="F120" s="23"/>
      <c r="G120" s="15"/>
      <c r="H120" s="25"/>
      <c r="I120" s="25"/>
      <c r="J120" s="25"/>
      <c r="K120" s="25"/>
      <c r="L120" s="25"/>
      <c r="M120" s="25"/>
      <c r="N120" s="25"/>
      <c r="O120" s="25"/>
      <c r="P120" s="25"/>
      <c r="Q120" s="15"/>
    </row>
    <row r="121" spans="1:17" ht="15" customHeight="1">
      <c r="A121" s="13"/>
      <c r="B121" s="13"/>
      <c r="C121" s="163"/>
      <c r="D121" s="24" t="s">
        <v>19</v>
      </c>
      <c r="E121" s="24">
        <v>1</v>
      </c>
      <c r="F121" s="23">
        <v>131811</v>
      </c>
      <c r="G121" s="15">
        <f>0+'táj.2.'!G121</f>
        <v>0</v>
      </c>
      <c r="H121" s="15">
        <f>0+'táj.2.'!H121</f>
        <v>0</v>
      </c>
      <c r="I121" s="15">
        <f>0+'táj.2.'!I121</f>
        <v>0</v>
      </c>
      <c r="J121" s="15">
        <f>0+'táj.2.'!J121</f>
        <v>0</v>
      </c>
      <c r="K121" s="15">
        <f>12000+'táj.2.'!K121</f>
        <v>12000</v>
      </c>
      <c r="L121" s="15">
        <f>0+'táj.2.'!L121</f>
        <v>0</v>
      </c>
      <c r="M121" s="15">
        <f>0+'táj.2.'!M121</f>
        <v>0</v>
      </c>
      <c r="N121" s="15">
        <f>0+'táj.2.'!N121</f>
        <v>0</v>
      </c>
      <c r="O121" s="15">
        <f>0+'táj.2.'!O121</f>
        <v>0</v>
      </c>
      <c r="P121" s="15">
        <f>0+'táj.2.'!P121</f>
        <v>0</v>
      </c>
      <c r="Q121" s="15">
        <f aca="true" t="shared" si="4" ref="Q121:Q130">SUM(G121:P121)</f>
        <v>12000</v>
      </c>
    </row>
    <row r="122" spans="1:17" ht="15" customHeight="1">
      <c r="A122" s="13"/>
      <c r="B122" s="13"/>
      <c r="C122" s="163"/>
      <c r="D122" s="24" t="s">
        <v>213</v>
      </c>
      <c r="E122" s="24">
        <v>1</v>
      </c>
      <c r="F122" s="23">
        <v>131812</v>
      </c>
      <c r="G122" s="15">
        <f>0+'táj.2.'!G122</f>
        <v>0</v>
      </c>
      <c r="H122" s="15">
        <f>0+'táj.2.'!H122</f>
        <v>0</v>
      </c>
      <c r="I122" s="15">
        <f>0+'táj.2.'!I122</f>
        <v>0</v>
      </c>
      <c r="J122" s="15">
        <f>0+'táj.2.'!J122</f>
        <v>0</v>
      </c>
      <c r="K122" s="15">
        <f>5000+'táj.2.'!K122</f>
        <v>5000</v>
      </c>
      <c r="L122" s="15">
        <f>0+'táj.2.'!L122</f>
        <v>0</v>
      </c>
      <c r="M122" s="15">
        <f>0+'táj.2.'!M122</f>
        <v>0</v>
      </c>
      <c r="N122" s="15">
        <f>0+'táj.2.'!N122</f>
        <v>0</v>
      </c>
      <c r="O122" s="15">
        <f>0+'táj.2.'!O122</f>
        <v>0</v>
      </c>
      <c r="P122" s="15">
        <f>0+'táj.2.'!P122</f>
        <v>0</v>
      </c>
      <c r="Q122" s="15">
        <f t="shared" si="4"/>
        <v>5000</v>
      </c>
    </row>
    <row r="123" spans="1:17" ht="15" customHeight="1">
      <c r="A123" s="13"/>
      <c r="B123" s="13"/>
      <c r="C123" s="163"/>
      <c r="D123" s="24" t="s">
        <v>214</v>
      </c>
      <c r="E123" s="24">
        <v>1</v>
      </c>
      <c r="F123" s="23">
        <v>131813</v>
      </c>
      <c r="G123" s="15">
        <f>0+'táj.2.'!G123</f>
        <v>0</v>
      </c>
      <c r="H123" s="15">
        <f>0+'táj.2.'!H123</f>
        <v>0</v>
      </c>
      <c r="I123" s="15">
        <f>0+'táj.2.'!I123</f>
        <v>0</v>
      </c>
      <c r="J123" s="15">
        <f>0+'táj.2.'!J123</f>
        <v>0</v>
      </c>
      <c r="K123" s="15">
        <f>1800+'táj.2.'!K123</f>
        <v>1800</v>
      </c>
      <c r="L123" s="15">
        <f>0+'táj.2.'!L123</f>
        <v>0</v>
      </c>
      <c r="M123" s="15">
        <f>0+'táj.2.'!M123</f>
        <v>0</v>
      </c>
      <c r="N123" s="15">
        <f>0+'táj.2.'!N123</f>
        <v>0</v>
      </c>
      <c r="O123" s="15">
        <f>0+'táj.2.'!O123</f>
        <v>0</v>
      </c>
      <c r="P123" s="15">
        <f>0+'táj.2.'!P123</f>
        <v>0</v>
      </c>
      <c r="Q123" s="15">
        <f t="shared" si="4"/>
        <v>1800</v>
      </c>
    </row>
    <row r="124" spans="1:17" ht="15" customHeight="1">
      <c r="A124" s="13"/>
      <c r="B124" s="13"/>
      <c r="C124" s="163"/>
      <c r="D124" s="24" t="s">
        <v>215</v>
      </c>
      <c r="E124" s="24">
        <v>1</v>
      </c>
      <c r="F124" s="23">
        <v>131815</v>
      </c>
      <c r="G124" s="15">
        <f>0+'táj.2.'!G124</f>
        <v>0</v>
      </c>
      <c r="H124" s="15">
        <f>0+'táj.2.'!H124</f>
        <v>0</v>
      </c>
      <c r="I124" s="15">
        <f>0+'táj.2.'!I124</f>
        <v>0</v>
      </c>
      <c r="J124" s="15">
        <f>0+'táj.2.'!J124</f>
        <v>0</v>
      </c>
      <c r="K124" s="15">
        <f>270+'táj.2.'!K124</f>
        <v>270</v>
      </c>
      <c r="L124" s="15">
        <f>0+'táj.2.'!L124</f>
        <v>0</v>
      </c>
      <c r="M124" s="15">
        <f>0+'táj.2.'!M124</f>
        <v>0</v>
      </c>
      <c r="N124" s="15">
        <f>0+'táj.2.'!N124</f>
        <v>0</v>
      </c>
      <c r="O124" s="15">
        <f>0+'táj.2.'!O124</f>
        <v>0</v>
      </c>
      <c r="P124" s="15">
        <f>0+'táj.2.'!P124</f>
        <v>0</v>
      </c>
      <c r="Q124" s="15">
        <f t="shared" si="4"/>
        <v>270</v>
      </c>
    </row>
    <row r="125" spans="1:17" ht="15" customHeight="1">
      <c r="A125" s="13"/>
      <c r="B125" s="13"/>
      <c r="C125" s="163"/>
      <c r="D125" s="24" t="s">
        <v>216</v>
      </c>
      <c r="E125" s="24">
        <v>1</v>
      </c>
      <c r="F125" s="23">
        <v>131816</v>
      </c>
      <c r="G125" s="15">
        <f>0+'táj.2.'!G125</f>
        <v>0</v>
      </c>
      <c r="H125" s="15">
        <f>0+'táj.2.'!H125</f>
        <v>0</v>
      </c>
      <c r="I125" s="15">
        <f>0+'táj.2.'!I125</f>
        <v>0</v>
      </c>
      <c r="J125" s="15">
        <f>0+'táj.2.'!J125</f>
        <v>0</v>
      </c>
      <c r="K125" s="15">
        <f>900+'táj.2.'!K125</f>
        <v>900</v>
      </c>
      <c r="L125" s="15">
        <f>0+'táj.2.'!L125</f>
        <v>0</v>
      </c>
      <c r="M125" s="15">
        <f>0+'táj.2.'!M125</f>
        <v>0</v>
      </c>
      <c r="N125" s="15">
        <f>0+'táj.2.'!N125</f>
        <v>0</v>
      </c>
      <c r="O125" s="15">
        <f>0+'táj.2.'!O125</f>
        <v>0</v>
      </c>
      <c r="P125" s="15">
        <f>0+'táj.2.'!P125</f>
        <v>0</v>
      </c>
      <c r="Q125" s="15">
        <f t="shared" si="4"/>
        <v>900</v>
      </c>
    </row>
    <row r="126" spans="1:17" ht="15" customHeight="1">
      <c r="A126" s="13"/>
      <c r="B126" s="13"/>
      <c r="C126" s="163"/>
      <c r="D126" s="24" t="s">
        <v>217</v>
      </c>
      <c r="E126" s="24">
        <v>1</v>
      </c>
      <c r="F126" s="23">
        <v>131817</v>
      </c>
      <c r="G126" s="15">
        <f>0+'táj.2.'!G126</f>
        <v>0</v>
      </c>
      <c r="H126" s="15">
        <f>0+'táj.2.'!H126</f>
        <v>0</v>
      </c>
      <c r="I126" s="15">
        <f>0+'táj.2.'!I126</f>
        <v>0</v>
      </c>
      <c r="J126" s="15">
        <f>0+'táj.2.'!J126</f>
        <v>0</v>
      </c>
      <c r="K126" s="15">
        <f>1080+'táj.2.'!K126</f>
        <v>1080</v>
      </c>
      <c r="L126" s="15">
        <f>0+'táj.2.'!L126</f>
        <v>0</v>
      </c>
      <c r="M126" s="15">
        <f>0+'táj.2.'!M126</f>
        <v>0</v>
      </c>
      <c r="N126" s="15">
        <f>0+'táj.2.'!N126</f>
        <v>0</v>
      </c>
      <c r="O126" s="15">
        <f>0+'táj.2.'!O126</f>
        <v>0</v>
      </c>
      <c r="P126" s="15">
        <f>0+'táj.2.'!P126</f>
        <v>0</v>
      </c>
      <c r="Q126" s="15">
        <f t="shared" si="4"/>
        <v>1080</v>
      </c>
    </row>
    <row r="127" spans="1:17" ht="15" customHeight="1">
      <c r="A127" s="13"/>
      <c r="B127" s="13"/>
      <c r="C127" s="163"/>
      <c r="D127" s="24" t="s">
        <v>218</v>
      </c>
      <c r="E127" s="24">
        <v>1</v>
      </c>
      <c r="F127" s="23">
        <v>131818</v>
      </c>
      <c r="G127" s="15">
        <f>0+'táj.2.'!G127</f>
        <v>0</v>
      </c>
      <c r="H127" s="15">
        <f>0+'táj.2.'!H127</f>
        <v>0</v>
      </c>
      <c r="I127" s="15">
        <f>0+'táj.2.'!I127</f>
        <v>0</v>
      </c>
      <c r="J127" s="15">
        <f>0+'táj.2.'!J127</f>
        <v>0</v>
      </c>
      <c r="K127" s="15">
        <f>450+'táj.2.'!K127</f>
        <v>450</v>
      </c>
      <c r="L127" s="15">
        <f>0+'táj.2.'!L127</f>
        <v>0</v>
      </c>
      <c r="M127" s="15">
        <f>0+'táj.2.'!M127</f>
        <v>0</v>
      </c>
      <c r="N127" s="15">
        <f>0+'táj.2.'!N127</f>
        <v>0</v>
      </c>
      <c r="O127" s="15">
        <f>0+'táj.2.'!O127</f>
        <v>0</v>
      </c>
      <c r="P127" s="15">
        <f>0+'táj.2.'!P127</f>
        <v>0</v>
      </c>
      <c r="Q127" s="15">
        <f t="shared" si="4"/>
        <v>450</v>
      </c>
    </row>
    <row r="128" spans="1:17" ht="15" customHeight="1">
      <c r="A128" s="13"/>
      <c r="B128" s="13"/>
      <c r="C128" s="163"/>
      <c r="D128" s="24" t="s">
        <v>219</v>
      </c>
      <c r="E128" s="24">
        <v>1</v>
      </c>
      <c r="F128" s="23">
        <v>131819</v>
      </c>
      <c r="G128" s="15">
        <f>0+'táj.2.'!G128</f>
        <v>0</v>
      </c>
      <c r="H128" s="15">
        <f>0+'táj.2.'!H128</f>
        <v>0</v>
      </c>
      <c r="I128" s="15">
        <f>0+'táj.2.'!I128</f>
        <v>0</v>
      </c>
      <c r="J128" s="15">
        <f>0+'táj.2.'!J128</f>
        <v>0</v>
      </c>
      <c r="K128" s="15">
        <f>360+'táj.2.'!K128</f>
        <v>360</v>
      </c>
      <c r="L128" s="15">
        <f>0+'táj.2.'!L128</f>
        <v>0</v>
      </c>
      <c r="M128" s="15">
        <f>0+'táj.2.'!M128</f>
        <v>0</v>
      </c>
      <c r="N128" s="15">
        <f>0+'táj.2.'!N128</f>
        <v>0</v>
      </c>
      <c r="O128" s="15">
        <f>0+'táj.2.'!O128</f>
        <v>0</v>
      </c>
      <c r="P128" s="15">
        <f>0+'táj.2.'!P128</f>
        <v>0</v>
      </c>
      <c r="Q128" s="15">
        <f t="shared" si="4"/>
        <v>360</v>
      </c>
    </row>
    <row r="129" spans="1:17" ht="15" customHeight="1">
      <c r="A129" s="13"/>
      <c r="B129" s="13"/>
      <c r="C129" s="163"/>
      <c r="D129" s="24" t="s">
        <v>220</v>
      </c>
      <c r="E129" s="24">
        <v>1</v>
      </c>
      <c r="F129" s="23">
        <v>131832</v>
      </c>
      <c r="G129" s="15">
        <f>0+'táj.2.'!G129</f>
        <v>0</v>
      </c>
      <c r="H129" s="15">
        <f>0+'táj.2.'!H129</f>
        <v>0</v>
      </c>
      <c r="I129" s="15">
        <f>0+'táj.2.'!I129</f>
        <v>0</v>
      </c>
      <c r="J129" s="15">
        <f>0+'táj.2.'!J129</f>
        <v>0</v>
      </c>
      <c r="K129" s="15">
        <f>270+'táj.2.'!K129</f>
        <v>270</v>
      </c>
      <c r="L129" s="15">
        <f>0+'táj.2.'!L129</f>
        <v>0</v>
      </c>
      <c r="M129" s="15">
        <f>0+'táj.2.'!M129</f>
        <v>0</v>
      </c>
      <c r="N129" s="15">
        <f>0+'táj.2.'!N129</f>
        <v>0</v>
      </c>
      <c r="O129" s="15">
        <f>0+'táj.2.'!O129</f>
        <v>0</v>
      </c>
      <c r="P129" s="15">
        <f>0+'táj.2.'!P129</f>
        <v>0</v>
      </c>
      <c r="Q129" s="15">
        <f t="shared" si="4"/>
        <v>270</v>
      </c>
    </row>
    <row r="130" spans="1:17" ht="15" customHeight="1">
      <c r="A130" s="13"/>
      <c r="B130" s="13"/>
      <c r="C130" s="163"/>
      <c r="D130" s="24" t="s">
        <v>221</v>
      </c>
      <c r="E130" s="24">
        <v>1</v>
      </c>
      <c r="F130" s="23">
        <v>131820</v>
      </c>
      <c r="G130" s="15">
        <f>0+'táj.2.'!G130</f>
        <v>0</v>
      </c>
      <c r="H130" s="15">
        <f>0+'táj.2.'!H130</f>
        <v>0</v>
      </c>
      <c r="I130" s="15">
        <f>350+'táj.2.'!I130</f>
        <v>350</v>
      </c>
      <c r="J130" s="15">
        <f>0+'táj.2.'!J130</f>
        <v>0</v>
      </c>
      <c r="K130" s="15">
        <f>1000+'táj.2.'!K130</f>
        <v>1000</v>
      </c>
      <c r="L130" s="15">
        <f>0+'táj.2.'!L130</f>
        <v>0</v>
      </c>
      <c r="M130" s="15">
        <f>0+'táj.2.'!M130</f>
        <v>0</v>
      </c>
      <c r="N130" s="15">
        <f>0+'táj.2.'!N130</f>
        <v>0</v>
      </c>
      <c r="O130" s="15">
        <f>0+'táj.2.'!O130</f>
        <v>0</v>
      </c>
      <c r="P130" s="15">
        <f>0+'táj.2.'!P130</f>
        <v>0</v>
      </c>
      <c r="Q130" s="15">
        <f t="shared" si="4"/>
        <v>1350</v>
      </c>
    </row>
    <row r="131" spans="1:17" ht="15" customHeight="1">
      <c r="A131" s="13"/>
      <c r="B131" s="13"/>
      <c r="C131" s="163"/>
      <c r="D131" s="24" t="s">
        <v>222</v>
      </c>
      <c r="E131" s="24"/>
      <c r="F131" s="23"/>
      <c r="G131" s="15"/>
      <c r="H131" s="25"/>
      <c r="I131" s="25"/>
      <c r="J131" s="25"/>
      <c r="K131" s="25"/>
      <c r="L131" s="25"/>
      <c r="M131" s="25"/>
      <c r="N131" s="25"/>
      <c r="O131" s="25"/>
      <c r="P131" s="25"/>
      <c r="Q131" s="15"/>
    </row>
    <row r="132" spans="1:17" ht="15" customHeight="1">
      <c r="A132" s="13"/>
      <c r="B132" s="13"/>
      <c r="C132" s="163"/>
      <c r="D132" s="24" t="s">
        <v>223</v>
      </c>
      <c r="E132" s="668">
        <v>2</v>
      </c>
      <c r="F132" s="23">
        <v>131821</v>
      </c>
      <c r="G132" s="15">
        <f>0+'táj.2.'!G132</f>
        <v>0</v>
      </c>
      <c r="H132" s="15">
        <f>0+'táj.2.'!H132</f>
        <v>0</v>
      </c>
      <c r="I132" s="15">
        <f>0+'táj.2.'!I132</f>
        <v>0</v>
      </c>
      <c r="J132" s="15">
        <f>0+'táj.2.'!J132</f>
        <v>0</v>
      </c>
      <c r="K132" s="15">
        <f>6830+'táj.2.'!K132</f>
        <v>6830</v>
      </c>
      <c r="L132" s="15">
        <f>0+'táj.2.'!L132</f>
        <v>0</v>
      </c>
      <c r="M132" s="15">
        <f>0+'táj.2.'!M132</f>
        <v>0</v>
      </c>
      <c r="N132" s="15">
        <f>0+'táj.2.'!N132</f>
        <v>0</v>
      </c>
      <c r="O132" s="15">
        <f>0+'táj.2.'!O132</f>
        <v>0</v>
      </c>
      <c r="P132" s="15">
        <f>0+'táj.2.'!P132</f>
        <v>0</v>
      </c>
      <c r="Q132" s="15">
        <f aca="true" t="shared" si="5" ref="Q132:Q146">SUM(G132:P132)</f>
        <v>6830</v>
      </c>
    </row>
    <row r="133" spans="1:17" ht="15" customHeight="1">
      <c r="A133" s="13"/>
      <c r="B133" s="13"/>
      <c r="C133" s="163"/>
      <c r="D133" s="24" t="s">
        <v>224</v>
      </c>
      <c r="E133" s="668">
        <v>2</v>
      </c>
      <c r="F133" s="23">
        <v>131822</v>
      </c>
      <c r="G133" s="15">
        <f>0+'táj.2.'!G133</f>
        <v>0</v>
      </c>
      <c r="H133" s="15">
        <f>0+'táj.2.'!H133</f>
        <v>0</v>
      </c>
      <c r="I133" s="15">
        <f>0+'táj.2.'!I133</f>
        <v>0</v>
      </c>
      <c r="J133" s="15">
        <f>0+'táj.2.'!J133</f>
        <v>0</v>
      </c>
      <c r="K133" s="15">
        <f>500+'táj.2.'!K133</f>
        <v>500</v>
      </c>
      <c r="L133" s="15">
        <f>0+'táj.2.'!L133</f>
        <v>0</v>
      </c>
      <c r="M133" s="15">
        <f>0+'táj.2.'!M133</f>
        <v>0</v>
      </c>
      <c r="N133" s="15">
        <f>0+'táj.2.'!N133</f>
        <v>0</v>
      </c>
      <c r="O133" s="15">
        <f>0+'táj.2.'!O133</f>
        <v>0</v>
      </c>
      <c r="P133" s="15">
        <f>0+'táj.2.'!P133</f>
        <v>0</v>
      </c>
      <c r="Q133" s="15">
        <f t="shared" si="5"/>
        <v>500</v>
      </c>
    </row>
    <row r="134" spans="1:17" ht="15" customHeight="1">
      <c r="A134" s="13"/>
      <c r="B134" s="13"/>
      <c r="C134" s="163"/>
      <c r="D134" s="316" t="s">
        <v>225</v>
      </c>
      <c r="E134" s="679">
        <v>2</v>
      </c>
      <c r="F134" s="599">
        <v>131823</v>
      </c>
      <c r="G134" s="15">
        <f>0+'táj.2.'!G134</f>
        <v>0</v>
      </c>
      <c r="H134" s="15">
        <f>0+'táj.2.'!H134</f>
        <v>0</v>
      </c>
      <c r="I134" s="15">
        <f>0+'táj.2.'!I134</f>
        <v>0</v>
      </c>
      <c r="J134" s="15">
        <f>0+'táj.2.'!J134</f>
        <v>0</v>
      </c>
      <c r="K134" s="15">
        <f>18000+'táj.2.'!K134</f>
        <v>18000</v>
      </c>
      <c r="L134" s="15">
        <f>0+'táj.2.'!L134</f>
        <v>0</v>
      </c>
      <c r="M134" s="15">
        <f>0+'táj.2.'!M134</f>
        <v>0</v>
      </c>
      <c r="N134" s="15">
        <f>0+'táj.2.'!N134</f>
        <v>0</v>
      </c>
      <c r="O134" s="15">
        <f>0+'táj.2.'!O134</f>
        <v>0</v>
      </c>
      <c r="P134" s="15">
        <f>0+'táj.2.'!P134</f>
        <v>0</v>
      </c>
      <c r="Q134" s="15">
        <f t="shared" si="5"/>
        <v>18000</v>
      </c>
    </row>
    <row r="135" spans="1:17" ht="15" customHeight="1">
      <c r="A135" s="13"/>
      <c r="B135" s="13"/>
      <c r="C135" s="163"/>
      <c r="D135" s="316" t="s">
        <v>226</v>
      </c>
      <c r="E135" s="680">
        <v>2</v>
      </c>
      <c r="F135" s="599">
        <v>131824</v>
      </c>
      <c r="G135" s="15">
        <f>0+'táj.2.'!G135</f>
        <v>0</v>
      </c>
      <c r="H135" s="15">
        <f>0+'táj.2.'!H135</f>
        <v>0</v>
      </c>
      <c r="I135" s="15">
        <f>0+'táj.2.'!I135</f>
        <v>0</v>
      </c>
      <c r="J135" s="15">
        <f>0+'táj.2.'!J135</f>
        <v>0</v>
      </c>
      <c r="K135" s="15">
        <f>2500+'táj.2.'!K135</f>
        <v>2500</v>
      </c>
      <c r="L135" s="15">
        <f>0+'táj.2.'!L135</f>
        <v>0</v>
      </c>
      <c r="M135" s="15">
        <f>0+'táj.2.'!M135</f>
        <v>0</v>
      </c>
      <c r="N135" s="15">
        <f>0+'táj.2.'!N135</f>
        <v>0</v>
      </c>
      <c r="O135" s="15">
        <f>0+'táj.2.'!O135</f>
        <v>0</v>
      </c>
      <c r="P135" s="15">
        <f>0+'táj.2.'!P135</f>
        <v>0</v>
      </c>
      <c r="Q135" s="15">
        <f t="shared" si="5"/>
        <v>2500</v>
      </c>
    </row>
    <row r="136" spans="1:17" ht="15" customHeight="1">
      <c r="A136" s="13"/>
      <c r="B136" s="13"/>
      <c r="C136" s="163"/>
      <c r="D136" s="316" t="s">
        <v>227</v>
      </c>
      <c r="E136" s="680">
        <v>2</v>
      </c>
      <c r="F136" s="599">
        <v>131833</v>
      </c>
      <c r="G136" s="15">
        <f>0+'táj.2.'!G136</f>
        <v>0</v>
      </c>
      <c r="H136" s="15">
        <f>0+'táj.2.'!H136</f>
        <v>0</v>
      </c>
      <c r="I136" s="15">
        <f>0+'táj.2.'!I136</f>
        <v>0</v>
      </c>
      <c r="J136" s="15">
        <f>0+'táj.2.'!J136</f>
        <v>0</v>
      </c>
      <c r="K136" s="15">
        <f>2500+'táj.2.'!K136</f>
        <v>2500</v>
      </c>
      <c r="L136" s="15">
        <f>0+'táj.2.'!L136</f>
        <v>0</v>
      </c>
      <c r="M136" s="15">
        <f>0+'táj.2.'!M136</f>
        <v>0</v>
      </c>
      <c r="N136" s="15">
        <f>0+'táj.2.'!N136</f>
        <v>0</v>
      </c>
      <c r="O136" s="15">
        <f>0+'táj.2.'!O136</f>
        <v>0</v>
      </c>
      <c r="P136" s="15">
        <f>0+'táj.2.'!P136</f>
        <v>0</v>
      </c>
      <c r="Q136" s="15">
        <f t="shared" si="5"/>
        <v>2500</v>
      </c>
    </row>
    <row r="137" spans="1:17" ht="15" customHeight="1">
      <c r="A137" s="13"/>
      <c r="B137" s="13"/>
      <c r="C137" s="163"/>
      <c r="D137" s="316" t="s">
        <v>228</v>
      </c>
      <c r="E137" s="680">
        <v>2</v>
      </c>
      <c r="F137" s="599">
        <v>131834</v>
      </c>
      <c r="G137" s="15">
        <f>0+'táj.2.'!G137</f>
        <v>0</v>
      </c>
      <c r="H137" s="15">
        <f>0+'táj.2.'!H137</f>
        <v>0</v>
      </c>
      <c r="I137" s="15">
        <f>0+'táj.2.'!I137</f>
        <v>0</v>
      </c>
      <c r="J137" s="15">
        <f>0+'táj.2.'!J137</f>
        <v>0</v>
      </c>
      <c r="K137" s="15">
        <f>4000+'táj.2.'!K137</f>
        <v>4000</v>
      </c>
      <c r="L137" s="15">
        <f>0+'táj.2.'!L137</f>
        <v>0</v>
      </c>
      <c r="M137" s="15">
        <f>0+'táj.2.'!M137</f>
        <v>0</v>
      </c>
      <c r="N137" s="15">
        <f>0+'táj.2.'!N137</f>
        <v>0</v>
      </c>
      <c r="O137" s="15">
        <f>0+'táj.2.'!O137</f>
        <v>0</v>
      </c>
      <c r="P137" s="15">
        <f>0+'táj.2.'!P137</f>
        <v>0</v>
      </c>
      <c r="Q137" s="15">
        <f t="shared" si="5"/>
        <v>4000</v>
      </c>
    </row>
    <row r="138" spans="1:17" ht="15" customHeight="1">
      <c r="A138" s="13"/>
      <c r="B138" s="13"/>
      <c r="C138" s="163"/>
      <c r="D138" s="316" t="s">
        <v>229</v>
      </c>
      <c r="E138" s="680">
        <v>2</v>
      </c>
      <c r="F138" s="599">
        <v>131836</v>
      </c>
      <c r="G138" s="15">
        <f>0+'táj.2.'!G138</f>
        <v>0</v>
      </c>
      <c r="H138" s="15">
        <f>0+'táj.2.'!H138</f>
        <v>0</v>
      </c>
      <c r="I138" s="15">
        <f>0+'táj.2.'!I138</f>
        <v>0</v>
      </c>
      <c r="J138" s="15">
        <f>0+'táj.2.'!J138</f>
        <v>0</v>
      </c>
      <c r="K138" s="15">
        <f>6000+'táj.2.'!K138</f>
        <v>6000</v>
      </c>
      <c r="L138" s="15">
        <f>0+'táj.2.'!L138</f>
        <v>0</v>
      </c>
      <c r="M138" s="15">
        <f>0+'táj.2.'!M138</f>
        <v>0</v>
      </c>
      <c r="N138" s="15">
        <f>0+'táj.2.'!N138</f>
        <v>0</v>
      </c>
      <c r="O138" s="15">
        <f>0+'táj.2.'!O138</f>
        <v>0</v>
      </c>
      <c r="P138" s="15">
        <f>0+'táj.2.'!P138</f>
        <v>0</v>
      </c>
      <c r="Q138" s="15">
        <f t="shared" si="5"/>
        <v>6000</v>
      </c>
    </row>
    <row r="139" spans="1:17" ht="15" customHeight="1">
      <c r="A139" s="13"/>
      <c r="B139" s="13"/>
      <c r="C139" s="163"/>
      <c r="D139" s="316" t="s">
        <v>230</v>
      </c>
      <c r="E139" s="680">
        <v>2</v>
      </c>
      <c r="F139" s="599">
        <v>131837</v>
      </c>
      <c r="G139" s="15">
        <f>0+'táj.2.'!G139</f>
        <v>0</v>
      </c>
      <c r="H139" s="15">
        <f>0+'táj.2.'!H139</f>
        <v>0</v>
      </c>
      <c r="I139" s="15">
        <f>0+'táj.2.'!I139</f>
        <v>0</v>
      </c>
      <c r="J139" s="15">
        <f>0+'táj.2.'!J139</f>
        <v>0</v>
      </c>
      <c r="K139" s="15">
        <f>5000+'táj.2.'!K139</f>
        <v>5000</v>
      </c>
      <c r="L139" s="15">
        <f>0+'táj.2.'!L139</f>
        <v>0</v>
      </c>
      <c r="M139" s="15">
        <f>0+'táj.2.'!M139</f>
        <v>0</v>
      </c>
      <c r="N139" s="15">
        <f>0+'táj.2.'!N139</f>
        <v>0</v>
      </c>
      <c r="O139" s="15">
        <f>0+'táj.2.'!O139</f>
        <v>0</v>
      </c>
      <c r="P139" s="15">
        <f>0+'táj.2.'!P139</f>
        <v>0</v>
      </c>
      <c r="Q139" s="15">
        <f t="shared" si="5"/>
        <v>5000</v>
      </c>
    </row>
    <row r="140" spans="1:17" ht="15" customHeight="1">
      <c r="A140" s="13"/>
      <c r="B140" s="13"/>
      <c r="C140" s="163"/>
      <c r="D140" s="316" t="s">
        <v>231</v>
      </c>
      <c r="E140" s="680">
        <v>2</v>
      </c>
      <c r="F140" s="599">
        <v>131838</v>
      </c>
      <c r="G140" s="15">
        <f>0+'táj.2.'!G140</f>
        <v>0</v>
      </c>
      <c r="H140" s="15">
        <f>0+'táj.2.'!H140</f>
        <v>0</v>
      </c>
      <c r="I140" s="15">
        <f>0+'táj.2.'!I140</f>
        <v>0</v>
      </c>
      <c r="J140" s="15">
        <f>0+'táj.2.'!J140</f>
        <v>0</v>
      </c>
      <c r="K140" s="15">
        <f>5000+'táj.2.'!K140</f>
        <v>5000</v>
      </c>
      <c r="L140" s="15">
        <f>0+'táj.2.'!L140</f>
        <v>0</v>
      </c>
      <c r="M140" s="15">
        <f>0+'táj.2.'!M140</f>
        <v>0</v>
      </c>
      <c r="N140" s="15">
        <f>0+'táj.2.'!N140</f>
        <v>0</v>
      </c>
      <c r="O140" s="15">
        <f>0+'táj.2.'!O140</f>
        <v>0</v>
      </c>
      <c r="P140" s="15">
        <f>0+'táj.2.'!P140</f>
        <v>0</v>
      </c>
      <c r="Q140" s="15">
        <f t="shared" si="5"/>
        <v>5000</v>
      </c>
    </row>
    <row r="141" spans="1:17" ht="15" customHeight="1">
      <c r="A141" s="13"/>
      <c r="B141" s="13"/>
      <c r="C141" s="163"/>
      <c r="D141" s="316" t="s">
        <v>232</v>
      </c>
      <c r="E141" s="680">
        <v>2</v>
      </c>
      <c r="F141" s="599">
        <v>131839</v>
      </c>
      <c r="G141" s="15">
        <f>0+'táj.2.'!G141</f>
        <v>0</v>
      </c>
      <c r="H141" s="15">
        <f>0+'táj.2.'!H141</f>
        <v>0</v>
      </c>
      <c r="I141" s="15">
        <f>0+'táj.2.'!I141</f>
        <v>0</v>
      </c>
      <c r="J141" s="15">
        <f>0+'táj.2.'!J141</f>
        <v>0</v>
      </c>
      <c r="K141" s="15">
        <f>500+'táj.2.'!K141</f>
        <v>500</v>
      </c>
      <c r="L141" s="15">
        <f>0+'táj.2.'!L141</f>
        <v>0</v>
      </c>
      <c r="M141" s="15">
        <f>0+'táj.2.'!M141</f>
        <v>0</v>
      </c>
      <c r="N141" s="15">
        <f>0+'táj.2.'!N141</f>
        <v>0</v>
      </c>
      <c r="O141" s="15">
        <f>0+'táj.2.'!O141</f>
        <v>0</v>
      </c>
      <c r="P141" s="15">
        <f>0+'táj.2.'!P141</f>
        <v>0</v>
      </c>
      <c r="Q141" s="15">
        <f t="shared" si="5"/>
        <v>500</v>
      </c>
    </row>
    <row r="142" spans="1:17" ht="15" customHeight="1">
      <c r="A142" s="13"/>
      <c r="B142" s="13"/>
      <c r="C142" s="163"/>
      <c r="D142" s="316" t="s">
        <v>233</v>
      </c>
      <c r="E142" s="680">
        <v>2</v>
      </c>
      <c r="F142" s="599">
        <v>131840</v>
      </c>
      <c r="G142" s="15">
        <f>0+'táj.2.'!G142</f>
        <v>0</v>
      </c>
      <c r="H142" s="15">
        <f>0+'táj.2.'!H142</f>
        <v>0</v>
      </c>
      <c r="I142" s="15">
        <f>0+'táj.2.'!I142</f>
        <v>0</v>
      </c>
      <c r="J142" s="15">
        <f>0+'táj.2.'!J142</f>
        <v>0</v>
      </c>
      <c r="K142" s="15">
        <f>1500+'táj.2.'!K142</f>
        <v>1500</v>
      </c>
      <c r="L142" s="15">
        <f>0+'táj.2.'!L142</f>
        <v>0</v>
      </c>
      <c r="M142" s="15">
        <f>0+'táj.2.'!M142</f>
        <v>0</v>
      </c>
      <c r="N142" s="15">
        <f>0+'táj.2.'!N142</f>
        <v>0</v>
      </c>
      <c r="O142" s="15">
        <f>0+'táj.2.'!O142</f>
        <v>0</v>
      </c>
      <c r="P142" s="15">
        <f>0+'táj.2.'!P142</f>
        <v>0</v>
      </c>
      <c r="Q142" s="15">
        <f t="shared" si="5"/>
        <v>1500</v>
      </c>
    </row>
    <row r="143" spans="1:17" ht="15" customHeight="1">
      <c r="A143" s="13"/>
      <c r="B143" s="13"/>
      <c r="C143" s="163"/>
      <c r="D143" s="316" t="s">
        <v>234</v>
      </c>
      <c r="E143" s="680">
        <v>2</v>
      </c>
      <c r="F143" s="599">
        <v>131841</v>
      </c>
      <c r="G143" s="15">
        <f>0+'táj.2.'!G143</f>
        <v>0</v>
      </c>
      <c r="H143" s="15">
        <f>0+'táj.2.'!H143</f>
        <v>0</v>
      </c>
      <c r="I143" s="15">
        <f>0+'táj.2.'!I143</f>
        <v>0</v>
      </c>
      <c r="J143" s="15">
        <f>0+'táj.2.'!J143</f>
        <v>0</v>
      </c>
      <c r="K143" s="15">
        <f>500+'táj.2.'!K143</f>
        <v>500</v>
      </c>
      <c r="L143" s="15">
        <f>0+'táj.2.'!L143</f>
        <v>0</v>
      </c>
      <c r="M143" s="15">
        <f>0+'táj.2.'!M143</f>
        <v>0</v>
      </c>
      <c r="N143" s="15">
        <f>0+'táj.2.'!N143</f>
        <v>0</v>
      </c>
      <c r="O143" s="15">
        <f>0+'táj.2.'!O143</f>
        <v>0</v>
      </c>
      <c r="P143" s="15">
        <f>0+'táj.2.'!P143</f>
        <v>0</v>
      </c>
      <c r="Q143" s="15">
        <f t="shared" si="5"/>
        <v>500</v>
      </c>
    </row>
    <row r="144" spans="1:17" ht="15" customHeight="1">
      <c r="A144" s="13"/>
      <c r="B144" s="13"/>
      <c r="C144" s="163"/>
      <c r="D144" s="316" t="s">
        <v>235</v>
      </c>
      <c r="E144" s="680">
        <v>2</v>
      </c>
      <c r="F144" s="599">
        <v>131842</v>
      </c>
      <c r="G144" s="15">
        <f>0+'táj.2.'!G144</f>
        <v>0</v>
      </c>
      <c r="H144" s="15">
        <f>0+'táj.2.'!H144</f>
        <v>0</v>
      </c>
      <c r="I144" s="15">
        <f>0+'táj.2.'!I144</f>
        <v>0</v>
      </c>
      <c r="J144" s="15">
        <f>0+'táj.2.'!J144</f>
        <v>0</v>
      </c>
      <c r="K144" s="15">
        <f>2500+'táj.2.'!K144</f>
        <v>2500</v>
      </c>
      <c r="L144" s="15">
        <f>0+'táj.2.'!L144</f>
        <v>0</v>
      </c>
      <c r="M144" s="15">
        <f>0+'táj.2.'!M144</f>
        <v>0</v>
      </c>
      <c r="N144" s="15">
        <f>0+'táj.2.'!N144</f>
        <v>0</v>
      </c>
      <c r="O144" s="15">
        <f>0+'táj.2.'!O144</f>
        <v>0</v>
      </c>
      <c r="P144" s="15">
        <f>0+'táj.2.'!P144</f>
        <v>0</v>
      </c>
      <c r="Q144" s="15">
        <f t="shared" si="5"/>
        <v>2500</v>
      </c>
    </row>
    <row r="145" spans="1:17" ht="15" customHeight="1">
      <c r="A145" s="13"/>
      <c r="B145" s="13"/>
      <c r="C145" s="163"/>
      <c r="D145" s="316" t="s">
        <v>236</v>
      </c>
      <c r="E145" s="680">
        <v>2</v>
      </c>
      <c r="F145" s="599">
        <v>131843</v>
      </c>
      <c r="G145" s="15">
        <f>0+'táj.2.'!G145</f>
        <v>0</v>
      </c>
      <c r="H145" s="15">
        <f>0+'táj.2.'!H145</f>
        <v>0</v>
      </c>
      <c r="I145" s="15">
        <f>0+'táj.2.'!I145</f>
        <v>0</v>
      </c>
      <c r="J145" s="15">
        <f>0+'táj.2.'!J145</f>
        <v>0</v>
      </c>
      <c r="K145" s="15">
        <f>2000+'táj.2.'!K145</f>
        <v>2000</v>
      </c>
      <c r="L145" s="15">
        <f>0+'táj.2.'!L145</f>
        <v>0</v>
      </c>
      <c r="M145" s="15">
        <f>0+'táj.2.'!M145</f>
        <v>0</v>
      </c>
      <c r="N145" s="15">
        <f>0+'táj.2.'!N145</f>
        <v>0</v>
      </c>
      <c r="O145" s="15">
        <f>0+'táj.2.'!O145</f>
        <v>0</v>
      </c>
      <c r="P145" s="15">
        <f>0+'táj.2.'!P145</f>
        <v>0</v>
      </c>
      <c r="Q145" s="15">
        <f t="shared" si="5"/>
        <v>2000</v>
      </c>
    </row>
    <row r="146" spans="1:17" ht="15" customHeight="1">
      <c r="A146" s="13"/>
      <c r="B146" s="13"/>
      <c r="C146" s="163"/>
      <c r="D146" s="24" t="s">
        <v>237</v>
      </c>
      <c r="E146" s="680">
        <v>2</v>
      </c>
      <c r="F146" s="599">
        <v>131844</v>
      </c>
      <c r="G146" s="15">
        <f>0+'táj.2.'!G146</f>
        <v>0</v>
      </c>
      <c r="H146" s="15">
        <f>0+'táj.2.'!H146</f>
        <v>0</v>
      </c>
      <c r="I146" s="15">
        <f>0+'táj.2.'!I146</f>
        <v>0</v>
      </c>
      <c r="J146" s="15">
        <f>0+'táj.2.'!J146</f>
        <v>0</v>
      </c>
      <c r="K146" s="15">
        <f>500+'táj.2.'!K146</f>
        <v>500</v>
      </c>
      <c r="L146" s="15">
        <f>0+'táj.2.'!L146</f>
        <v>0</v>
      </c>
      <c r="M146" s="15">
        <f>0+'táj.2.'!M146</f>
        <v>0</v>
      </c>
      <c r="N146" s="15">
        <f>0+'táj.2.'!N146</f>
        <v>0</v>
      </c>
      <c r="O146" s="15">
        <f>0+'táj.2.'!O146</f>
        <v>0</v>
      </c>
      <c r="P146" s="15">
        <f>0+'táj.2.'!P146</f>
        <v>0</v>
      </c>
      <c r="Q146" s="15">
        <f t="shared" si="5"/>
        <v>500</v>
      </c>
    </row>
    <row r="147" spans="1:17" ht="15" customHeight="1">
      <c r="A147" s="13"/>
      <c r="B147" s="13"/>
      <c r="C147" s="163"/>
      <c r="D147" s="24" t="s">
        <v>100</v>
      </c>
      <c r="E147" s="668"/>
      <c r="F147" s="23"/>
      <c r="G147" s="15"/>
      <c r="H147" s="25"/>
      <c r="I147" s="25"/>
      <c r="J147" s="25"/>
      <c r="K147" s="25"/>
      <c r="L147" s="25"/>
      <c r="M147" s="25"/>
      <c r="N147" s="25"/>
      <c r="O147" s="25"/>
      <c r="P147" s="25"/>
      <c r="Q147" s="15"/>
    </row>
    <row r="148" spans="1:17" ht="15" customHeight="1">
      <c r="A148" s="13"/>
      <c r="B148" s="13"/>
      <c r="C148" s="163"/>
      <c r="D148" s="24" t="s">
        <v>238</v>
      </c>
      <c r="E148" s="668">
        <v>1</v>
      </c>
      <c r="F148" s="23">
        <v>131827</v>
      </c>
      <c r="G148" s="15">
        <f>0+'táj.2.'!G148</f>
        <v>0</v>
      </c>
      <c r="H148" s="15">
        <f>0+'táj.2.'!H148</f>
        <v>0</v>
      </c>
      <c r="I148" s="15">
        <f>24990+'táj.2.'!I148</f>
        <v>24990</v>
      </c>
      <c r="J148" s="15">
        <f>0+'táj.2.'!J148</f>
        <v>0</v>
      </c>
      <c r="K148" s="15">
        <f>0+'táj.2.'!K148</f>
        <v>0</v>
      </c>
      <c r="L148" s="15">
        <f>0+'táj.2.'!L148</f>
        <v>0</v>
      </c>
      <c r="M148" s="15">
        <f>0+'táj.2.'!M148</f>
        <v>0</v>
      </c>
      <c r="N148" s="15">
        <f>0+'táj.2.'!N148</f>
        <v>0</v>
      </c>
      <c r="O148" s="15">
        <f>0+'táj.2.'!O148</f>
        <v>0</v>
      </c>
      <c r="P148" s="15">
        <f>0+'táj.2.'!P148</f>
        <v>0</v>
      </c>
      <c r="Q148" s="15">
        <f>SUM(G148:P148)</f>
        <v>24990</v>
      </c>
    </row>
    <row r="149" spans="1:17" ht="12">
      <c r="A149" s="17"/>
      <c r="B149" s="17"/>
      <c r="C149" s="300"/>
      <c r="D149" s="18" t="s">
        <v>445</v>
      </c>
      <c r="E149" s="669"/>
      <c r="F149" s="17"/>
      <c r="G149" s="19">
        <f aca="true" t="shared" si="6" ref="G149:O149">SUM(G45:G148)</f>
        <v>1202</v>
      </c>
      <c r="H149" s="19">
        <f t="shared" si="6"/>
        <v>340</v>
      </c>
      <c r="I149" s="19">
        <f t="shared" si="6"/>
        <v>63211</v>
      </c>
      <c r="J149" s="19">
        <f t="shared" si="6"/>
        <v>19674</v>
      </c>
      <c r="K149" s="19">
        <f t="shared" si="6"/>
        <v>506192</v>
      </c>
      <c r="L149" s="19">
        <f t="shared" si="6"/>
        <v>0</v>
      </c>
      <c r="M149" s="19">
        <f t="shared" si="6"/>
        <v>0</v>
      </c>
      <c r="N149" s="19">
        <f t="shared" si="6"/>
        <v>0</v>
      </c>
      <c r="O149" s="19">
        <f t="shared" si="6"/>
        <v>0</v>
      </c>
      <c r="P149" s="19">
        <f>SUM(P45:P148)</f>
        <v>0</v>
      </c>
      <c r="Q149" s="19">
        <f>SUM(Q45:Q148)</f>
        <v>590619</v>
      </c>
    </row>
    <row r="150" spans="1:17" ht="12">
      <c r="A150" s="145"/>
      <c r="B150" s="145"/>
      <c r="C150" s="319"/>
      <c r="D150" s="311" t="s">
        <v>159</v>
      </c>
      <c r="E150" s="670"/>
      <c r="F150" s="13"/>
      <c r="G150" s="20"/>
      <c r="H150" s="20"/>
      <c r="I150" s="20"/>
      <c r="J150" s="15"/>
      <c r="K150" s="15"/>
      <c r="L150" s="20"/>
      <c r="M150" s="20"/>
      <c r="N150" s="15"/>
      <c r="O150" s="15"/>
      <c r="P150" s="20"/>
      <c r="Q150" s="15"/>
    </row>
    <row r="151" spans="1:17" ht="12">
      <c r="A151" s="145"/>
      <c r="B151" s="145"/>
      <c r="C151" s="320" t="s">
        <v>548</v>
      </c>
      <c r="D151" s="152" t="s">
        <v>478</v>
      </c>
      <c r="E151" s="670"/>
      <c r="F151" s="13"/>
      <c r="G151" s="20"/>
      <c r="H151" s="20"/>
      <c r="I151" s="20"/>
      <c r="J151" s="15"/>
      <c r="K151" s="15"/>
      <c r="L151" s="20"/>
      <c r="M151" s="20"/>
      <c r="N151" s="15"/>
      <c r="O151" s="15"/>
      <c r="P151" s="20"/>
      <c r="Q151" s="15"/>
    </row>
    <row r="152" spans="1:17" ht="12">
      <c r="A152" s="145"/>
      <c r="B152" s="145"/>
      <c r="C152" s="319" t="s">
        <v>239</v>
      </c>
      <c r="D152" s="321" t="s">
        <v>240</v>
      </c>
      <c r="E152" s="670"/>
      <c r="F152" s="13"/>
      <c r="G152" s="20"/>
      <c r="H152" s="20"/>
      <c r="I152" s="20"/>
      <c r="J152" s="15"/>
      <c r="K152" s="15"/>
      <c r="L152" s="15"/>
      <c r="M152" s="15"/>
      <c r="N152" s="15"/>
      <c r="O152" s="20"/>
      <c r="P152" s="20"/>
      <c r="Q152" s="15"/>
    </row>
    <row r="153" spans="1:17" ht="12">
      <c r="A153" s="145"/>
      <c r="B153" s="145"/>
      <c r="C153" s="163" t="s">
        <v>241</v>
      </c>
      <c r="D153" s="322" t="s">
        <v>1101</v>
      </c>
      <c r="E153" s="670"/>
      <c r="F153" s="13">
        <v>134903</v>
      </c>
      <c r="G153" s="15">
        <f>0+'táj.2.'!G153</f>
        <v>0</v>
      </c>
      <c r="H153" s="15">
        <f>0+'táj.2.'!H153</f>
        <v>0</v>
      </c>
      <c r="I153" s="15">
        <f>0+'táj.2.'!I153</f>
        <v>0</v>
      </c>
      <c r="J153" s="15">
        <f>0+'táj.2.'!J153</f>
        <v>0</v>
      </c>
      <c r="K153" s="15">
        <f>0+'táj.2.'!K153</f>
        <v>0</v>
      </c>
      <c r="L153" s="15">
        <f>0+'táj.2.'!L153</f>
        <v>0</v>
      </c>
      <c r="M153" s="15">
        <f>15000+'táj.2.'!M153</f>
        <v>15000</v>
      </c>
      <c r="N153" s="15">
        <f>0+'táj.2.'!N153</f>
        <v>0</v>
      </c>
      <c r="O153" s="15">
        <f>0+'táj.2.'!O153</f>
        <v>0</v>
      </c>
      <c r="P153" s="15">
        <f>0+'táj.2.'!P153</f>
        <v>0</v>
      </c>
      <c r="Q153" s="15">
        <f aca="true" t="shared" si="7" ref="Q153:Q158">SUM(G153:P153)</f>
        <v>15000</v>
      </c>
    </row>
    <row r="154" spans="1:17" ht="12">
      <c r="A154" s="145"/>
      <c r="B154" s="145"/>
      <c r="C154" s="163" t="s">
        <v>242</v>
      </c>
      <c r="D154" s="104" t="s">
        <v>243</v>
      </c>
      <c r="E154" s="670"/>
      <c r="F154" s="13">
        <v>134906</v>
      </c>
      <c r="G154" s="15">
        <f>0+'táj.2.'!G154</f>
        <v>0</v>
      </c>
      <c r="H154" s="15">
        <f>0+'táj.2.'!H154</f>
        <v>0</v>
      </c>
      <c r="I154" s="15">
        <f>0+'táj.2.'!I154</f>
        <v>0</v>
      </c>
      <c r="J154" s="15">
        <f>0+'táj.2.'!J154</f>
        <v>0</v>
      </c>
      <c r="K154" s="15">
        <f>0+'táj.2.'!K154</f>
        <v>0</v>
      </c>
      <c r="L154" s="15">
        <f>0+'táj.2.'!L154</f>
        <v>0</v>
      </c>
      <c r="M154" s="15">
        <f>0+'táj.2.'!M154</f>
        <v>0</v>
      </c>
      <c r="N154" s="15">
        <f>500+'táj.2.'!N154</f>
        <v>500</v>
      </c>
      <c r="O154" s="15">
        <f>0+'táj.2.'!O154</f>
        <v>0</v>
      </c>
      <c r="P154" s="15">
        <f>0+'táj.2.'!P154</f>
        <v>0</v>
      </c>
      <c r="Q154" s="15">
        <f t="shared" si="7"/>
        <v>500</v>
      </c>
    </row>
    <row r="155" spans="1:17" ht="12">
      <c r="A155" s="145"/>
      <c r="B155" s="145"/>
      <c r="C155" s="163" t="s">
        <v>244</v>
      </c>
      <c r="D155" s="104" t="s">
        <v>245</v>
      </c>
      <c r="E155" s="670"/>
      <c r="F155" s="13">
        <v>134956</v>
      </c>
      <c r="G155" s="15">
        <f>0+'táj.2.'!G155</f>
        <v>0</v>
      </c>
      <c r="H155" s="15">
        <f>0+'táj.2.'!H155</f>
        <v>0</v>
      </c>
      <c r="I155" s="15">
        <f>0+'táj.2.'!I155</f>
        <v>0</v>
      </c>
      <c r="J155" s="15">
        <f>0+'táj.2.'!J155</f>
        <v>0</v>
      </c>
      <c r="K155" s="15">
        <f>0+'táj.2.'!K155</f>
        <v>0</v>
      </c>
      <c r="L155" s="15">
        <f>0+'táj.2.'!L155</f>
        <v>0</v>
      </c>
      <c r="M155" s="15">
        <f>2500+'táj.2.'!M155</f>
        <v>2500</v>
      </c>
      <c r="N155" s="15">
        <f>0+'táj.2.'!N155</f>
        <v>0</v>
      </c>
      <c r="O155" s="15">
        <f>0+'táj.2.'!O155</f>
        <v>0</v>
      </c>
      <c r="P155" s="15">
        <f>0+'táj.2.'!P155</f>
        <v>0</v>
      </c>
      <c r="Q155" s="15">
        <f t="shared" si="7"/>
        <v>2500</v>
      </c>
    </row>
    <row r="156" spans="1:17" ht="24">
      <c r="A156" s="145"/>
      <c r="B156" s="145"/>
      <c r="C156" s="163" t="s">
        <v>247</v>
      </c>
      <c r="D156" s="104" t="s">
        <v>246</v>
      </c>
      <c r="E156" s="670"/>
      <c r="F156" s="13">
        <v>134957</v>
      </c>
      <c r="G156" s="15">
        <f>0+'táj.2.'!G156</f>
        <v>0</v>
      </c>
      <c r="H156" s="15">
        <f>0+'táj.2.'!H156</f>
        <v>0</v>
      </c>
      <c r="I156" s="15">
        <f>0+'táj.2.'!I156</f>
        <v>0</v>
      </c>
      <c r="J156" s="15">
        <f>0+'táj.2.'!J156</f>
        <v>0</v>
      </c>
      <c r="K156" s="15">
        <f>0+'táj.2.'!K156</f>
        <v>0</v>
      </c>
      <c r="L156" s="15">
        <f>0+'táj.2.'!L156</f>
        <v>0</v>
      </c>
      <c r="M156" s="15">
        <f>4500+'táj.2.'!M156</f>
        <v>4500</v>
      </c>
      <c r="N156" s="15">
        <f>0+'táj.2.'!N156</f>
        <v>0</v>
      </c>
      <c r="O156" s="15">
        <f>0+'táj.2.'!O156</f>
        <v>0</v>
      </c>
      <c r="P156" s="15">
        <f>0+'táj.2.'!P156</f>
        <v>0</v>
      </c>
      <c r="Q156" s="15">
        <f t="shared" si="7"/>
        <v>4500</v>
      </c>
    </row>
    <row r="157" spans="1:17" ht="12">
      <c r="A157" s="145"/>
      <c r="B157" s="145"/>
      <c r="C157" s="163" t="s">
        <v>249</v>
      </c>
      <c r="D157" s="104" t="s">
        <v>248</v>
      </c>
      <c r="E157" s="670"/>
      <c r="F157" s="13">
        <v>134958</v>
      </c>
      <c r="G157" s="15">
        <f>0+'táj.2.'!G157</f>
        <v>0</v>
      </c>
      <c r="H157" s="15">
        <f>0+'táj.2.'!H157</f>
        <v>0</v>
      </c>
      <c r="I157" s="15">
        <f>0+'táj.2.'!I157</f>
        <v>0</v>
      </c>
      <c r="J157" s="15">
        <f>0+'táj.2.'!J157</f>
        <v>0</v>
      </c>
      <c r="K157" s="15">
        <f>0+'táj.2.'!K157</f>
        <v>0</v>
      </c>
      <c r="L157" s="15">
        <f>0+'táj.2.'!L157</f>
        <v>0</v>
      </c>
      <c r="M157" s="15">
        <f>0+'táj.2.'!M157</f>
        <v>0</v>
      </c>
      <c r="N157" s="15">
        <f>500+'táj.2.'!N157</f>
        <v>500</v>
      </c>
      <c r="O157" s="15">
        <f>0+'táj.2.'!O157</f>
        <v>0</v>
      </c>
      <c r="P157" s="15">
        <f>0+'táj.2.'!P157</f>
        <v>0</v>
      </c>
      <c r="Q157" s="15">
        <f t="shared" si="7"/>
        <v>500</v>
      </c>
    </row>
    <row r="158" spans="1:17" ht="12">
      <c r="A158" s="145"/>
      <c r="B158" s="145"/>
      <c r="C158" s="163" t="s">
        <v>670</v>
      </c>
      <c r="D158" s="104" t="s">
        <v>250</v>
      </c>
      <c r="E158" s="670"/>
      <c r="F158" s="13">
        <v>134959</v>
      </c>
      <c r="G158" s="15">
        <f>0+'táj.2.'!G158</f>
        <v>0</v>
      </c>
      <c r="H158" s="15">
        <f>0+'táj.2.'!H158</f>
        <v>0</v>
      </c>
      <c r="I158" s="15">
        <f>0+'táj.2.'!I158</f>
        <v>0</v>
      </c>
      <c r="J158" s="15">
        <f>0+'táj.2.'!J158</f>
        <v>0</v>
      </c>
      <c r="K158" s="15">
        <f>0+'táj.2.'!K158</f>
        <v>0</v>
      </c>
      <c r="L158" s="15">
        <f>0+'táj.2.'!L158</f>
        <v>0</v>
      </c>
      <c r="M158" s="15">
        <f>1000+'táj.2.'!M158</f>
        <v>1000</v>
      </c>
      <c r="N158" s="15">
        <f>0+'táj.2.'!N158</f>
        <v>0</v>
      </c>
      <c r="O158" s="15">
        <f>0+'táj.2.'!O158</f>
        <v>0</v>
      </c>
      <c r="P158" s="15">
        <f>0+'táj.2.'!P158</f>
        <v>0</v>
      </c>
      <c r="Q158" s="15">
        <f t="shared" si="7"/>
        <v>1000</v>
      </c>
    </row>
    <row r="159" spans="1:17" ht="12">
      <c r="A159" s="145"/>
      <c r="B159" s="145"/>
      <c r="C159" s="163" t="s">
        <v>677</v>
      </c>
      <c r="D159" s="324" t="s">
        <v>678</v>
      </c>
      <c r="E159" s="670"/>
      <c r="F159" s="13"/>
      <c r="G159" s="15"/>
      <c r="H159" s="20"/>
      <c r="I159" s="20"/>
      <c r="J159" s="15"/>
      <c r="K159" s="15"/>
      <c r="L159" s="20"/>
      <c r="M159" s="20"/>
      <c r="N159" s="15"/>
      <c r="O159" s="15"/>
      <c r="P159" s="20"/>
      <c r="Q159" s="15"/>
    </row>
    <row r="160" spans="1:17" ht="24">
      <c r="A160" s="145"/>
      <c r="B160" s="145"/>
      <c r="C160" s="163" t="s">
        <v>251</v>
      </c>
      <c r="D160" s="104" t="s">
        <v>252</v>
      </c>
      <c r="E160" s="670"/>
      <c r="F160" s="13">
        <v>132913</v>
      </c>
      <c r="G160" s="15">
        <f>0+'táj.2.'!G160</f>
        <v>0</v>
      </c>
      <c r="H160" s="15">
        <f>0+'táj.2.'!H160</f>
        <v>0</v>
      </c>
      <c r="I160" s="15">
        <f>0+'táj.2.'!I160</f>
        <v>0</v>
      </c>
      <c r="J160" s="15">
        <f>0+'táj.2.'!J160</f>
        <v>0</v>
      </c>
      <c r="K160" s="15">
        <f>0+'táj.2.'!K160</f>
        <v>0</v>
      </c>
      <c r="L160" s="15">
        <f>1000+'táj.2.'!L160</f>
        <v>1000</v>
      </c>
      <c r="M160" s="15">
        <f>0+'táj.2.'!M160</f>
        <v>0</v>
      </c>
      <c r="N160" s="15">
        <f>0+'táj.2.'!N160</f>
        <v>0</v>
      </c>
      <c r="O160" s="15">
        <f>0+'táj.2.'!O160</f>
        <v>0</v>
      </c>
      <c r="P160" s="15">
        <f>0+'táj.2.'!P160</f>
        <v>0</v>
      </c>
      <c r="Q160" s="15">
        <f aca="true" t="shared" si="8" ref="Q160:Q167">SUM(G160:P160)</f>
        <v>1000</v>
      </c>
    </row>
    <row r="161" spans="1:17" ht="12">
      <c r="A161" s="145"/>
      <c r="B161" s="145"/>
      <c r="C161" s="163" t="s">
        <v>253</v>
      </c>
      <c r="D161" s="104" t="s">
        <v>254</v>
      </c>
      <c r="E161" s="670"/>
      <c r="F161" s="13">
        <v>132912</v>
      </c>
      <c r="G161" s="15">
        <f>0+'táj.2.'!G161</f>
        <v>0</v>
      </c>
      <c r="H161" s="15">
        <f>0+'táj.2.'!H161</f>
        <v>0</v>
      </c>
      <c r="I161" s="15">
        <f>0+'táj.2.'!I161</f>
        <v>0</v>
      </c>
      <c r="J161" s="15">
        <f>0+'táj.2.'!J161</f>
        <v>0</v>
      </c>
      <c r="K161" s="15">
        <f>0+'táj.2.'!K161</f>
        <v>0</v>
      </c>
      <c r="L161" s="15">
        <f>1500+'táj.2.'!L161</f>
        <v>1500</v>
      </c>
      <c r="M161" s="15">
        <f>0+'táj.2.'!M161</f>
        <v>0</v>
      </c>
      <c r="N161" s="15">
        <f>0+'táj.2.'!N161</f>
        <v>0</v>
      </c>
      <c r="O161" s="15">
        <f>0+'táj.2.'!O161</f>
        <v>0</v>
      </c>
      <c r="P161" s="15">
        <f>0+'táj.2.'!P161</f>
        <v>0</v>
      </c>
      <c r="Q161" s="15">
        <f t="shared" si="8"/>
        <v>1500</v>
      </c>
    </row>
    <row r="162" spans="1:17" ht="12">
      <c r="A162" s="145"/>
      <c r="B162" s="145"/>
      <c r="C162" s="163" t="s">
        <v>255</v>
      </c>
      <c r="D162" s="479" t="s">
        <v>256</v>
      </c>
      <c r="E162" s="670"/>
      <c r="F162" s="13">
        <v>134911</v>
      </c>
      <c r="G162" s="15">
        <f>0+'táj.2.'!G162</f>
        <v>0</v>
      </c>
      <c r="H162" s="15">
        <f>0+'táj.2.'!H162</f>
        <v>0</v>
      </c>
      <c r="I162" s="15">
        <f>0+'táj.2.'!I162</f>
        <v>0</v>
      </c>
      <c r="J162" s="15">
        <f>0+'táj.2.'!J162</f>
        <v>0</v>
      </c>
      <c r="K162" s="15">
        <f>0+'táj.2.'!K162</f>
        <v>0</v>
      </c>
      <c r="L162" s="15">
        <f>0+'táj.2.'!L162</f>
        <v>0</v>
      </c>
      <c r="M162" s="15">
        <f>10000+'táj.2.'!M162</f>
        <v>10000</v>
      </c>
      <c r="N162" s="15">
        <f>0+'táj.2.'!N162</f>
        <v>0</v>
      </c>
      <c r="O162" s="15">
        <f>0+'táj.2.'!O162</f>
        <v>0</v>
      </c>
      <c r="P162" s="15">
        <f>0+'táj.2.'!P162</f>
        <v>0</v>
      </c>
      <c r="Q162" s="15">
        <f t="shared" si="8"/>
        <v>10000</v>
      </c>
    </row>
    <row r="163" spans="1:17" ht="12">
      <c r="A163" s="145"/>
      <c r="B163" s="145"/>
      <c r="C163" s="163" t="s">
        <v>257</v>
      </c>
      <c r="D163" s="104" t="s">
        <v>258</v>
      </c>
      <c r="E163" s="670"/>
      <c r="F163" s="13">
        <v>134960</v>
      </c>
      <c r="G163" s="15">
        <f>0+'táj.2.'!G163</f>
        <v>0</v>
      </c>
      <c r="H163" s="15">
        <f>0+'táj.2.'!H163</f>
        <v>0</v>
      </c>
      <c r="I163" s="15">
        <f>0+'táj.2.'!I163</f>
        <v>0</v>
      </c>
      <c r="J163" s="15">
        <f>0+'táj.2.'!J163</f>
        <v>0</v>
      </c>
      <c r="K163" s="15">
        <f>0+'táj.2.'!K163</f>
        <v>0</v>
      </c>
      <c r="L163" s="15">
        <f>0+'táj.2.'!L163</f>
        <v>0</v>
      </c>
      <c r="M163" s="15">
        <f>1000+'táj.2.'!M163</f>
        <v>1000</v>
      </c>
      <c r="N163" s="15">
        <f>0+'táj.2.'!N163</f>
        <v>0</v>
      </c>
      <c r="O163" s="15">
        <f>0+'táj.2.'!O163</f>
        <v>0</v>
      </c>
      <c r="P163" s="15">
        <f>0+'táj.2.'!P163</f>
        <v>0</v>
      </c>
      <c r="Q163" s="15">
        <f t="shared" si="8"/>
        <v>1000</v>
      </c>
    </row>
    <row r="164" spans="1:17" ht="24">
      <c r="A164" s="145"/>
      <c r="B164" s="145"/>
      <c r="C164" s="163" t="s">
        <v>259</v>
      </c>
      <c r="D164" s="104" t="s">
        <v>260</v>
      </c>
      <c r="E164" s="670"/>
      <c r="F164" s="13">
        <v>134946</v>
      </c>
      <c r="G164" s="15">
        <f>0+'táj.2.'!G164</f>
        <v>0</v>
      </c>
      <c r="H164" s="15">
        <f>0+'táj.2.'!H164</f>
        <v>0</v>
      </c>
      <c r="I164" s="15">
        <f>0+'táj.2.'!I164</f>
        <v>0</v>
      </c>
      <c r="J164" s="15">
        <f>0+'táj.2.'!J164</f>
        <v>0</v>
      </c>
      <c r="K164" s="15">
        <f>0+'táj.2.'!K164</f>
        <v>0</v>
      </c>
      <c r="L164" s="15">
        <f>3500+'táj.2.'!L164</f>
        <v>3500</v>
      </c>
      <c r="M164" s="15">
        <f>0+'táj.2.'!M164</f>
        <v>0</v>
      </c>
      <c r="N164" s="15">
        <f>0+'táj.2.'!N164</f>
        <v>0</v>
      </c>
      <c r="O164" s="15">
        <f>0+'táj.2.'!O164</f>
        <v>0</v>
      </c>
      <c r="P164" s="15">
        <f>0+'táj.2.'!P164</f>
        <v>0</v>
      </c>
      <c r="Q164" s="15">
        <f t="shared" si="8"/>
        <v>3500</v>
      </c>
    </row>
    <row r="165" spans="1:17" ht="12">
      <c r="A165" s="145"/>
      <c r="B165" s="145"/>
      <c r="C165" s="163" t="s">
        <v>261</v>
      </c>
      <c r="D165" s="104" t="s">
        <v>262</v>
      </c>
      <c r="E165" s="670"/>
      <c r="F165" s="13">
        <v>134914</v>
      </c>
      <c r="G165" s="15">
        <f>0+'táj.2.'!G165</f>
        <v>0</v>
      </c>
      <c r="H165" s="15">
        <f>0+'táj.2.'!H165</f>
        <v>0</v>
      </c>
      <c r="I165" s="15">
        <f>0+'táj.2.'!I165</f>
        <v>0</v>
      </c>
      <c r="J165" s="15">
        <f>0+'táj.2.'!J165</f>
        <v>0</v>
      </c>
      <c r="K165" s="15">
        <f>0+'táj.2.'!K165</f>
        <v>0</v>
      </c>
      <c r="L165" s="15">
        <f>0+'táj.2.'!L165</f>
        <v>0</v>
      </c>
      <c r="M165" s="15">
        <f>0+'táj.2.'!M165</f>
        <v>0</v>
      </c>
      <c r="N165" s="15">
        <f>500+'táj.2.'!N165</f>
        <v>500</v>
      </c>
      <c r="O165" s="15">
        <f>0+'táj.2.'!O165</f>
        <v>0</v>
      </c>
      <c r="P165" s="15">
        <f>0+'táj.2.'!P165</f>
        <v>0</v>
      </c>
      <c r="Q165" s="15">
        <f t="shared" si="8"/>
        <v>500</v>
      </c>
    </row>
    <row r="166" spans="1:17" ht="12">
      <c r="A166" s="145"/>
      <c r="B166" s="145"/>
      <c r="C166" s="163" t="s">
        <v>263</v>
      </c>
      <c r="D166" s="104" t="s">
        <v>264</v>
      </c>
      <c r="E166" s="670"/>
      <c r="F166" s="13">
        <v>134915</v>
      </c>
      <c r="G166" s="15">
        <f>0+'táj.2.'!G166</f>
        <v>0</v>
      </c>
      <c r="H166" s="15">
        <f>0+'táj.2.'!H166</f>
        <v>0</v>
      </c>
      <c r="I166" s="15">
        <f>0+'táj.2.'!I166</f>
        <v>0</v>
      </c>
      <c r="J166" s="15">
        <f>0+'táj.2.'!J166</f>
        <v>0</v>
      </c>
      <c r="K166" s="15">
        <f>0+'táj.2.'!K166</f>
        <v>0</v>
      </c>
      <c r="L166" s="15">
        <f>0+'táj.2.'!L166</f>
        <v>0</v>
      </c>
      <c r="M166" s="15">
        <f>0+'táj.2.'!M166</f>
        <v>0</v>
      </c>
      <c r="N166" s="15">
        <f>500+'táj.2.'!N166</f>
        <v>500</v>
      </c>
      <c r="O166" s="15">
        <f>0+'táj.2.'!O166</f>
        <v>0</v>
      </c>
      <c r="P166" s="15">
        <f>0+'táj.2.'!P166</f>
        <v>0</v>
      </c>
      <c r="Q166" s="15">
        <f t="shared" si="8"/>
        <v>500</v>
      </c>
    </row>
    <row r="167" spans="1:17" ht="12">
      <c r="A167" s="145"/>
      <c r="B167" s="145"/>
      <c r="C167" s="163" t="s">
        <v>265</v>
      </c>
      <c r="D167" s="104" t="s">
        <v>266</v>
      </c>
      <c r="E167" s="670"/>
      <c r="F167" s="13">
        <v>134961</v>
      </c>
      <c r="G167" s="15">
        <f>0+'táj.2.'!G167</f>
        <v>0</v>
      </c>
      <c r="H167" s="15">
        <f>0+'táj.2.'!H167</f>
        <v>0</v>
      </c>
      <c r="I167" s="15">
        <f>0+'táj.2.'!I167</f>
        <v>0</v>
      </c>
      <c r="J167" s="15">
        <f>0+'táj.2.'!J167</f>
        <v>0</v>
      </c>
      <c r="K167" s="15">
        <f>0+'táj.2.'!K167</f>
        <v>0</v>
      </c>
      <c r="L167" s="15">
        <f>0+'táj.2.'!L167</f>
        <v>0</v>
      </c>
      <c r="M167" s="15">
        <f>0+'táj.2.'!M167</f>
        <v>0</v>
      </c>
      <c r="N167" s="15">
        <f>600+'táj.2.'!N167</f>
        <v>600</v>
      </c>
      <c r="O167" s="15">
        <f>0+'táj.2.'!O167</f>
        <v>0</v>
      </c>
      <c r="P167" s="15">
        <f>0+'táj.2.'!P167</f>
        <v>0</v>
      </c>
      <c r="Q167" s="15">
        <f t="shared" si="8"/>
        <v>600</v>
      </c>
    </row>
    <row r="168" spans="1:17" ht="13.5">
      <c r="A168" s="145"/>
      <c r="B168" s="145"/>
      <c r="C168" s="319" t="s">
        <v>267</v>
      </c>
      <c r="D168" s="325" t="s">
        <v>976</v>
      </c>
      <c r="E168" s="670"/>
      <c r="F168" s="13"/>
      <c r="G168" s="15"/>
      <c r="H168" s="20"/>
      <c r="I168" s="20"/>
      <c r="J168" s="15"/>
      <c r="K168" s="15"/>
      <c r="L168" s="15"/>
      <c r="M168" s="20"/>
      <c r="N168" s="15"/>
      <c r="O168" s="20"/>
      <c r="P168" s="20"/>
      <c r="Q168" s="15"/>
    </row>
    <row r="169" spans="1:17" ht="12">
      <c r="A169" s="145"/>
      <c r="B169" s="145"/>
      <c r="C169" s="163" t="s">
        <v>268</v>
      </c>
      <c r="D169" s="104" t="s">
        <v>269</v>
      </c>
      <c r="E169" s="670"/>
      <c r="F169" s="13">
        <v>134962</v>
      </c>
      <c r="G169" s="15">
        <f>0+'táj.2.'!G169</f>
        <v>0</v>
      </c>
      <c r="H169" s="15">
        <f>0+'táj.2.'!H169</f>
        <v>0</v>
      </c>
      <c r="I169" s="15">
        <f>0+'táj.2.'!I169</f>
        <v>0</v>
      </c>
      <c r="J169" s="15">
        <f>0+'táj.2.'!J169</f>
        <v>0</v>
      </c>
      <c r="K169" s="15">
        <f>0+'táj.2.'!K169</f>
        <v>0</v>
      </c>
      <c r="L169" s="15">
        <f>0+'táj.2.'!L169</f>
        <v>0</v>
      </c>
      <c r="M169" s="15">
        <f>8000+'táj.2.'!M169</f>
        <v>8000</v>
      </c>
      <c r="N169" s="15">
        <f>0+'táj.2.'!N169</f>
        <v>0</v>
      </c>
      <c r="O169" s="15">
        <f>0+'táj.2.'!O169</f>
        <v>0</v>
      </c>
      <c r="P169" s="15">
        <f>0+'táj.2.'!P169</f>
        <v>0</v>
      </c>
      <c r="Q169" s="15">
        <f>SUM(G169:P169)</f>
        <v>8000</v>
      </c>
    </row>
    <row r="170" spans="1:17" ht="12">
      <c r="A170" s="145"/>
      <c r="B170" s="145"/>
      <c r="C170" s="163" t="s">
        <v>270</v>
      </c>
      <c r="D170" s="481" t="s">
        <v>271</v>
      </c>
      <c r="E170" s="670"/>
      <c r="F170" s="13">
        <v>134963</v>
      </c>
      <c r="G170" s="15">
        <f>0+'táj.2.'!G170</f>
        <v>0</v>
      </c>
      <c r="H170" s="15">
        <f>0+'táj.2.'!H170</f>
        <v>0</v>
      </c>
      <c r="I170" s="15">
        <f>0+'táj.2.'!I170</f>
        <v>0</v>
      </c>
      <c r="J170" s="15">
        <f>0+'táj.2.'!J170</f>
        <v>0</v>
      </c>
      <c r="K170" s="15">
        <f>0+'táj.2.'!K170</f>
        <v>0</v>
      </c>
      <c r="L170" s="15">
        <f>0+'táj.2.'!L170</f>
        <v>0</v>
      </c>
      <c r="M170" s="15">
        <f>1000+'táj.2.'!M170</f>
        <v>1000</v>
      </c>
      <c r="N170" s="15">
        <f>0+'táj.2.'!N170</f>
        <v>0</v>
      </c>
      <c r="O170" s="15">
        <f>0+'táj.2.'!O170</f>
        <v>0</v>
      </c>
      <c r="P170" s="15">
        <f>0+'táj.2.'!P170</f>
        <v>0</v>
      </c>
      <c r="Q170" s="15">
        <f>SUM(G170:P170)</f>
        <v>1000</v>
      </c>
    </row>
    <row r="171" spans="1:17" ht="12">
      <c r="A171" s="145"/>
      <c r="B171" s="145"/>
      <c r="C171" s="320" t="s">
        <v>595</v>
      </c>
      <c r="D171" s="152" t="s">
        <v>479</v>
      </c>
      <c r="E171" s="670"/>
      <c r="F171" s="13"/>
      <c r="G171" s="15"/>
      <c r="H171" s="20"/>
      <c r="I171" s="20"/>
      <c r="J171" s="15"/>
      <c r="K171" s="15"/>
      <c r="L171" s="20"/>
      <c r="M171" s="20"/>
      <c r="N171" s="15"/>
      <c r="O171" s="15"/>
      <c r="P171" s="20"/>
      <c r="Q171" s="15"/>
    </row>
    <row r="172" spans="1:17" ht="24">
      <c r="A172" s="145"/>
      <c r="B172" s="145"/>
      <c r="C172" s="163" t="s">
        <v>596</v>
      </c>
      <c r="D172" s="141" t="s">
        <v>579</v>
      </c>
      <c r="E172" s="670"/>
      <c r="F172" s="13">
        <v>132909</v>
      </c>
      <c r="G172" s="15">
        <f>0+'táj.2.'!G172</f>
        <v>0</v>
      </c>
      <c r="H172" s="15">
        <f>0+'táj.2.'!H172</f>
        <v>0</v>
      </c>
      <c r="I172" s="15">
        <f>0+'táj.2.'!I172</f>
        <v>0</v>
      </c>
      <c r="J172" s="15">
        <f>0+'táj.2.'!J172</f>
        <v>0</v>
      </c>
      <c r="K172" s="15">
        <f>0+'táj.2.'!K172</f>
        <v>0</v>
      </c>
      <c r="L172" s="15">
        <f>4000+'táj.2.'!L172</f>
        <v>0</v>
      </c>
      <c r="M172" s="15">
        <f>0+'táj.2.'!M172</f>
        <v>0</v>
      </c>
      <c r="N172" s="15">
        <f>0+'táj.2.'!N172</f>
        <v>9000</v>
      </c>
      <c r="O172" s="15">
        <f>0+'táj.2.'!O172</f>
        <v>0</v>
      </c>
      <c r="P172" s="15">
        <f>0+'táj.2.'!P172</f>
        <v>0</v>
      </c>
      <c r="Q172" s="15">
        <f>SUM(G172:P172)</f>
        <v>9000</v>
      </c>
    </row>
    <row r="173" spans="1:17" ht="12">
      <c r="A173" s="145"/>
      <c r="B173" s="145"/>
      <c r="C173" s="163" t="s">
        <v>473</v>
      </c>
      <c r="D173" s="16" t="s">
        <v>272</v>
      </c>
      <c r="E173" s="670"/>
      <c r="F173" s="13">
        <v>132910</v>
      </c>
      <c r="G173" s="15">
        <f>0+'táj.2.'!G173</f>
        <v>0</v>
      </c>
      <c r="H173" s="15">
        <f>0+'táj.2.'!H173</f>
        <v>0</v>
      </c>
      <c r="I173" s="15">
        <f>0+'táj.2.'!I173</f>
        <v>0</v>
      </c>
      <c r="J173" s="15">
        <f>0+'táj.2.'!J173</f>
        <v>0</v>
      </c>
      <c r="K173" s="15">
        <f>0+'táj.2.'!K173</f>
        <v>0</v>
      </c>
      <c r="L173" s="15">
        <f>8255+'táj.2.'!L173</f>
        <v>8255</v>
      </c>
      <c r="M173" s="15">
        <f>0+'táj.2.'!M173</f>
        <v>0</v>
      </c>
      <c r="N173" s="15">
        <f>0+'táj.2.'!N173</f>
        <v>0</v>
      </c>
      <c r="O173" s="15">
        <f>0+'táj.2.'!O173</f>
        <v>0</v>
      </c>
      <c r="P173" s="15">
        <f>0+'táj.2.'!P173</f>
        <v>0</v>
      </c>
      <c r="Q173" s="15">
        <f>SUM(G173:P173)</f>
        <v>8255</v>
      </c>
    </row>
    <row r="174" spans="1:17" ht="12">
      <c r="A174" s="145"/>
      <c r="B174" s="145"/>
      <c r="C174" s="320" t="s">
        <v>597</v>
      </c>
      <c r="D174" s="21" t="s">
        <v>276</v>
      </c>
      <c r="E174" s="670"/>
      <c r="F174" s="13"/>
      <c r="G174" s="15"/>
      <c r="H174" s="20"/>
      <c r="I174" s="20"/>
      <c r="J174" s="15"/>
      <c r="K174" s="15"/>
      <c r="L174" s="15"/>
      <c r="M174" s="20"/>
      <c r="N174" s="15"/>
      <c r="O174" s="15"/>
      <c r="P174" s="20"/>
      <c r="Q174" s="15"/>
    </row>
    <row r="175" spans="1:17" ht="12">
      <c r="A175" s="145"/>
      <c r="B175" s="145"/>
      <c r="C175" s="163" t="s">
        <v>277</v>
      </c>
      <c r="D175" s="104" t="s">
        <v>47</v>
      </c>
      <c r="E175" s="670"/>
      <c r="F175" s="13">
        <v>134921</v>
      </c>
      <c r="G175" s="15">
        <f>0+'táj.2.'!G175</f>
        <v>0</v>
      </c>
      <c r="H175" s="15">
        <f>0+'táj.2.'!H175</f>
        <v>0</v>
      </c>
      <c r="I175" s="15">
        <f>0+'táj.2.'!I175</f>
        <v>0</v>
      </c>
      <c r="J175" s="15">
        <f>0+'táj.2.'!J175</f>
        <v>0</v>
      </c>
      <c r="K175" s="15">
        <f>0+'táj.2.'!K175</f>
        <v>0</v>
      </c>
      <c r="L175" s="15">
        <f>0+'táj.2.'!L175</f>
        <v>0</v>
      </c>
      <c r="M175" s="15">
        <f>6789+'táj.2.'!M175</f>
        <v>6789</v>
      </c>
      <c r="N175" s="15">
        <f>0+'táj.2.'!N175</f>
        <v>0</v>
      </c>
      <c r="O175" s="15">
        <f>0+'táj.2.'!O175</f>
        <v>0</v>
      </c>
      <c r="P175" s="15">
        <f>0+'táj.2.'!P175</f>
        <v>0</v>
      </c>
      <c r="Q175" s="15">
        <f>SUM(G175:P175)</f>
        <v>6789</v>
      </c>
    </row>
    <row r="176" spans="1:17" ht="12">
      <c r="A176" s="145"/>
      <c r="B176" s="145"/>
      <c r="C176" s="163" t="s">
        <v>278</v>
      </c>
      <c r="D176" s="104" t="s">
        <v>279</v>
      </c>
      <c r="E176" s="670"/>
      <c r="F176" s="13">
        <v>134922</v>
      </c>
      <c r="G176" s="15">
        <f>0+'táj.2.'!G176</f>
        <v>0</v>
      </c>
      <c r="H176" s="15">
        <f>0+'táj.2.'!H176</f>
        <v>0</v>
      </c>
      <c r="I176" s="15">
        <f>0+'táj.2.'!I176</f>
        <v>0</v>
      </c>
      <c r="J176" s="15">
        <f>0+'táj.2.'!J176</f>
        <v>0</v>
      </c>
      <c r="K176" s="15">
        <f>0+'táj.2.'!K176</f>
        <v>0</v>
      </c>
      <c r="L176" s="15">
        <f>0+'táj.2.'!L176</f>
        <v>0</v>
      </c>
      <c r="M176" s="15">
        <f>700+'táj.2.'!M176</f>
        <v>700</v>
      </c>
      <c r="N176" s="15">
        <f>0+'táj.2.'!N176</f>
        <v>0</v>
      </c>
      <c r="O176" s="15">
        <f>0+'táj.2.'!O176</f>
        <v>0</v>
      </c>
      <c r="P176" s="15">
        <f>0+'táj.2.'!P176</f>
        <v>0</v>
      </c>
      <c r="Q176" s="15">
        <f>SUM(G176:P176)</f>
        <v>700</v>
      </c>
    </row>
    <row r="177" spans="1:17" ht="12">
      <c r="A177" s="145"/>
      <c r="B177" s="145"/>
      <c r="C177" s="163" t="s">
        <v>671</v>
      </c>
      <c r="D177" s="480" t="s">
        <v>48</v>
      </c>
      <c r="E177" s="670"/>
      <c r="F177" s="13">
        <v>134926</v>
      </c>
      <c r="G177" s="15">
        <f>0+'táj.2.'!G177</f>
        <v>0</v>
      </c>
      <c r="H177" s="15">
        <f>0+'táj.2.'!H177</f>
        <v>0</v>
      </c>
      <c r="I177" s="15">
        <f>0+'táj.2.'!I177</f>
        <v>0</v>
      </c>
      <c r="J177" s="15">
        <f>0+'táj.2.'!J177</f>
        <v>0</v>
      </c>
      <c r="K177" s="15">
        <f>0+'táj.2.'!K177</f>
        <v>0</v>
      </c>
      <c r="L177" s="15">
        <f>0+'táj.2.'!L177</f>
        <v>0</v>
      </c>
      <c r="M177" s="15">
        <f>0+'táj.2.'!M177</f>
        <v>0</v>
      </c>
      <c r="N177" s="15">
        <f>10000+'táj.2.'!N177</f>
        <v>10000</v>
      </c>
      <c r="O177" s="15">
        <f>0+'táj.2.'!O177</f>
        <v>0</v>
      </c>
      <c r="P177" s="15">
        <f>0+'táj.2.'!P177</f>
        <v>0</v>
      </c>
      <c r="Q177" s="15">
        <f>SUM(G177:P177)</f>
        <v>10000</v>
      </c>
    </row>
    <row r="178" spans="1:17" ht="12.75">
      <c r="A178" s="145"/>
      <c r="B178" s="145"/>
      <c r="C178" s="163" t="s">
        <v>511</v>
      </c>
      <c r="D178" s="534" t="s">
        <v>510</v>
      </c>
      <c r="E178" s="670"/>
      <c r="F178" s="13">
        <v>134925</v>
      </c>
      <c r="G178" s="15">
        <f>'táj.2.'!G178</f>
        <v>0</v>
      </c>
      <c r="H178" s="15">
        <f>'táj.2.'!H178</f>
        <v>0</v>
      </c>
      <c r="I178" s="15">
        <f>'táj.2.'!I178</f>
        <v>0</v>
      </c>
      <c r="J178" s="15">
        <f>'táj.2.'!J178</f>
        <v>0</v>
      </c>
      <c r="K178" s="15">
        <f>'táj.2.'!K178</f>
        <v>0</v>
      </c>
      <c r="L178" s="15">
        <f>'táj.2.'!L178</f>
        <v>0</v>
      </c>
      <c r="M178" s="15">
        <f>0+'táj.2.'!M178</f>
        <v>0</v>
      </c>
      <c r="N178" s="15">
        <f>500+'táj.2.'!N178</f>
        <v>500</v>
      </c>
      <c r="O178" s="15">
        <f>'táj.2.'!O178</f>
        <v>0</v>
      </c>
      <c r="P178" s="15">
        <f>'táj.2.'!P178</f>
        <v>0</v>
      </c>
      <c r="Q178" s="15">
        <f>SUM(G178:P178)</f>
        <v>500</v>
      </c>
    </row>
    <row r="179" spans="1:17" ht="12">
      <c r="A179" s="145"/>
      <c r="B179" s="145"/>
      <c r="C179" s="320" t="s">
        <v>598</v>
      </c>
      <c r="D179" s="21" t="s">
        <v>280</v>
      </c>
      <c r="E179" s="670"/>
      <c r="F179" s="13"/>
      <c r="G179" s="15"/>
      <c r="H179" s="20"/>
      <c r="I179" s="20"/>
      <c r="J179" s="15"/>
      <c r="K179" s="15"/>
      <c r="L179" s="15"/>
      <c r="M179" s="20"/>
      <c r="N179" s="15"/>
      <c r="O179" s="15"/>
      <c r="P179" s="20"/>
      <c r="Q179" s="15"/>
    </row>
    <row r="180" spans="1:17" ht="51">
      <c r="A180" s="145"/>
      <c r="B180" s="145"/>
      <c r="C180" s="163" t="s">
        <v>604</v>
      </c>
      <c r="D180" s="323" t="s">
        <v>281</v>
      </c>
      <c r="E180" s="670"/>
      <c r="F180" s="13">
        <v>132940</v>
      </c>
      <c r="G180" s="15">
        <f>0+'táj.2.'!G180</f>
        <v>0</v>
      </c>
      <c r="H180" s="15">
        <f>0+'táj.2.'!H180</f>
        <v>0</v>
      </c>
      <c r="I180" s="15">
        <f>0+'táj.2.'!I180</f>
        <v>0</v>
      </c>
      <c r="J180" s="15">
        <f>0+'táj.2.'!J180</f>
        <v>0</v>
      </c>
      <c r="K180" s="15">
        <f>0+'táj.2.'!K180</f>
        <v>0</v>
      </c>
      <c r="L180" s="15">
        <f>6700+'táj.2.'!L180</f>
        <v>6700</v>
      </c>
      <c r="M180" s="15">
        <f>0+'táj.2.'!M180</f>
        <v>0</v>
      </c>
      <c r="N180" s="15">
        <f>0+'táj.2.'!N180</f>
        <v>0</v>
      </c>
      <c r="O180" s="15">
        <f>0+'táj.2.'!O180</f>
        <v>0</v>
      </c>
      <c r="P180" s="15">
        <f>0+'táj.2.'!P180</f>
        <v>0</v>
      </c>
      <c r="Q180" s="15">
        <f>SUM(G180:P180)</f>
        <v>6700</v>
      </c>
    </row>
    <row r="181" spans="1:17" ht="12.75">
      <c r="A181" s="145"/>
      <c r="B181" s="145"/>
      <c r="C181" s="163" t="s">
        <v>605</v>
      </c>
      <c r="D181" s="328" t="s">
        <v>285</v>
      </c>
      <c r="E181" s="670"/>
      <c r="F181" s="13">
        <v>134964</v>
      </c>
      <c r="G181" s="15">
        <f>0+'táj.2.'!G181</f>
        <v>0</v>
      </c>
      <c r="H181" s="15">
        <f>0+'táj.2.'!H181</f>
        <v>0</v>
      </c>
      <c r="I181" s="15">
        <f>0+'táj.2.'!I181</f>
        <v>0</v>
      </c>
      <c r="J181" s="15">
        <f>0+'táj.2.'!J181</f>
        <v>0</v>
      </c>
      <c r="K181" s="15">
        <f>0+'táj.2.'!K181</f>
        <v>0</v>
      </c>
      <c r="L181" s="15">
        <f>0+'táj.2.'!L181</f>
        <v>0</v>
      </c>
      <c r="M181" s="15">
        <f>1000+'táj.2.'!M181</f>
        <v>1000</v>
      </c>
      <c r="N181" s="15">
        <f>0+'táj.2.'!N181</f>
        <v>0</v>
      </c>
      <c r="O181" s="15">
        <f>0+'táj.2.'!O181</f>
        <v>0</v>
      </c>
      <c r="P181" s="15">
        <f>0+'táj.2.'!P181</f>
        <v>0</v>
      </c>
      <c r="Q181" s="15">
        <f>SUM(G181:P181)</f>
        <v>1000</v>
      </c>
    </row>
    <row r="182" spans="1:17" ht="12.75">
      <c r="A182" s="145"/>
      <c r="B182" s="145"/>
      <c r="C182" s="319" t="s">
        <v>599</v>
      </c>
      <c r="D182" s="328" t="s">
        <v>631</v>
      </c>
      <c r="E182" s="670"/>
      <c r="F182" s="13"/>
      <c r="G182" s="15"/>
      <c r="H182" s="20"/>
      <c r="I182" s="20"/>
      <c r="J182" s="15"/>
      <c r="K182" s="15"/>
      <c r="L182" s="15"/>
      <c r="M182" s="15"/>
      <c r="N182" s="15"/>
      <c r="O182" s="20"/>
      <c r="P182" s="20"/>
      <c r="Q182" s="15"/>
    </row>
    <row r="183" spans="1:17" ht="30" customHeight="1">
      <c r="A183" s="145"/>
      <c r="B183" s="145"/>
      <c r="C183" s="163" t="s">
        <v>620</v>
      </c>
      <c r="D183" s="158" t="s">
        <v>443</v>
      </c>
      <c r="E183" s="681"/>
      <c r="F183" s="23">
        <v>132903</v>
      </c>
      <c r="G183" s="15">
        <f>0+'táj.2.'!G183</f>
        <v>0</v>
      </c>
      <c r="H183" s="15">
        <f>0+'táj.2.'!H183</f>
        <v>0</v>
      </c>
      <c r="I183" s="15">
        <f>0+'táj.2.'!I183</f>
        <v>0</v>
      </c>
      <c r="J183" s="15">
        <f>0+'táj.2.'!J183</f>
        <v>0</v>
      </c>
      <c r="K183" s="15">
        <f>0+'táj.2.'!K183</f>
        <v>0</v>
      </c>
      <c r="L183" s="15">
        <f>5953+'táj.2.'!L183</f>
        <v>5953</v>
      </c>
      <c r="M183" s="15">
        <f>0+'táj.2.'!M183</f>
        <v>0</v>
      </c>
      <c r="N183" s="15">
        <f>0+'táj.2.'!N183</f>
        <v>0</v>
      </c>
      <c r="O183" s="15">
        <f>0+'táj.2.'!O183</f>
        <v>0</v>
      </c>
      <c r="P183" s="15">
        <f>0+'táj.2.'!P183</f>
        <v>0</v>
      </c>
      <c r="Q183" s="330">
        <f>SUM(G183:P183)</f>
        <v>5953</v>
      </c>
    </row>
    <row r="184" spans="1:17" ht="12">
      <c r="A184" s="145"/>
      <c r="B184" s="145"/>
      <c r="C184" s="319" t="s">
        <v>600</v>
      </c>
      <c r="D184" s="16" t="s">
        <v>286</v>
      </c>
      <c r="E184" s="670"/>
      <c r="F184" s="13"/>
      <c r="G184" s="15"/>
      <c r="H184" s="20"/>
      <c r="I184" s="20"/>
      <c r="J184" s="15"/>
      <c r="K184" s="15"/>
      <c r="L184" s="15"/>
      <c r="M184" s="20"/>
      <c r="N184" s="15"/>
      <c r="O184" s="15"/>
      <c r="P184" s="20"/>
      <c r="Q184" s="15"/>
    </row>
    <row r="185" spans="1:17" ht="14.25" customHeight="1">
      <c r="A185" s="145"/>
      <c r="B185" s="145"/>
      <c r="C185" s="163" t="s">
        <v>287</v>
      </c>
      <c r="D185" s="331" t="s">
        <v>3</v>
      </c>
      <c r="E185" s="670"/>
      <c r="F185" s="13">
        <v>132946</v>
      </c>
      <c r="G185" s="15">
        <f>0+'táj.2.'!G185</f>
        <v>0</v>
      </c>
      <c r="H185" s="15">
        <f>0+'táj.2.'!H185</f>
        <v>0</v>
      </c>
      <c r="I185" s="15">
        <f>0+'táj.2.'!I185</f>
        <v>0</v>
      </c>
      <c r="J185" s="15">
        <f>0+'táj.2.'!J185</f>
        <v>0</v>
      </c>
      <c r="K185" s="15">
        <f>0+'táj.2.'!K185</f>
        <v>0</v>
      </c>
      <c r="L185" s="15">
        <f>0+'táj.2.'!L185</f>
        <v>0</v>
      </c>
      <c r="M185" s="15">
        <f>0+'táj.2.'!M185</f>
        <v>0</v>
      </c>
      <c r="N185" s="15">
        <f>800+'táj.2.'!N185</f>
        <v>800</v>
      </c>
      <c r="O185" s="15">
        <f>0+'táj.2.'!O185</f>
        <v>0</v>
      </c>
      <c r="P185" s="15">
        <f>0+'táj.2.'!P185</f>
        <v>0</v>
      </c>
      <c r="Q185" s="15">
        <f aca="true" t="shared" si="9" ref="Q185:Q195">SUM(G185:P185)</f>
        <v>800</v>
      </c>
    </row>
    <row r="186" spans="1:17" ht="36" customHeight="1">
      <c r="A186" s="145"/>
      <c r="B186" s="145"/>
      <c r="C186" s="163" t="s">
        <v>288</v>
      </c>
      <c r="D186" s="323" t="s">
        <v>428</v>
      </c>
      <c r="E186" s="670"/>
      <c r="F186" s="13">
        <v>132941</v>
      </c>
      <c r="G186" s="15">
        <f>0+'táj.2.'!G186</f>
        <v>0</v>
      </c>
      <c r="H186" s="15">
        <f>0+'táj.2.'!H186</f>
        <v>0</v>
      </c>
      <c r="I186" s="15">
        <f>0+'táj.2.'!I186</f>
        <v>0</v>
      </c>
      <c r="J186" s="15">
        <f>0+'táj.2.'!J186</f>
        <v>0</v>
      </c>
      <c r="K186" s="15">
        <f>0+'táj.2.'!K186</f>
        <v>0</v>
      </c>
      <c r="L186" s="15">
        <f>0+'táj.2.'!L186</f>
        <v>0</v>
      </c>
      <c r="M186" s="15">
        <f>0+'táj.2.'!M186</f>
        <v>0</v>
      </c>
      <c r="N186" s="15">
        <f>20065+'táj.2.'!N186</f>
        <v>20065</v>
      </c>
      <c r="O186" s="15">
        <f>0+'táj.2.'!O186</f>
        <v>0</v>
      </c>
      <c r="P186" s="15">
        <f>0+'táj.2.'!P186</f>
        <v>0</v>
      </c>
      <c r="Q186" s="15">
        <f t="shared" si="9"/>
        <v>20065</v>
      </c>
    </row>
    <row r="187" spans="1:17" ht="22.5" customHeight="1">
      <c r="A187" s="145"/>
      <c r="B187" s="145"/>
      <c r="C187" s="163" t="s">
        <v>289</v>
      </c>
      <c r="D187" s="323" t="s">
        <v>679</v>
      </c>
      <c r="E187" s="670"/>
      <c r="F187" s="13">
        <v>132942</v>
      </c>
      <c r="G187" s="15">
        <f>0+'táj.2.'!G187</f>
        <v>0</v>
      </c>
      <c r="H187" s="15">
        <f>0+'táj.2.'!H187</f>
        <v>0</v>
      </c>
      <c r="I187" s="15">
        <f>0+'táj.2.'!I187</f>
        <v>0</v>
      </c>
      <c r="J187" s="15">
        <f>0+'táj.2.'!J187</f>
        <v>0</v>
      </c>
      <c r="K187" s="15">
        <f>0+'táj.2.'!K187</f>
        <v>0</v>
      </c>
      <c r="L187" s="15">
        <f>12000+'táj.2.'!L187</f>
        <v>12000</v>
      </c>
      <c r="M187" s="15">
        <f>0+'táj.2.'!M187</f>
        <v>0</v>
      </c>
      <c r="N187" s="15">
        <f>0+'táj.2.'!N187</f>
        <v>0</v>
      </c>
      <c r="O187" s="15">
        <f>0+'táj.2.'!O187</f>
        <v>0</v>
      </c>
      <c r="P187" s="15">
        <f>0+'táj.2.'!P187</f>
        <v>0</v>
      </c>
      <c r="Q187" s="15">
        <f t="shared" si="9"/>
        <v>12000</v>
      </c>
    </row>
    <row r="188" spans="1:17" ht="18.75" customHeight="1">
      <c r="A188" s="145"/>
      <c r="B188" s="145"/>
      <c r="C188" s="163" t="s">
        <v>290</v>
      </c>
      <c r="D188" s="109" t="s">
        <v>291</v>
      </c>
      <c r="E188" s="670"/>
      <c r="F188" s="13">
        <v>132911</v>
      </c>
      <c r="G188" s="15">
        <f>0+'táj.2.'!G188</f>
        <v>0</v>
      </c>
      <c r="H188" s="15">
        <f>0+'táj.2.'!H188</f>
        <v>0</v>
      </c>
      <c r="I188" s="15">
        <f>0+'táj.2.'!I188</f>
        <v>0</v>
      </c>
      <c r="J188" s="15">
        <f>0+'táj.2.'!J188</f>
        <v>0</v>
      </c>
      <c r="K188" s="15">
        <f>0+'táj.2.'!K188</f>
        <v>0</v>
      </c>
      <c r="L188" s="15">
        <f>20000+'táj.2.'!L188</f>
        <v>20000</v>
      </c>
      <c r="M188" s="15">
        <f>0+'táj.2.'!M188</f>
        <v>0</v>
      </c>
      <c r="N188" s="15">
        <f>0+'táj.2.'!N188</f>
        <v>0</v>
      </c>
      <c r="O188" s="15">
        <f>0+'táj.2.'!O188</f>
        <v>0</v>
      </c>
      <c r="P188" s="15">
        <f>0+'táj.2.'!P188</f>
        <v>0</v>
      </c>
      <c r="Q188" s="15">
        <f t="shared" si="9"/>
        <v>20000</v>
      </c>
    </row>
    <row r="189" spans="1:17" ht="36" customHeight="1">
      <c r="A189" s="145"/>
      <c r="B189" s="145"/>
      <c r="C189" s="163" t="s">
        <v>292</v>
      </c>
      <c r="D189" s="332" t="s">
        <v>447</v>
      </c>
      <c r="E189" s="670"/>
      <c r="F189" s="13">
        <v>132923</v>
      </c>
      <c r="G189" s="15">
        <f>268+'táj.2.'!G189</f>
        <v>268</v>
      </c>
      <c r="H189" s="15">
        <f>65+'táj.2.'!H189</f>
        <v>65</v>
      </c>
      <c r="I189" s="15">
        <f>25811+'táj.2.'!I189</f>
        <v>25811</v>
      </c>
      <c r="J189" s="15">
        <f>0+'táj.2.'!J189</f>
        <v>0</v>
      </c>
      <c r="K189" s="15">
        <f>0+'táj.2.'!K189</f>
        <v>0</v>
      </c>
      <c r="L189" s="15">
        <f>7797+'táj.2.'!L189</f>
        <v>7797</v>
      </c>
      <c r="M189" s="15">
        <f>0+'táj.2.'!M189</f>
        <v>0</v>
      </c>
      <c r="N189" s="15">
        <f>0+'táj.2.'!N189</f>
        <v>0</v>
      </c>
      <c r="O189" s="15">
        <f>0+'táj.2.'!O189</f>
        <v>0</v>
      </c>
      <c r="P189" s="15">
        <f>0+'táj.2.'!P189</f>
        <v>0</v>
      </c>
      <c r="Q189" s="15">
        <f t="shared" si="9"/>
        <v>33941</v>
      </c>
    </row>
    <row r="190" spans="1:17" ht="12.75">
      <c r="A190" s="145"/>
      <c r="B190" s="145"/>
      <c r="C190" s="163" t="s">
        <v>293</v>
      </c>
      <c r="D190" s="103" t="s">
        <v>45</v>
      </c>
      <c r="E190" s="670"/>
      <c r="F190" s="13">
        <v>134910</v>
      </c>
      <c r="G190" s="15">
        <f>0+'táj.2.'!G190</f>
        <v>0</v>
      </c>
      <c r="H190" s="15">
        <f>0+'táj.2.'!H190</f>
        <v>0</v>
      </c>
      <c r="I190" s="15">
        <f>0+'táj.2.'!I190</f>
        <v>0</v>
      </c>
      <c r="J190" s="15">
        <f>0+'táj.2.'!J190</f>
        <v>0</v>
      </c>
      <c r="K190" s="15">
        <f>0+'táj.2.'!K190</f>
        <v>0</v>
      </c>
      <c r="L190" s="15">
        <f>0+'táj.2.'!L190</f>
        <v>0</v>
      </c>
      <c r="M190" s="15">
        <f>1000+'táj.2.'!M190</f>
        <v>1000</v>
      </c>
      <c r="N190" s="15">
        <f>0+'táj.2.'!N190</f>
        <v>0</v>
      </c>
      <c r="O190" s="15">
        <f>0+'táj.2.'!O190</f>
        <v>0</v>
      </c>
      <c r="P190" s="15">
        <f>0+'táj.2.'!P190</f>
        <v>0</v>
      </c>
      <c r="Q190" s="15">
        <f t="shared" si="9"/>
        <v>1000</v>
      </c>
    </row>
    <row r="191" spans="1:17" ht="25.5" customHeight="1">
      <c r="A191" s="145"/>
      <c r="B191" s="145"/>
      <c r="C191" s="163" t="s">
        <v>294</v>
      </c>
      <c r="D191" s="333" t="s">
        <v>2</v>
      </c>
      <c r="E191" s="670"/>
      <c r="F191" s="13">
        <v>134940</v>
      </c>
      <c r="G191" s="15">
        <f>0+'táj.2.'!G191</f>
        <v>0</v>
      </c>
      <c r="H191" s="15">
        <f>0+'táj.2.'!H191</f>
        <v>0</v>
      </c>
      <c r="I191" s="15">
        <f>0+'táj.2.'!I191</f>
        <v>0</v>
      </c>
      <c r="J191" s="15">
        <f>0+'táj.2.'!J191</f>
        <v>0</v>
      </c>
      <c r="K191" s="15">
        <f>0+'táj.2.'!K191</f>
        <v>0</v>
      </c>
      <c r="L191" s="15">
        <f>0+'táj.2.'!L191</f>
        <v>0</v>
      </c>
      <c r="M191" s="15">
        <f>0+'táj.2.'!M191</f>
        <v>0</v>
      </c>
      <c r="N191" s="15">
        <f>1000+'táj.2.'!N191</f>
        <v>1000</v>
      </c>
      <c r="O191" s="15">
        <f>0+'táj.2.'!O191</f>
        <v>0</v>
      </c>
      <c r="P191" s="15">
        <f>0+'táj.2.'!P191</f>
        <v>0</v>
      </c>
      <c r="Q191" s="15">
        <f t="shared" si="9"/>
        <v>1000</v>
      </c>
    </row>
    <row r="192" spans="1:17" ht="18.75" customHeight="1">
      <c r="A192" s="145"/>
      <c r="B192" s="145"/>
      <c r="C192" s="163" t="s">
        <v>295</v>
      </c>
      <c r="D192" s="334" t="s">
        <v>553</v>
      </c>
      <c r="E192" s="670"/>
      <c r="F192" s="13">
        <v>132904</v>
      </c>
      <c r="G192" s="15">
        <f>0+'táj.2.'!G192</f>
        <v>0</v>
      </c>
      <c r="H192" s="15">
        <f>0+'táj.2.'!H192</f>
        <v>0</v>
      </c>
      <c r="I192" s="15">
        <f>0+'táj.2.'!I192</f>
        <v>0</v>
      </c>
      <c r="J192" s="15">
        <f>0+'táj.2.'!J192</f>
        <v>0</v>
      </c>
      <c r="K192" s="15">
        <f>0+'táj.2.'!K192</f>
        <v>0</v>
      </c>
      <c r="L192" s="15">
        <f>0+'táj.2.'!L192</f>
        <v>0</v>
      </c>
      <c r="M192" s="15">
        <f>3595+'táj.2.'!M192</f>
        <v>3595</v>
      </c>
      <c r="N192" s="15">
        <f>0+'táj.2.'!N192</f>
        <v>0</v>
      </c>
      <c r="O192" s="15">
        <f>0+'táj.2.'!O192</f>
        <v>0</v>
      </c>
      <c r="P192" s="15">
        <f>0+'táj.2.'!P192</f>
        <v>0</v>
      </c>
      <c r="Q192" s="15">
        <f t="shared" si="9"/>
        <v>3595</v>
      </c>
    </row>
    <row r="193" spans="1:17" ht="25.5" customHeight="1">
      <c r="A193" s="145"/>
      <c r="B193" s="145"/>
      <c r="C193" s="163" t="s">
        <v>296</v>
      </c>
      <c r="D193" s="335" t="s">
        <v>46</v>
      </c>
      <c r="E193" s="670"/>
      <c r="F193" s="13">
        <v>134919</v>
      </c>
      <c r="G193" s="15">
        <f>0+'táj.2.'!G193</f>
        <v>0</v>
      </c>
      <c r="H193" s="15">
        <f>0+'táj.2.'!H193</f>
        <v>0</v>
      </c>
      <c r="I193" s="15">
        <f>0+'táj.2.'!I193</f>
        <v>0</v>
      </c>
      <c r="J193" s="15">
        <f>0+'táj.2.'!J193</f>
        <v>0</v>
      </c>
      <c r="K193" s="15">
        <f>0+'táj.2.'!K193</f>
        <v>0</v>
      </c>
      <c r="L193" s="15">
        <f>0+'táj.2.'!L193</f>
        <v>0</v>
      </c>
      <c r="M193" s="15">
        <f>1713+'táj.2.'!M193</f>
        <v>1713</v>
      </c>
      <c r="N193" s="15">
        <f>0+'táj.2.'!N193</f>
        <v>0</v>
      </c>
      <c r="O193" s="15">
        <f>0+'táj.2.'!O193</f>
        <v>0</v>
      </c>
      <c r="P193" s="15">
        <f>0+'táj.2.'!P193</f>
        <v>0</v>
      </c>
      <c r="Q193" s="15">
        <f t="shared" si="9"/>
        <v>1713</v>
      </c>
    </row>
    <row r="194" spans="1:17" ht="12.75">
      <c r="A194" s="145"/>
      <c r="B194" s="145"/>
      <c r="C194" s="163" t="s">
        <v>297</v>
      </c>
      <c r="D194" s="336" t="s">
        <v>49</v>
      </c>
      <c r="E194" s="670"/>
      <c r="F194" s="13">
        <v>134930</v>
      </c>
      <c r="G194" s="15">
        <f>0+'táj.2.'!G194</f>
        <v>0</v>
      </c>
      <c r="H194" s="15">
        <f>0+'táj.2.'!H194</f>
        <v>0</v>
      </c>
      <c r="I194" s="15">
        <f>0+'táj.2.'!I194</f>
        <v>0</v>
      </c>
      <c r="J194" s="15">
        <f>0+'táj.2.'!J194</f>
        <v>0</v>
      </c>
      <c r="K194" s="15">
        <f>0+'táj.2.'!K194</f>
        <v>0</v>
      </c>
      <c r="L194" s="15">
        <f>0+'táj.2.'!L194</f>
        <v>0</v>
      </c>
      <c r="M194" s="15">
        <f>5000+'táj.2.'!M194</f>
        <v>5000</v>
      </c>
      <c r="N194" s="15">
        <f>0+'táj.2.'!N194</f>
        <v>0</v>
      </c>
      <c r="O194" s="15">
        <f>0+'táj.2.'!O194</f>
        <v>0</v>
      </c>
      <c r="P194" s="15">
        <f>0+'táj.2.'!P194</f>
        <v>0</v>
      </c>
      <c r="Q194" s="15">
        <f t="shared" si="9"/>
        <v>5000</v>
      </c>
    </row>
    <row r="195" spans="1:17" ht="22.5" customHeight="1">
      <c r="A195" s="145"/>
      <c r="B195" s="145"/>
      <c r="C195" s="163" t="s">
        <v>298</v>
      </c>
      <c r="D195" s="155" t="s">
        <v>299</v>
      </c>
      <c r="E195" s="670"/>
      <c r="F195" s="13">
        <v>134953</v>
      </c>
      <c r="G195" s="15">
        <f>0+'táj.2.'!G195</f>
        <v>0</v>
      </c>
      <c r="H195" s="15">
        <f>0+'táj.2.'!H195</f>
        <v>0</v>
      </c>
      <c r="I195" s="15">
        <f>0+'táj.2.'!I195</f>
        <v>0</v>
      </c>
      <c r="J195" s="15">
        <f>0+'táj.2.'!J195</f>
        <v>0</v>
      </c>
      <c r="K195" s="15">
        <f>0+'táj.2.'!K195</f>
        <v>0</v>
      </c>
      <c r="L195" s="15">
        <f>0+'táj.2.'!L195</f>
        <v>0</v>
      </c>
      <c r="M195" s="15">
        <f>617+'táj.2.'!M195</f>
        <v>617</v>
      </c>
      <c r="N195" s="15">
        <f>0+'táj.2.'!N195</f>
        <v>0</v>
      </c>
      <c r="O195" s="15">
        <f>0+'táj.2.'!O195</f>
        <v>0</v>
      </c>
      <c r="P195" s="15">
        <f>0+'táj.2.'!P195</f>
        <v>0</v>
      </c>
      <c r="Q195" s="15">
        <f t="shared" si="9"/>
        <v>617</v>
      </c>
    </row>
    <row r="196" spans="1:17" ht="12.75" customHeight="1">
      <c r="A196" s="17"/>
      <c r="B196" s="17"/>
      <c r="C196" s="300"/>
      <c r="D196" s="267" t="s">
        <v>406</v>
      </c>
      <c r="E196" s="669"/>
      <c r="F196" s="17"/>
      <c r="G196" s="19">
        <f aca="true" t="shared" si="10" ref="G196:Q196">SUM(G149:G195)</f>
        <v>1470</v>
      </c>
      <c r="H196" s="19">
        <f t="shared" si="10"/>
        <v>405</v>
      </c>
      <c r="I196" s="19">
        <f t="shared" si="10"/>
        <v>89022</v>
      </c>
      <c r="J196" s="19">
        <f t="shared" si="10"/>
        <v>19674</v>
      </c>
      <c r="K196" s="19">
        <f t="shared" si="10"/>
        <v>506192</v>
      </c>
      <c r="L196" s="19">
        <f t="shared" si="10"/>
        <v>66705</v>
      </c>
      <c r="M196" s="19">
        <f t="shared" si="10"/>
        <v>63414</v>
      </c>
      <c r="N196" s="19">
        <f t="shared" si="10"/>
        <v>43965</v>
      </c>
      <c r="O196" s="19">
        <f t="shared" si="10"/>
        <v>0</v>
      </c>
      <c r="P196" s="19">
        <f t="shared" si="10"/>
        <v>0</v>
      </c>
      <c r="Q196" s="19">
        <f t="shared" si="10"/>
        <v>790847</v>
      </c>
    </row>
    <row r="197" spans="1:17" ht="12.75" customHeight="1">
      <c r="A197" s="145">
        <v>1</v>
      </c>
      <c r="B197" s="145">
        <v>14</v>
      </c>
      <c r="C197" s="319"/>
      <c r="D197" s="21" t="s">
        <v>70</v>
      </c>
      <c r="E197" s="682"/>
      <c r="F197" s="145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.75" customHeight="1">
      <c r="A198" s="145"/>
      <c r="B198" s="145"/>
      <c r="C198" s="319"/>
      <c r="D198" s="337" t="s">
        <v>410</v>
      </c>
      <c r="E198" s="682"/>
      <c r="F198" s="145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.75" customHeight="1">
      <c r="A199" s="145"/>
      <c r="B199" s="145"/>
      <c r="C199" s="319"/>
      <c r="D199" s="16" t="s">
        <v>300</v>
      </c>
      <c r="E199" s="670">
        <v>1</v>
      </c>
      <c r="F199" s="13">
        <v>171918</v>
      </c>
      <c r="G199" s="15">
        <f>0+'táj.2.'!G199</f>
        <v>0</v>
      </c>
      <c r="H199" s="15">
        <f>0+'táj.2.'!H199</f>
        <v>0</v>
      </c>
      <c r="I199" s="15">
        <f>4000+'táj.2.'!I199</f>
        <v>4000</v>
      </c>
      <c r="J199" s="15">
        <f>0+'táj.2.'!J199</f>
        <v>0</v>
      </c>
      <c r="K199" s="15">
        <f>0+'táj.2.'!K199</f>
        <v>0</v>
      </c>
      <c r="L199" s="15">
        <f>0+'táj.2.'!L199</f>
        <v>0</v>
      </c>
      <c r="M199" s="15">
        <f>0+'táj.2.'!M199</f>
        <v>0</v>
      </c>
      <c r="N199" s="15">
        <f>0+'táj.2.'!N199</f>
        <v>0</v>
      </c>
      <c r="O199" s="15">
        <f>0+'táj.2.'!O199</f>
        <v>0</v>
      </c>
      <c r="P199" s="15">
        <f>0+'táj.2.'!P199</f>
        <v>0</v>
      </c>
      <c r="Q199" s="15">
        <f>SUM(I199:P199)</f>
        <v>4000</v>
      </c>
    </row>
    <row r="200" spans="1:17" ht="12.75" customHeight="1">
      <c r="A200" s="145"/>
      <c r="B200" s="145"/>
      <c r="C200" s="319"/>
      <c r="D200" s="16" t="s">
        <v>301</v>
      </c>
      <c r="E200" s="670">
        <v>1</v>
      </c>
      <c r="F200" s="13">
        <v>171926</v>
      </c>
      <c r="G200" s="15">
        <f>0+'táj.2.'!G200</f>
        <v>0</v>
      </c>
      <c r="H200" s="15">
        <f>0+'táj.2.'!H200</f>
        <v>0</v>
      </c>
      <c r="I200" s="15">
        <f>1000+'táj.2.'!I200</f>
        <v>1000</v>
      </c>
      <c r="J200" s="15">
        <f>0+'táj.2.'!J200</f>
        <v>0</v>
      </c>
      <c r="K200" s="15">
        <f>0+'táj.2.'!K200</f>
        <v>0</v>
      </c>
      <c r="L200" s="15">
        <f>0+'táj.2.'!L200</f>
        <v>0</v>
      </c>
      <c r="M200" s="15">
        <f>0+'táj.2.'!M200</f>
        <v>0</v>
      </c>
      <c r="N200" s="15">
        <f>0+'táj.2.'!N200</f>
        <v>0</v>
      </c>
      <c r="O200" s="15">
        <f>0+'táj.2.'!O200</f>
        <v>0</v>
      </c>
      <c r="P200" s="15">
        <f>0+'táj.2.'!P200</f>
        <v>0</v>
      </c>
      <c r="Q200" s="15">
        <f>SUM(I200:P200)</f>
        <v>1000</v>
      </c>
    </row>
    <row r="201" spans="1:17" ht="12.75" customHeight="1">
      <c r="A201" s="145"/>
      <c r="B201" s="145"/>
      <c r="C201" s="319"/>
      <c r="D201" s="16" t="s">
        <v>302</v>
      </c>
      <c r="E201" s="670">
        <v>1</v>
      </c>
      <c r="F201" s="13">
        <v>171917</v>
      </c>
      <c r="G201" s="15">
        <f>0+'táj.2.'!G201</f>
        <v>0</v>
      </c>
      <c r="H201" s="15">
        <f>0+'táj.2.'!H201</f>
        <v>0</v>
      </c>
      <c r="I201" s="15">
        <f>10000+'táj.2.'!I201</f>
        <v>10000</v>
      </c>
      <c r="J201" s="15">
        <f>0+'táj.2.'!J201</f>
        <v>0</v>
      </c>
      <c r="K201" s="15">
        <f>0+'táj.2.'!K201</f>
        <v>0</v>
      </c>
      <c r="L201" s="15">
        <f>0+'táj.2.'!L201</f>
        <v>0</v>
      </c>
      <c r="M201" s="15">
        <f>0+'táj.2.'!M201</f>
        <v>0</v>
      </c>
      <c r="N201" s="15">
        <f>0+'táj.2.'!N201</f>
        <v>0</v>
      </c>
      <c r="O201" s="15">
        <f>0+'táj.2.'!O201</f>
        <v>0</v>
      </c>
      <c r="P201" s="15">
        <f>0+'táj.2.'!P201</f>
        <v>0</v>
      </c>
      <c r="Q201" s="15">
        <f>SUM(I201:P201)</f>
        <v>10000</v>
      </c>
    </row>
    <row r="202" spans="1:17" ht="12.75" customHeight="1">
      <c r="A202" s="145"/>
      <c r="B202" s="145"/>
      <c r="C202" s="319"/>
      <c r="D202" s="16" t="s">
        <v>303</v>
      </c>
      <c r="E202" s="670">
        <v>1</v>
      </c>
      <c r="F202" s="13">
        <v>171967</v>
      </c>
      <c r="G202" s="15">
        <f>0+'táj.2.'!G202</f>
        <v>0</v>
      </c>
      <c r="H202" s="15">
        <f>0+'táj.2.'!H202</f>
        <v>0</v>
      </c>
      <c r="I202" s="15">
        <f>1003+'táj.2.'!I202</f>
        <v>1003</v>
      </c>
      <c r="J202" s="15">
        <f>0+'táj.2.'!J202</f>
        <v>0</v>
      </c>
      <c r="K202" s="15">
        <f>0+'táj.2.'!K202</f>
        <v>0</v>
      </c>
      <c r="L202" s="15">
        <f>0+'táj.2.'!L202</f>
        <v>0</v>
      </c>
      <c r="M202" s="15">
        <f>0+'táj.2.'!M202</f>
        <v>0</v>
      </c>
      <c r="N202" s="15">
        <f>0+'táj.2.'!N202</f>
        <v>0</v>
      </c>
      <c r="O202" s="15">
        <f>0+'táj.2.'!O202</f>
        <v>0</v>
      </c>
      <c r="P202" s="15">
        <f>0+'táj.2.'!P202</f>
        <v>0</v>
      </c>
      <c r="Q202" s="15">
        <f>SUM(I202:P202)</f>
        <v>1003</v>
      </c>
    </row>
    <row r="203" spans="1:17" ht="12.75" customHeight="1">
      <c r="A203" s="17"/>
      <c r="B203" s="17"/>
      <c r="C203" s="300"/>
      <c r="D203" s="18" t="s">
        <v>304</v>
      </c>
      <c r="E203" s="683"/>
      <c r="F203" s="97"/>
      <c r="G203" s="19"/>
      <c r="H203" s="19"/>
      <c r="I203" s="339">
        <f aca="true" t="shared" si="11" ref="I203:Q203">SUM(I199:I202)</f>
        <v>16003</v>
      </c>
      <c r="J203" s="339">
        <f t="shared" si="11"/>
        <v>0</v>
      </c>
      <c r="K203" s="339">
        <f t="shared" si="11"/>
        <v>0</v>
      </c>
      <c r="L203" s="339">
        <f t="shared" si="11"/>
        <v>0</v>
      </c>
      <c r="M203" s="339">
        <f t="shared" si="11"/>
        <v>0</v>
      </c>
      <c r="N203" s="339">
        <f t="shared" si="11"/>
        <v>0</v>
      </c>
      <c r="O203" s="339">
        <f t="shared" si="11"/>
        <v>0</v>
      </c>
      <c r="P203" s="339">
        <f t="shared" si="11"/>
        <v>0</v>
      </c>
      <c r="Q203" s="339">
        <f t="shared" si="11"/>
        <v>16003</v>
      </c>
    </row>
    <row r="204" spans="1:17" ht="12.75" customHeight="1">
      <c r="A204" s="145"/>
      <c r="B204" s="145"/>
      <c r="C204" s="319"/>
      <c r="D204" s="311" t="s">
        <v>368</v>
      </c>
      <c r="E204" s="670"/>
      <c r="F204" s="13"/>
      <c r="G204" s="20"/>
      <c r="H204" s="20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27.75" customHeight="1">
      <c r="A205" s="145"/>
      <c r="B205" s="145"/>
      <c r="C205" s="163" t="s">
        <v>548</v>
      </c>
      <c r="D205" s="482" t="s">
        <v>305</v>
      </c>
      <c r="E205" s="670"/>
      <c r="F205" s="13">
        <v>172915</v>
      </c>
      <c r="G205" s="15">
        <f>0+'táj.2.'!G205</f>
        <v>0</v>
      </c>
      <c r="H205" s="15">
        <f>0+'táj.2.'!H205</f>
        <v>0</v>
      </c>
      <c r="I205" s="15">
        <f>0+'táj.2.'!I205</f>
        <v>0</v>
      </c>
      <c r="J205" s="15">
        <f>0+'táj.2.'!J205</f>
        <v>0</v>
      </c>
      <c r="K205" s="15">
        <f>0+'táj.2.'!K205</f>
        <v>0</v>
      </c>
      <c r="L205" s="15">
        <f>11824+'táj.2.'!L205</f>
        <v>11824</v>
      </c>
      <c r="M205" s="15">
        <f>0+'táj.2.'!M205</f>
        <v>0</v>
      </c>
      <c r="N205" s="15">
        <f>0+'táj.2.'!N205</f>
        <v>0</v>
      </c>
      <c r="O205" s="15">
        <f>0+'táj.2.'!O205</f>
        <v>0</v>
      </c>
      <c r="P205" s="15">
        <f>0+'táj.2.'!P205</f>
        <v>0</v>
      </c>
      <c r="Q205" s="15">
        <f>SUM(L205:P205)</f>
        <v>11824</v>
      </c>
    </row>
    <row r="206" spans="1:17" ht="26.25" customHeight="1">
      <c r="A206" s="145"/>
      <c r="B206" s="145"/>
      <c r="C206" s="163" t="s">
        <v>595</v>
      </c>
      <c r="D206" s="141" t="s">
        <v>306</v>
      </c>
      <c r="E206" s="670"/>
      <c r="F206" s="13">
        <v>172916</v>
      </c>
      <c r="G206" s="15">
        <f>0+'táj.2.'!G206</f>
        <v>0</v>
      </c>
      <c r="H206" s="15">
        <f>0+'táj.2.'!H206</f>
        <v>0</v>
      </c>
      <c r="I206" s="15">
        <f>0+'táj.2.'!I206</f>
        <v>0</v>
      </c>
      <c r="J206" s="15">
        <f>0+'táj.2.'!J206</f>
        <v>0</v>
      </c>
      <c r="K206" s="15">
        <f>0+'táj.2.'!K206</f>
        <v>0</v>
      </c>
      <c r="L206" s="15">
        <f>20000+'táj.2.'!L206</f>
        <v>20000</v>
      </c>
      <c r="M206" s="15">
        <f>0+'táj.2.'!M206</f>
        <v>0</v>
      </c>
      <c r="N206" s="15">
        <f>0+'táj.2.'!N206</f>
        <v>0</v>
      </c>
      <c r="O206" s="15">
        <f>0+'táj.2.'!O206</f>
        <v>0</v>
      </c>
      <c r="P206" s="15">
        <f>0+'táj.2.'!P206</f>
        <v>0</v>
      </c>
      <c r="Q206" s="15">
        <f>SUM(I206:P206)</f>
        <v>20000</v>
      </c>
    </row>
    <row r="207" spans="1:17" ht="12.75" customHeight="1">
      <c r="A207" s="145"/>
      <c r="B207" s="145"/>
      <c r="C207" s="319"/>
      <c r="D207" s="16" t="s">
        <v>286</v>
      </c>
      <c r="E207" s="670"/>
      <c r="F207" s="13"/>
      <c r="G207" s="15"/>
      <c r="H207" s="20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 customHeight="1">
      <c r="A208" s="145"/>
      <c r="B208" s="145"/>
      <c r="C208" s="163" t="s">
        <v>492</v>
      </c>
      <c r="D208" s="16" t="s">
        <v>547</v>
      </c>
      <c r="E208" s="670"/>
      <c r="F208" s="13">
        <v>162650</v>
      </c>
      <c r="G208" s="15">
        <f>0+'táj.2.'!G208</f>
        <v>0</v>
      </c>
      <c r="H208" s="15">
        <f>0+'táj.2.'!H208</f>
        <v>0</v>
      </c>
      <c r="I208" s="15">
        <f>0+'táj.2.'!I208</f>
        <v>0</v>
      </c>
      <c r="J208" s="15">
        <f>0+'táj.2.'!J208</f>
        <v>0</v>
      </c>
      <c r="K208" s="15">
        <f>0+'táj.2.'!K208</f>
        <v>0</v>
      </c>
      <c r="L208" s="15">
        <f>23446+'táj.2.'!L208</f>
        <v>23446</v>
      </c>
      <c r="M208" s="15">
        <f>0+'táj.2.'!M208</f>
        <v>0</v>
      </c>
      <c r="N208" s="15">
        <f>0+'táj.2.'!N208</f>
        <v>0</v>
      </c>
      <c r="O208" s="15">
        <f>0+'táj.2.'!O208</f>
        <v>0</v>
      </c>
      <c r="P208" s="15">
        <f>0+'táj.2.'!P208</f>
        <v>0</v>
      </c>
      <c r="Q208" s="15">
        <f>SUM(I208:P208)</f>
        <v>23446</v>
      </c>
    </row>
    <row r="209" spans="1:17" ht="12.75" customHeight="1">
      <c r="A209" s="145"/>
      <c r="B209" s="145"/>
      <c r="C209" s="163" t="s">
        <v>520</v>
      </c>
      <c r="D209" s="16" t="s">
        <v>307</v>
      </c>
      <c r="E209" s="670"/>
      <c r="F209" s="13">
        <v>162674</v>
      </c>
      <c r="G209" s="15">
        <f>0+'táj.2.'!G209</f>
        <v>0</v>
      </c>
      <c r="H209" s="15">
        <f>0+'táj.2.'!H209</f>
        <v>0</v>
      </c>
      <c r="I209" s="15">
        <f>0+'táj.2.'!I209</f>
        <v>0</v>
      </c>
      <c r="J209" s="15">
        <f>0+'táj.2.'!J209</f>
        <v>0</v>
      </c>
      <c r="K209" s="15">
        <f>0+'táj.2.'!K209</f>
        <v>0</v>
      </c>
      <c r="L209" s="15">
        <f>981010+'táj.2.'!L209</f>
        <v>981010</v>
      </c>
      <c r="M209" s="15">
        <f>0+'táj.2.'!M209</f>
        <v>0</v>
      </c>
      <c r="N209" s="15">
        <f>0+'táj.2.'!N209</f>
        <v>0</v>
      </c>
      <c r="O209" s="15">
        <f>0+'táj.2.'!O209</f>
        <v>0</v>
      </c>
      <c r="P209" s="15">
        <f>0+'táj.2.'!P209</f>
        <v>0</v>
      </c>
      <c r="Q209" s="15">
        <f>SUM(I209:P209)</f>
        <v>981010</v>
      </c>
    </row>
    <row r="210" spans="1:17" ht="12.75" customHeight="1">
      <c r="A210" s="145"/>
      <c r="B210" s="145"/>
      <c r="C210" s="163" t="s">
        <v>521</v>
      </c>
      <c r="D210" s="126" t="s">
        <v>646</v>
      </c>
      <c r="E210" s="681"/>
      <c r="F210" s="23">
        <v>164903</v>
      </c>
      <c r="G210" s="15">
        <f>0+'táj.2.'!G210</f>
        <v>0</v>
      </c>
      <c r="H210" s="15">
        <f>0+'táj.2.'!H210</f>
        <v>0</v>
      </c>
      <c r="I210" s="15">
        <f>0+'táj.2.'!I210</f>
        <v>0</v>
      </c>
      <c r="J210" s="15">
        <f>0+'táj.2.'!J210</f>
        <v>0</v>
      </c>
      <c r="K210" s="15">
        <f>0+'táj.2.'!K210</f>
        <v>0</v>
      </c>
      <c r="L210" s="15">
        <f>0+'táj.2.'!L210</f>
        <v>0</v>
      </c>
      <c r="M210" s="15">
        <f>0+'táj.2.'!M210</f>
        <v>0</v>
      </c>
      <c r="N210" s="15">
        <f>574+'táj.2.'!N210</f>
        <v>574</v>
      </c>
      <c r="O210" s="15">
        <f>0+'táj.2.'!O210</f>
        <v>0</v>
      </c>
      <c r="P210" s="15">
        <f>0+'táj.2.'!P210</f>
        <v>0</v>
      </c>
      <c r="Q210" s="25">
        <f>SUM(G210:P210)</f>
        <v>574</v>
      </c>
    </row>
    <row r="211" spans="1:17" ht="25.5" customHeight="1">
      <c r="A211" s="145"/>
      <c r="B211" s="145"/>
      <c r="C211" s="163" t="s">
        <v>522</v>
      </c>
      <c r="D211" s="483" t="s">
        <v>1070</v>
      </c>
      <c r="E211" s="681"/>
      <c r="F211" s="23">
        <v>162670</v>
      </c>
      <c r="G211" s="15">
        <f>0+'táj.2.'!G211</f>
        <v>0</v>
      </c>
      <c r="H211" s="15">
        <f>0+'táj.2.'!H211</f>
        <v>0</v>
      </c>
      <c r="I211" s="15">
        <f>0+'táj.2.'!I211</f>
        <v>0</v>
      </c>
      <c r="J211" s="15">
        <f>0+'táj.2.'!J211</f>
        <v>0</v>
      </c>
      <c r="K211" s="15">
        <f>0+'táj.2.'!K211</f>
        <v>0</v>
      </c>
      <c r="L211" s="15">
        <f>2500+'táj.2.'!L211</f>
        <v>2500</v>
      </c>
      <c r="M211" s="15">
        <f>0+'táj.2.'!M211</f>
        <v>0</v>
      </c>
      <c r="N211" s="15">
        <f>0+'táj.2.'!N211</f>
        <v>0</v>
      </c>
      <c r="O211" s="15">
        <f>0+'táj.2.'!O211</f>
        <v>0</v>
      </c>
      <c r="P211" s="15">
        <f>0+'táj.2.'!P211</f>
        <v>0</v>
      </c>
      <c r="Q211" s="25">
        <f>SUM(G211:P211)</f>
        <v>2500</v>
      </c>
    </row>
    <row r="212" spans="1:17" ht="12.75" customHeight="1">
      <c r="A212" s="17"/>
      <c r="B212" s="17"/>
      <c r="C212" s="300"/>
      <c r="D212" s="18" t="s">
        <v>308</v>
      </c>
      <c r="E212" s="683"/>
      <c r="F212" s="97"/>
      <c r="G212" s="19">
        <f aca="true" t="shared" si="12" ref="G212:Q212">SUM(G203:G211)</f>
        <v>0</v>
      </c>
      <c r="H212" s="19">
        <f t="shared" si="12"/>
        <v>0</v>
      </c>
      <c r="I212" s="19">
        <f t="shared" si="12"/>
        <v>16003</v>
      </c>
      <c r="J212" s="19">
        <f t="shared" si="12"/>
        <v>0</v>
      </c>
      <c r="K212" s="19">
        <f t="shared" si="12"/>
        <v>0</v>
      </c>
      <c r="L212" s="19">
        <f t="shared" si="12"/>
        <v>1038780</v>
      </c>
      <c r="M212" s="19">
        <f t="shared" si="12"/>
        <v>0</v>
      </c>
      <c r="N212" s="19">
        <f t="shared" si="12"/>
        <v>574</v>
      </c>
      <c r="O212" s="19">
        <f t="shared" si="12"/>
        <v>0</v>
      </c>
      <c r="P212" s="19">
        <f t="shared" si="12"/>
        <v>0</v>
      </c>
      <c r="Q212" s="19">
        <f t="shared" si="12"/>
        <v>1055357</v>
      </c>
    </row>
    <row r="213" spans="1:17" ht="13.5" customHeight="1">
      <c r="A213" s="23">
        <v>1</v>
      </c>
      <c r="B213" s="23">
        <v>15</v>
      </c>
      <c r="C213" s="342"/>
      <c r="D213" s="28" t="s">
        <v>309</v>
      </c>
      <c r="E213" s="681"/>
      <c r="F213" s="23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3.5" customHeight="1">
      <c r="A214" s="23"/>
      <c r="B214" s="23"/>
      <c r="C214" s="342"/>
      <c r="D214" s="100" t="s">
        <v>425</v>
      </c>
      <c r="E214" s="681"/>
      <c r="F214" s="23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3.5" customHeight="1">
      <c r="A215" s="23"/>
      <c r="B215" s="23"/>
      <c r="C215" s="342"/>
      <c r="D215" s="24" t="s">
        <v>652</v>
      </c>
      <c r="E215" s="681">
        <v>1</v>
      </c>
      <c r="F215" s="23">
        <v>151502</v>
      </c>
      <c r="G215" s="25">
        <f>0+'táj.2.'!G215</f>
        <v>0</v>
      </c>
      <c r="H215" s="25">
        <f>0+'táj.2.'!H215</f>
        <v>0</v>
      </c>
      <c r="I215" s="25">
        <f>29459+'táj.2.'!I215</f>
        <v>29459</v>
      </c>
      <c r="J215" s="25">
        <f>0+'táj.2.'!J215</f>
        <v>0</v>
      </c>
      <c r="K215" s="25">
        <f>0+'táj.2.'!K215</f>
        <v>0</v>
      </c>
      <c r="L215" s="25">
        <f>0+'táj.2.'!L215</f>
        <v>0</v>
      </c>
      <c r="M215" s="25">
        <f>0+'táj.2.'!M215</f>
        <v>0</v>
      </c>
      <c r="N215" s="25">
        <f>0+'táj.2.'!N215</f>
        <v>0</v>
      </c>
      <c r="O215" s="25">
        <f>0+'táj.2.'!O215</f>
        <v>0</v>
      </c>
      <c r="P215" s="25">
        <f>0+'táj.2.'!P215</f>
        <v>0</v>
      </c>
      <c r="Q215" s="25">
        <f aca="true" t="shared" si="13" ref="Q215:Q235">SUM(G215:P215)</f>
        <v>29459</v>
      </c>
    </row>
    <row r="216" spans="1:17" ht="13.5" customHeight="1">
      <c r="A216" s="23"/>
      <c r="B216" s="23"/>
      <c r="C216" s="342"/>
      <c r="D216" s="24" t="s">
        <v>310</v>
      </c>
      <c r="E216" s="681">
        <v>1</v>
      </c>
      <c r="F216" s="23">
        <v>151504</v>
      </c>
      <c r="G216" s="25">
        <f>0+'táj.2.'!G216</f>
        <v>0</v>
      </c>
      <c r="H216" s="25">
        <f>0+'táj.2.'!H216</f>
        <v>0</v>
      </c>
      <c r="I216" s="25">
        <f>109239+'táj.2.'!I216</f>
        <v>109239</v>
      </c>
      <c r="J216" s="25">
        <f>0+'táj.2.'!J216</f>
        <v>0</v>
      </c>
      <c r="K216" s="25">
        <f>0+'táj.2.'!K216</f>
        <v>0</v>
      </c>
      <c r="L216" s="25">
        <f>0+'táj.2.'!L216</f>
        <v>0</v>
      </c>
      <c r="M216" s="25">
        <f>0+'táj.2.'!M216</f>
        <v>0</v>
      </c>
      <c r="N216" s="25">
        <f>0+'táj.2.'!N216</f>
        <v>0</v>
      </c>
      <c r="O216" s="25">
        <f>0+'táj.2.'!O216</f>
        <v>0</v>
      </c>
      <c r="P216" s="25">
        <f>0+'táj.2.'!P216</f>
        <v>0</v>
      </c>
      <c r="Q216" s="25">
        <f t="shared" si="13"/>
        <v>109239</v>
      </c>
    </row>
    <row r="217" spans="1:17" ht="13.5" customHeight="1">
      <c r="A217" s="23"/>
      <c r="B217" s="23"/>
      <c r="C217" s="342"/>
      <c r="D217" s="100" t="s">
        <v>418</v>
      </c>
      <c r="E217" s="681">
        <v>1</v>
      </c>
      <c r="F217" s="23">
        <v>151501</v>
      </c>
      <c r="G217" s="25">
        <f>0+'táj.2.'!G217</f>
        <v>0</v>
      </c>
      <c r="H217" s="25">
        <f>0+'táj.2.'!H217</f>
        <v>0</v>
      </c>
      <c r="I217" s="25">
        <f>9000+'táj.2.'!I217</f>
        <v>9000</v>
      </c>
      <c r="J217" s="25">
        <f>0+'táj.2.'!J217</f>
        <v>0</v>
      </c>
      <c r="K217" s="25">
        <f>0+'táj.2.'!K217</f>
        <v>0</v>
      </c>
      <c r="L217" s="25">
        <f>0+'táj.2.'!L217</f>
        <v>0</v>
      </c>
      <c r="M217" s="25">
        <f>0+'táj.2.'!M217</f>
        <v>0</v>
      </c>
      <c r="N217" s="25">
        <f>0+'táj.2.'!N217</f>
        <v>0</v>
      </c>
      <c r="O217" s="25">
        <f>0+'táj.2.'!O217</f>
        <v>0</v>
      </c>
      <c r="P217" s="25">
        <f>0+'táj.2.'!P217</f>
        <v>0</v>
      </c>
      <c r="Q217" s="25">
        <f t="shared" si="13"/>
        <v>9000</v>
      </c>
    </row>
    <row r="218" spans="1:17" ht="13.5" customHeight="1">
      <c r="A218" s="23"/>
      <c r="B218" s="23"/>
      <c r="C218" s="342"/>
      <c r="D218" s="100" t="s">
        <v>693</v>
      </c>
      <c r="E218" s="681">
        <v>1</v>
      </c>
      <c r="F218" s="23">
        <v>151905</v>
      </c>
      <c r="G218" s="25">
        <f>0+'táj.2.'!G218</f>
        <v>0</v>
      </c>
      <c r="H218" s="25">
        <f>0+'táj.2.'!H218</f>
        <v>0</v>
      </c>
      <c r="I218" s="25">
        <f>700+'táj.2.'!I218</f>
        <v>700</v>
      </c>
      <c r="J218" s="25">
        <f>0+'táj.2.'!J218</f>
        <v>0</v>
      </c>
      <c r="K218" s="25">
        <f>0+'táj.2.'!K218</f>
        <v>0</v>
      </c>
      <c r="L218" s="25">
        <f>0+'táj.2.'!L218</f>
        <v>0</v>
      </c>
      <c r="M218" s="25">
        <f>0+'táj.2.'!M218</f>
        <v>0</v>
      </c>
      <c r="N218" s="25">
        <f>0+'táj.2.'!N218</f>
        <v>0</v>
      </c>
      <c r="O218" s="25">
        <f>0+'táj.2.'!O218</f>
        <v>0</v>
      </c>
      <c r="P218" s="25">
        <f>0+'táj.2.'!P218</f>
        <v>0</v>
      </c>
      <c r="Q218" s="25">
        <f t="shared" si="13"/>
        <v>700</v>
      </c>
    </row>
    <row r="219" spans="1:17" ht="13.5" customHeight="1">
      <c r="A219" s="23"/>
      <c r="B219" s="23"/>
      <c r="C219" s="342"/>
      <c r="D219" s="100" t="s">
        <v>311</v>
      </c>
      <c r="E219" s="681">
        <v>2</v>
      </c>
      <c r="F219" s="23">
        <v>151503</v>
      </c>
      <c r="G219" s="25">
        <f>0+'táj.2.'!G219</f>
        <v>0</v>
      </c>
      <c r="H219" s="25">
        <f>0+'táj.2.'!H219</f>
        <v>0</v>
      </c>
      <c r="I219" s="25">
        <f>1800+'táj.2.'!I219</f>
        <v>1800</v>
      </c>
      <c r="J219" s="25">
        <f>0+'táj.2.'!J219</f>
        <v>0</v>
      </c>
      <c r="K219" s="25">
        <f>0+'táj.2.'!K219</f>
        <v>0</v>
      </c>
      <c r="L219" s="25">
        <f>0+'táj.2.'!L219</f>
        <v>0</v>
      </c>
      <c r="M219" s="25">
        <f>0+'táj.2.'!M219</f>
        <v>0</v>
      </c>
      <c r="N219" s="25">
        <f>0+'táj.2.'!N219</f>
        <v>0</v>
      </c>
      <c r="O219" s="25">
        <f>0+'táj.2.'!O219</f>
        <v>0</v>
      </c>
      <c r="P219" s="25">
        <f>0+'táj.2.'!P219</f>
        <v>0</v>
      </c>
      <c r="Q219" s="25">
        <f t="shared" si="13"/>
        <v>1800</v>
      </c>
    </row>
    <row r="220" spans="1:17" ht="13.5" customHeight="1">
      <c r="A220" s="23"/>
      <c r="B220" s="23"/>
      <c r="C220" s="342"/>
      <c r="D220" s="100" t="s">
        <v>312</v>
      </c>
      <c r="E220" s="681">
        <v>2</v>
      </c>
      <c r="F220" s="23">
        <v>151507</v>
      </c>
      <c r="G220" s="25">
        <f>0+'táj.2.'!G220</f>
        <v>0</v>
      </c>
      <c r="H220" s="25">
        <f>0+'táj.2.'!H220</f>
        <v>0</v>
      </c>
      <c r="I220" s="25">
        <f>1000+'táj.2.'!I220</f>
        <v>1000</v>
      </c>
      <c r="J220" s="25">
        <f>0+'táj.2.'!J220</f>
        <v>0</v>
      </c>
      <c r="K220" s="25">
        <f>0+'táj.2.'!K220</f>
        <v>0</v>
      </c>
      <c r="L220" s="25">
        <f>0+'táj.2.'!L220</f>
        <v>0</v>
      </c>
      <c r="M220" s="25">
        <f>0+'táj.2.'!M220</f>
        <v>0</v>
      </c>
      <c r="N220" s="25">
        <f>0+'táj.2.'!N220</f>
        <v>0</v>
      </c>
      <c r="O220" s="25">
        <f>0+'táj.2.'!O220</f>
        <v>0</v>
      </c>
      <c r="P220" s="25">
        <f>0+'táj.2.'!P220</f>
        <v>0</v>
      </c>
      <c r="Q220" s="25">
        <f t="shared" si="13"/>
        <v>1000</v>
      </c>
    </row>
    <row r="221" spans="1:17" ht="13.5" customHeight="1">
      <c r="A221" s="23"/>
      <c r="B221" s="23"/>
      <c r="C221" s="342"/>
      <c r="D221" s="100" t="s">
        <v>20</v>
      </c>
      <c r="E221" s="681">
        <v>2</v>
      </c>
      <c r="F221" s="23">
        <v>151509</v>
      </c>
      <c r="G221" s="25">
        <f>0+'táj.2.'!G221</f>
        <v>0</v>
      </c>
      <c r="H221" s="25">
        <f>0+'táj.2.'!H221</f>
        <v>0</v>
      </c>
      <c r="I221" s="25">
        <f>1000+'táj.2.'!I221</f>
        <v>1000</v>
      </c>
      <c r="J221" s="25">
        <f>0+'táj.2.'!J221</f>
        <v>0</v>
      </c>
      <c r="K221" s="25">
        <f>0+'táj.2.'!K221</f>
        <v>0</v>
      </c>
      <c r="L221" s="25">
        <f>0+'táj.2.'!L221</f>
        <v>0</v>
      </c>
      <c r="M221" s="25">
        <f>0+'táj.2.'!M221</f>
        <v>0</v>
      </c>
      <c r="N221" s="25">
        <f>0+'táj.2.'!N221</f>
        <v>0</v>
      </c>
      <c r="O221" s="25">
        <f>0+'táj.2.'!O221</f>
        <v>0</v>
      </c>
      <c r="P221" s="25">
        <f>0+'táj.2.'!P221</f>
        <v>0</v>
      </c>
      <c r="Q221" s="25">
        <f t="shared" si="13"/>
        <v>1000</v>
      </c>
    </row>
    <row r="222" spans="1:17" ht="13.5" customHeight="1">
      <c r="A222" s="23"/>
      <c r="B222" s="23"/>
      <c r="C222" s="342"/>
      <c r="D222" s="100" t="s">
        <v>983</v>
      </c>
      <c r="E222" s="681">
        <v>1</v>
      </c>
      <c r="F222" s="23">
        <v>151510</v>
      </c>
      <c r="G222" s="25">
        <f>0+'táj.2.'!G222</f>
        <v>0</v>
      </c>
      <c r="H222" s="25">
        <f>0+'táj.2.'!H222</f>
        <v>0</v>
      </c>
      <c r="I222" s="25">
        <f>2500+'táj.2.'!I222</f>
        <v>2500</v>
      </c>
      <c r="J222" s="25">
        <f>0+'táj.2.'!J222</f>
        <v>0</v>
      </c>
      <c r="K222" s="25">
        <f>0+'táj.2.'!K222</f>
        <v>0</v>
      </c>
      <c r="L222" s="25">
        <f>0+'táj.2.'!L222</f>
        <v>0</v>
      </c>
      <c r="M222" s="25">
        <f>0+'táj.2.'!M222</f>
        <v>0</v>
      </c>
      <c r="N222" s="25">
        <f>0+'táj.2.'!N222</f>
        <v>0</v>
      </c>
      <c r="O222" s="25">
        <f>0+'táj.2.'!O222</f>
        <v>0</v>
      </c>
      <c r="P222" s="25">
        <f>0+'táj.2.'!P222</f>
        <v>0</v>
      </c>
      <c r="Q222" s="25">
        <f t="shared" si="13"/>
        <v>2500</v>
      </c>
    </row>
    <row r="223" spans="1:17" ht="13.5" customHeight="1">
      <c r="A223" s="23"/>
      <c r="B223" s="23"/>
      <c r="C223" s="342"/>
      <c r="D223" s="100" t="s">
        <v>313</v>
      </c>
      <c r="E223" s="681">
        <v>1</v>
      </c>
      <c r="F223" s="23">
        <v>151512</v>
      </c>
      <c r="G223" s="25">
        <f>0+'táj.2.'!G223</f>
        <v>0</v>
      </c>
      <c r="H223" s="25">
        <f>0+'táj.2.'!H223</f>
        <v>0</v>
      </c>
      <c r="I223" s="25">
        <f>1000+'táj.2.'!I223</f>
        <v>1000</v>
      </c>
      <c r="J223" s="25">
        <f>0+'táj.2.'!J223</f>
        <v>0</v>
      </c>
      <c r="K223" s="25">
        <f>0+'táj.2.'!K223</f>
        <v>0</v>
      </c>
      <c r="L223" s="25">
        <f>0+'táj.2.'!L223</f>
        <v>0</v>
      </c>
      <c r="M223" s="25">
        <f>0+'táj.2.'!M223</f>
        <v>0</v>
      </c>
      <c r="N223" s="25">
        <f>0+'táj.2.'!N223</f>
        <v>0</v>
      </c>
      <c r="O223" s="25">
        <f>0+'táj.2.'!O223</f>
        <v>0</v>
      </c>
      <c r="P223" s="25">
        <f>0+'táj.2.'!P223</f>
        <v>0</v>
      </c>
      <c r="Q223" s="25">
        <f t="shared" si="13"/>
        <v>1000</v>
      </c>
    </row>
    <row r="224" spans="1:17" ht="13.5" customHeight="1">
      <c r="A224" s="23"/>
      <c r="B224" s="23"/>
      <c r="C224" s="342"/>
      <c r="D224" s="100" t="s">
        <v>314</v>
      </c>
      <c r="E224" s="681">
        <v>1</v>
      </c>
      <c r="F224" s="23">
        <v>151519</v>
      </c>
      <c r="G224" s="25">
        <f>0+'táj.2.'!G224</f>
        <v>0</v>
      </c>
      <c r="H224" s="25">
        <f>0+'táj.2.'!H224</f>
        <v>0</v>
      </c>
      <c r="I224" s="25">
        <f>1500+'táj.2.'!I224</f>
        <v>1500</v>
      </c>
      <c r="J224" s="25">
        <f>0+'táj.2.'!J224</f>
        <v>0</v>
      </c>
      <c r="K224" s="25">
        <f>0+'táj.2.'!K224</f>
        <v>0</v>
      </c>
      <c r="L224" s="25">
        <f>0+'táj.2.'!L224</f>
        <v>0</v>
      </c>
      <c r="M224" s="25">
        <f>0+'táj.2.'!M224</f>
        <v>0</v>
      </c>
      <c r="N224" s="25">
        <f>0+'táj.2.'!N224</f>
        <v>0</v>
      </c>
      <c r="O224" s="25">
        <f>0+'táj.2.'!O224</f>
        <v>0</v>
      </c>
      <c r="P224" s="25">
        <f>0+'táj.2.'!P224</f>
        <v>0</v>
      </c>
      <c r="Q224" s="25">
        <f t="shared" si="13"/>
        <v>1500</v>
      </c>
    </row>
    <row r="225" spans="1:17" ht="13.5" customHeight="1">
      <c r="A225" s="23"/>
      <c r="B225" s="23"/>
      <c r="C225" s="342"/>
      <c r="D225" s="100" t="s">
        <v>315</v>
      </c>
      <c r="E225" s="681">
        <v>2</v>
      </c>
      <c r="F225" s="23">
        <v>151511</v>
      </c>
      <c r="G225" s="25">
        <f>0+'táj.2.'!G225</f>
        <v>0</v>
      </c>
      <c r="H225" s="25">
        <f>0+'táj.2.'!H225</f>
        <v>0</v>
      </c>
      <c r="I225" s="25">
        <f>3500+'táj.2.'!I225</f>
        <v>3500</v>
      </c>
      <c r="J225" s="25">
        <f>0+'táj.2.'!J225</f>
        <v>0</v>
      </c>
      <c r="K225" s="25">
        <f>0+'táj.2.'!K225</f>
        <v>0</v>
      </c>
      <c r="L225" s="25">
        <f>0+'táj.2.'!L225</f>
        <v>0</v>
      </c>
      <c r="M225" s="25">
        <f>0+'táj.2.'!M225</f>
        <v>0</v>
      </c>
      <c r="N225" s="25">
        <f>0+'táj.2.'!N225</f>
        <v>0</v>
      </c>
      <c r="O225" s="25">
        <f>0+'táj.2.'!O225</f>
        <v>0</v>
      </c>
      <c r="P225" s="25">
        <f>0+'táj.2.'!P225</f>
        <v>0</v>
      </c>
      <c r="Q225" s="25">
        <f t="shared" si="13"/>
        <v>3500</v>
      </c>
    </row>
    <row r="226" spans="1:17" ht="13.5" customHeight="1">
      <c r="A226" s="23"/>
      <c r="B226" s="23"/>
      <c r="C226" s="342"/>
      <c r="D226" s="100" t="s">
        <v>21</v>
      </c>
      <c r="E226" s="684">
        <v>2</v>
      </c>
      <c r="F226" s="23">
        <v>151514</v>
      </c>
      <c r="G226" s="25">
        <f>0+'táj.2.'!G226</f>
        <v>0</v>
      </c>
      <c r="H226" s="25">
        <f>0+'táj.2.'!H226</f>
        <v>0</v>
      </c>
      <c r="I226" s="25">
        <f>1300+'táj.2.'!I226</f>
        <v>1300</v>
      </c>
      <c r="J226" s="25">
        <f>0+'táj.2.'!J226</f>
        <v>0</v>
      </c>
      <c r="K226" s="25">
        <f>0+'táj.2.'!K226</f>
        <v>0</v>
      </c>
      <c r="L226" s="25">
        <f>0+'táj.2.'!L226</f>
        <v>0</v>
      </c>
      <c r="M226" s="25">
        <f>0+'táj.2.'!M226</f>
        <v>0</v>
      </c>
      <c r="N226" s="25">
        <f>0+'táj.2.'!N226</f>
        <v>0</v>
      </c>
      <c r="O226" s="25">
        <f>0+'táj.2.'!O226</f>
        <v>0</v>
      </c>
      <c r="P226" s="25">
        <f>0+'táj.2.'!P226</f>
        <v>0</v>
      </c>
      <c r="Q226" s="25">
        <f t="shared" si="13"/>
        <v>1300</v>
      </c>
    </row>
    <row r="227" spans="1:17" ht="13.5" customHeight="1">
      <c r="A227" s="23"/>
      <c r="B227" s="23"/>
      <c r="C227" s="342"/>
      <c r="D227" s="100" t="s">
        <v>22</v>
      </c>
      <c r="E227" s="684">
        <v>2</v>
      </c>
      <c r="F227" s="23">
        <v>151515</v>
      </c>
      <c r="G227" s="25">
        <f>0+'táj.2.'!G227</f>
        <v>0</v>
      </c>
      <c r="H227" s="25">
        <f>0+'táj.2.'!H227</f>
        <v>0</v>
      </c>
      <c r="I227" s="25">
        <f>800+'táj.2.'!I227</f>
        <v>800</v>
      </c>
      <c r="J227" s="25">
        <f>0+'táj.2.'!J227</f>
        <v>0</v>
      </c>
      <c r="K227" s="25">
        <f>0+'táj.2.'!K227</f>
        <v>0</v>
      </c>
      <c r="L227" s="25">
        <f>0+'táj.2.'!L227</f>
        <v>0</v>
      </c>
      <c r="M227" s="25">
        <f>0+'táj.2.'!M227</f>
        <v>0</v>
      </c>
      <c r="N227" s="25">
        <f>0+'táj.2.'!N227</f>
        <v>0</v>
      </c>
      <c r="O227" s="25">
        <f>0+'táj.2.'!O227</f>
        <v>0</v>
      </c>
      <c r="P227" s="25">
        <f>0+'táj.2.'!P227</f>
        <v>0</v>
      </c>
      <c r="Q227" s="25">
        <f t="shared" si="13"/>
        <v>800</v>
      </c>
    </row>
    <row r="228" spans="1:17" ht="13.5" customHeight="1">
      <c r="A228" s="23"/>
      <c r="B228" s="23"/>
      <c r="C228" s="342"/>
      <c r="D228" s="100" t="s">
        <v>316</v>
      </c>
      <c r="E228" s="684">
        <v>1</v>
      </c>
      <c r="F228" s="23">
        <v>151513</v>
      </c>
      <c r="G228" s="25">
        <f>0+'táj.2.'!G228</f>
        <v>0</v>
      </c>
      <c r="H228" s="25">
        <f>0+'táj.2.'!H228</f>
        <v>0</v>
      </c>
      <c r="I228" s="25">
        <f>17592+'táj.2.'!I228</f>
        <v>17592</v>
      </c>
      <c r="J228" s="25">
        <f>0+'táj.2.'!J228</f>
        <v>0</v>
      </c>
      <c r="K228" s="25">
        <f>0+'táj.2.'!K228</f>
        <v>0</v>
      </c>
      <c r="L228" s="25">
        <f>0+'táj.2.'!L228</f>
        <v>0</v>
      </c>
      <c r="M228" s="25">
        <f>0+'táj.2.'!M228</f>
        <v>0</v>
      </c>
      <c r="N228" s="25">
        <f>0+'táj.2.'!N228</f>
        <v>0</v>
      </c>
      <c r="O228" s="25">
        <f>0+'táj.2.'!O228</f>
        <v>0</v>
      </c>
      <c r="P228" s="25">
        <f>0+'táj.2.'!P228</f>
        <v>0</v>
      </c>
      <c r="Q228" s="25">
        <f t="shared" si="13"/>
        <v>17592</v>
      </c>
    </row>
    <row r="229" spans="1:17" ht="13.5" customHeight="1">
      <c r="A229" s="23"/>
      <c r="B229" s="23"/>
      <c r="C229" s="342"/>
      <c r="D229" s="24" t="s">
        <v>408</v>
      </c>
      <c r="E229" s="685"/>
      <c r="F229" s="23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>
        <f t="shared" si="13"/>
        <v>0</v>
      </c>
    </row>
    <row r="230" spans="1:17" ht="13.5" customHeight="1">
      <c r="A230" s="23"/>
      <c r="B230" s="23"/>
      <c r="C230" s="342"/>
      <c r="D230" s="24" t="s">
        <v>653</v>
      </c>
      <c r="E230" s="681">
        <v>1</v>
      </c>
      <c r="F230" s="23">
        <v>151401</v>
      </c>
      <c r="G230" s="25">
        <f>0+'táj.2.'!G230</f>
        <v>0</v>
      </c>
      <c r="H230" s="25">
        <f>0+'táj.2.'!H230</f>
        <v>0</v>
      </c>
      <c r="I230" s="25">
        <f>89125+'táj.2.'!I230</f>
        <v>89125</v>
      </c>
      <c r="J230" s="25">
        <f>0+'táj.2.'!J230</f>
        <v>0</v>
      </c>
      <c r="K230" s="25">
        <f>0+'táj.2.'!K230</f>
        <v>0</v>
      </c>
      <c r="L230" s="25">
        <f>0+'táj.2.'!L230</f>
        <v>0</v>
      </c>
      <c r="M230" s="25">
        <f>0+'táj.2.'!M230</f>
        <v>0</v>
      </c>
      <c r="N230" s="25">
        <f>0+'táj.2.'!N230</f>
        <v>0</v>
      </c>
      <c r="O230" s="25">
        <f>0+'táj.2.'!O230</f>
        <v>0</v>
      </c>
      <c r="P230" s="25">
        <f>0+'táj.2.'!P230</f>
        <v>0</v>
      </c>
      <c r="Q230" s="25">
        <f t="shared" si="13"/>
        <v>89125</v>
      </c>
    </row>
    <row r="231" spans="1:17" ht="13.5" customHeight="1">
      <c r="A231" s="23"/>
      <c r="B231" s="23"/>
      <c r="C231" s="342"/>
      <c r="D231" s="24" t="s">
        <v>23</v>
      </c>
      <c r="E231" s="685">
        <v>1</v>
      </c>
      <c r="F231" s="23">
        <v>151402</v>
      </c>
      <c r="G231" s="25">
        <f>0+'táj.2.'!G231</f>
        <v>0</v>
      </c>
      <c r="H231" s="25">
        <f>0+'táj.2.'!H231</f>
        <v>0</v>
      </c>
      <c r="I231" s="25">
        <f>34591+'táj.2.'!I231</f>
        <v>34591</v>
      </c>
      <c r="J231" s="25">
        <f>0+'táj.2.'!J231</f>
        <v>0</v>
      </c>
      <c r="K231" s="25">
        <f>0+'táj.2.'!K231</f>
        <v>0</v>
      </c>
      <c r="L231" s="25">
        <f>0+'táj.2.'!L231</f>
        <v>0</v>
      </c>
      <c r="M231" s="25">
        <f>0+'táj.2.'!M231</f>
        <v>0</v>
      </c>
      <c r="N231" s="25">
        <f>0+'táj.2.'!N231</f>
        <v>0</v>
      </c>
      <c r="O231" s="25">
        <f>0+'táj.2.'!O231</f>
        <v>0</v>
      </c>
      <c r="P231" s="25">
        <f>0+'táj.2.'!P231</f>
        <v>0</v>
      </c>
      <c r="Q231" s="25">
        <f t="shared" si="13"/>
        <v>34591</v>
      </c>
    </row>
    <row r="232" spans="1:17" ht="13.5" customHeight="1">
      <c r="A232" s="23"/>
      <c r="B232" s="23"/>
      <c r="C232" s="342"/>
      <c r="D232" s="24" t="s">
        <v>24</v>
      </c>
      <c r="E232" s="685">
        <v>2</v>
      </c>
      <c r="F232" s="23">
        <v>151406</v>
      </c>
      <c r="G232" s="25">
        <f>0+'táj.2.'!G232</f>
        <v>0</v>
      </c>
      <c r="H232" s="25">
        <f>0+'táj.2.'!H232</f>
        <v>0</v>
      </c>
      <c r="I232" s="25">
        <f>1000+'táj.2.'!I232</f>
        <v>1000</v>
      </c>
      <c r="J232" s="25">
        <f>0+'táj.2.'!J232</f>
        <v>0</v>
      </c>
      <c r="K232" s="25">
        <f>0+'táj.2.'!K232</f>
        <v>0</v>
      </c>
      <c r="L232" s="25">
        <f>0+'táj.2.'!L232</f>
        <v>0</v>
      </c>
      <c r="M232" s="25">
        <f>0+'táj.2.'!M232</f>
        <v>0</v>
      </c>
      <c r="N232" s="25">
        <f>0+'táj.2.'!N232</f>
        <v>0</v>
      </c>
      <c r="O232" s="25">
        <f>0+'táj.2.'!O232</f>
        <v>0</v>
      </c>
      <c r="P232" s="25">
        <f>0+'táj.2.'!P232</f>
        <v>0</v>
      </c>
      <c r="Q232" s="25">
        <f t="shared" si="13"/>
        <v>1000</v>
      </c>
    </row>
    <row r="233" spans="1:17" ht="13.5" customHeight="1">
      <c r="A233" s="23"/>
      <c r="B233" s="23"/>
      <c r="C233" s="342"/>
      <c r="D233" s="24" t="s">
        <v>25</v>
      </c>
      <c r="E233" s="685">
        <v>2</v>
      </c>
      <c r="F233" s="23">
        <v>151407</v>
      </c>
      <c r="G233" s="25">
        <f>0+'táj.2.'!G233</f>
        <v>0</v>
      </c>
      <c r="H233" s="25">
        <f>0+'táj.2.'!H233</f>
        <v>0</v>
      </c>
      <c r="I233" s="25">
        <f>1000+'táj.2.'!I233</f>
        <v>1000</v>
      </c>
      <c r="J233" s="25">
        <f>0+'táj.2.'!J233</f>
        <v>0</v>
      </c>
      <c r="K233" s="25">
        <f>0+'táj.2.'!K233</f>
        <v>0</v>
      </c>
      <c r="L233" s="25">
        <f>0+'táj.2.'!L233</f>
        <v>0</v>
      </c>
      <c r="M233" s="25">
        <f>0+'táj.2.'!M233</f>
        <v>0</v>
      </c>
      <c r="N233" s="25">
        <f>0+'táj.2.'!N233</f>
        <v>0</v>
      </c>
      <c r="O233" s="25">
        <f>0+'táj.2.'!O233</f>
        <v>0</v>
      </c>
      <c r="P233" s="25">
        <f>0+'táj.2.'!P233</f>
        <v>0</v>
      </c>
      <c r="Q233" s="25">
        <f t="shared" si="13"/>
        <v>1000</v>
      </c>
    </row>
    <row r="234" spans="1:17" ht="13.5" customHeight="1">
      <c r="A234" s="23"/>
      <c r="B234" s="23"/>
      <c r="C234" s="342"/>
      <c r="D234" s="24" t="s">
        <v>317</v>
      </c>
      <c r="E234" s="685">
        <v>1</v>
      </c>
      <c r="F234" s="23">
        <v>151403</v>
      </c>
      <c r="G234" s="25">
        <f>0+'táj.2.'!G234</f>
        <v>0</v>
      </c>
      <c r="H234" s="25">
        <f>0+'táj.2.'!H234</f>
        <v>0</v>
      </c>
      <c r="I234" s="25">
        <f>1800+'táj.2.'!I234</f>
        <v>1800</v>
      </c>
      <c r="J234" s="25">
        <f>0+'táj.2.'!J234</f>
        <v>0</v>
      </c>
      <c r="K234" s="25">
        <f>0+'táj.2.'!K234</f>
        <v>0</v>
      </c>
      <c r="L234" s="25">
        <f>0+'táj.2.'!L234</f>
        <v>0</v>
      </c>
      <c r="M234" s="25">
        <f>0+'táj.2.'!M234</f>
        <v>0</v>
      </c>
      <c r="N234" s="25">
        <f>0+'táj.2.'!N234</f>
        <v>0</v>
      </c>
      <c r="O234" s="25">
        <f>0+'táj.2.'!O234</f>
        <v>0</v>
      </c>
      <c r="P234" s="25">
        <f>0+'táj.2.'!P234</f>
        <v>0</v>
      </c>
      <c r="Q234" s="25">
        <f t="shared" si="13"/>
        <v>1800</v>
      </c>
    </row>
    <row r="235" spans="1:17" ht="13.5" customHeight="1">
      <c r="A235" s="23"/>
      <c r="B235" s="23"/>
      <c r="C235" s="342"/>
      <c r="D235" s="24" t="s">
        <v>318</v>
      </c>
      <c r="E235" s="685">
        <v>2</v>
      </c>
      <c r="F235" s="23">
        <v>151404</v>
      </c>
      <c r="G235" s="25">
        <f>0+'táj.2.'!G235</f>
        <v>0</v>
      </c>
      <c r="H235" s="25">
        <f>0+'táj.2.'!H235</f>
        <v>0</v>
      </c>
      <c r="I235" s="25">
        <f>4500+'táj.2.'!I235</f>
        <v>4500</v>
      </c>
      <c r="J235" s="25">
        <f>0+'táj.2.'!J235</f>
        <v>0</v>
      </c>
      <c r="K235" s="25">
        <f>0+'táj.2.'!K235</f>
        <v>0</v>
      </c>
      <c r="L235" s="25">
        <f>0+'táj.2.'!L235</f>
        <v>0</v>
      </c>
      <c r="M235" s="25">
        <f>0+'táj.2.'!M235</f>
        <v>0</v>
      </c>
      <c r="N235" s="25">
        <f>0+'táj.2.'!N235</f>
        <v>0</v>
      </c>
      <c r="O235" s="25">
        <f>0+'táj.2.'!O235</f>
        <v>0</v>
      </c>
      <c r="P235" s="25">
        <f>0+'táj.2.'!P235</f>
        <v>0</v>
      </c>
      <c r="Q235" s="25">
        <f t="shared" si="13"/>
        <v>4500</v>
      </c>
    </row>
    <row r="236" spans="1:17" ht="13.5" customHeight="1">
      <c r="A236" s="23"/>
      <c r="B236" s="23"/>
      <c r="C236" s="342"/>
      <c r="D236" s="100" t="s">
        <v>984</v>
      </c>
      <c r="E236" s="685"/>
      <c r="F236" s="23"/>
      <c r="G236" s="25"/>
      <c r="H236" s="343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 customHeight="1">
      <c r="A237" s="25"/>
      <c r="B237" s="25"/>
      <c r="C237" s="25"/>
      <c r="D237" s="24" t="s">
        <v>26</v>
      </c>
      <c r="E237" s="681">
        <v>1</v>
      </c>
      <c r="F237" s="23">
        <v>151102</v>
      </c>
      <c r="G237" s="25">
        <f>0+'táj.2.'!G237</f>
        <v>0</v>
      </c>
      <c r="H237" s="25">
        <f>0+'táj.2.'!H237</f>
        <v>0</v>
      </c>
      <c r="I237" s="25">
        <f>2600+'táj.2.'!I237</f>
        <v>2600</v>
      </c>
      <c r="J237" s="25">
        <f>0+'táj.2.'!J237</f>
        <v>0</v>
      </c>
      <c r="K237" s="25">
        <f>0+'táj.2.'!K237</f>
        <v>0</v>
      </c>
      <c r="L237" s="25">
        <f>0+'táj.2.'!L237</f>
        <v>0</v>
      </c>
      <c r="M237" s="25">
        <f>0+'táj.2.'!M237</f>
        <v>0</v>
      </c>
      <c r="N237" s="25">
        <f>0+'táj.2.'!N237</f>
        <v>0</v>
      </c>
      <c r="O237" s="25">
        <f>0+'táj.2.'!O237</f>
        <v>0</v>
      </c>
      <c r="P237" s="25">
        <f>0+'táj.2.'!P237</f>
        <v>0</v>
      </c>
      <c r="Q237" s="25">
        <f>SUM(G237:P237)</f>
        <v>2600</v>
      </c>
    </row>
    <row r="238" spans="1:17" ht="13.5" customHeight="1">
      <c r="A238" s="23"/>
      <c r="B238" s="23"/>
      <c r="C238" s="342"/>
      <c r="D238" s="24" t="s">
        <v>27</v>
      </c>
      <c r="E238" s="681">
        <v>1</v>
      </c>
      <c r="F238" s="23">
        <v>151103</v>
      </c>
      <c r="G238" s="25">
        <f>0+'táj.2.'!G238</f>
        <v>0</v>
      </c>
      <c r="H238" s="25">
        <f>0+'táj.2.'!H238</f>
        <v>0</v>
      </c>
      <c r="I238" s="25">
        <f>4000+'táj.2.'!I238</f>
        <v>4000</v>
      </c>
      <c r="J238" s="25">
        <f>0+'táj.2.'!J238</f>
        <v>0</v>
      </c>
      <c r="K238" s="25">
        <f>0+'táj.2.'!K238</f>
        <v>0</v>
      </c>
      <c r="L238" s="25">
        <f>0+'táj.2.'!L238</f>
        <v>0</v>
      </c>
      <c r="M238" s="25">
        <f>0+'táj.2.'!M238</f>
        <v>0</v>
      </c>
      <c r="N238" s="25">
        <f>0+'táj.2.'!N238</f>
        <v>0</v>
      </c>
      <c r="O238" s="25">
        <f>0+'táj.2.'!O238</f>
        <v>0</v>
      </c>
      <c r="P238" s="25">
        <f>0+'táj.2.'!P238</f>
        <v>0</v>
      </c>
      <c r="Q238" s="25">
        <f>SUM(G238:P238)</f>
        <v>4000</v>
      </c>
    </row>
    <row r="239" spans="1:17" ht="13.5" customHeight="1">
      <c r="A239" s="23"/>
      <c r="B239" s="23"/>
      <c r="C239" s="342"/>
      <c r="D239" s="24" t="s">
        <v>726</v>
      </c>
      <c r="E239" s="685"/>
      <c r="F239" s="23"/>
      <c r="G239" s="25"/>
      <c r="H239" s="343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3.5" customHeight="1">
      <c r="A240" s="23"/>
      <c r="B240" s="23"/>
      <c r="C240" s="342"/>
      <c r="D240" s="100" t="s">
        <v>319</v>
      </c>
      <c r="E240" s="685">
        <v>1</v>
      </c>
      <c r="F240" s="23">
        <v>151301</v>
      </c>
      <c r="G240" s="25">
        <f>0+'táj.2.'!G240</f>
        <v>0</v>
      </c>
      <c r="H240" s="25">
        <f>0+'táj.2.'!H240</f>
        <v>0</v>
      </c>
      <c r="I240" s="25">
        <f>15000+'táj.2.'!I240</f>
        <v>15000</v>
      </c>
      <c r="J240" s="25">
        <f>0+'táj.2.'!J240</f>
        <v>0</v>
      </c>
      <c r="K240" s="25">
        <f>0+'táj.2.'!K240</f>
        <v>0</v>
      </c>
      <c r="L240" s="25">
        <f>0+'táj.2.'!L240</f>
        <v>0</v>
      </c>
      <c r="M240" s="25">
        <f>0+'táj.2.'!M240</f>
        <v>0</v>
      </c>
      <c r="N240" s="25">
        <f>0+'táj.2.'!N240</f>
        <v>0</v>
      </c>
      <c r="O240" s="25">
        <f>0+'táj.2.'!O240</f>
        <v>0</v>
      </c>
      <c r="P240" s="25">
        <f>0+'táj.2.'!P240</f>
        <v>0</v>
      </c>
      <c r="Q240" s="25">
        <f aca="true" t="shared" si="14" ref="Q240:Q264">SUM(G240:P240)</f>
        <v>15000</v>
      </c>
    </row>
    <row r="241" spans="1:17" ht="25.5" customHeight="1">
      <c r="A241" s="23"/>
      <c r="B241" s="23"/>
      <c r="C241" s="342"/>
      <c r="D241" s="160" t="s">
        <v>28</v>
      </c>
      <c r="E241" s="685">
        <v>1</v>
      </c>
      <c r="F241" s="23">
        <v>151305</v>
      </c>
      <c r="G241" s="25">
        <f>0+'táj.2.'!G241</f>
        <v>0</v>
      </c>
      <c r="H241" s="25">
        <f>0+'táj.2.'!H241</f>
        <v>0</v>
      </c>
      <c r="I241" s="25">
        <f>37000+'táj.2.'!I241</f>
        <v>37000</v>
      </c>
      <c r="J241" s="25">
        <f>0+'táj.2.'!J241</f>
        <v>0</v>
      </c>
      <c r="K241" s="25">
        <f>0+'táj.2.'!K241</f>
        <v>0</v>
      </c>
      <c r="L241" s="25">
        <f>0+'táj.2.'!L241</f>
        <v>0</v>
      </c>
      <c r="M241" s="25">
        <f>0+'táj.2.'!M241</f>
        <v>0</v>
      </c>
      <c r="N241" s="25">
        <f>0+'táj.2.'!N241</f>
        <v>0</v>
      </c>
      <c r="O241" s="25">
        <f>0+'táj.2.'!O241</f>
        <v>0</v>
      </c>
      <c r="P241" s="25">
        <f>0+'táj.2.'!P241</f>
        <v>0</v>
      </c>
      <c r="Q241" s="25">
        <f t="shared" si="14"/>
        <v>37000</v>
      </c>
    </row>
    <row r="242" spans="1:17" ht="25.5" customHeight="1">
      <c r="A242" s="23"/>
      <c r="B242" s="23"/>
      <c r="C242" s="342"/>
      <c r="D242" s="160" t="s">
        <v>320</v>
      </c>
      <c r="E242" s="685">
        <v>1</v>
      </c>
      <c r="F242" s="23">
        <v>151306</v>
      </c>
      <c r="G242" s="25">
        <f>0+'táj.2.'!G242</f>
        <v>0</v>
      </c>
      <c r="H242" s="25">
        <f>0+'táj.2.'!H242</f>
        <v>0</v>
      </c>
      <c r="I242" s="25">
        <f>24000+'táj.2.'!I242</f>
        <v>24000</v>
      </c>
      <c r="J242" s="25">
        <f>0+'táj.2.'!J242</f>
        <v>0</v>
      </c>
      <c r="K242" s="25">
        <f>0+'táj.2.'!K242</f>
        <v>0</v>
      </c>
      <c r="L242" s="25">
        <f>0+'táj.2.'!L242</f>
        <v>0</v>
      </c>
      <c r="M242" s="25">
        <f>0+'táj.2.'!M242</f>
        <v>0</v>
      </c>
      <c r="N242" s="25">
        <f>0+'táj.2.'!N242</f>
        <v>0</v>
      </c>
      <c r="O242" s="25">
        <f>0+'táj.2.'!O242</f>
        <v>0</v>
      </c>
      <c r="P242" s="25">
        <f>0+'táj.2.'!P242</f>
        <v>0</v>
      </c>
      <c r="Q242" s="25">
        <f t="shared" si="14"/>
        <v>24000</v>
      </c>
    </row>
    <row r="243" spans="1:17" ht="24" customHeight="1">
      <c r="A243" s="23"/>
      <c r="B243" s="23"/>
      <c r="C243" s="342"/>
      <c r="D243" s="160" t="s">
        <v>321</v>
      </c>
      <c r="E243" s="685">
        <v>1</v>
      </c>
      <c r="F243" s="23">
        <v>151308</v>
      </c>
      <c r="G243" s="25">
        <f>0+'táj.2.'!G243</f>
        <v>0</v>
      </c>
      <c r="H243" s="25">
        <f>0+'táj.2.'!H243</f>
        <v>0</v>
      </c>
      <c r="I243" s="25">
        <f>2000+'táj.2.'!I243</f>
        <v>2000</v>
      </c>
      <c r="J243" s="25">
        <f>0+'táj.2.'!J243</f>
        <v>0</v>
      </c>
      <c r="K243" s="25">
        <f>0+'táj.2.'!K243</f>
        <v>0</v>
      </c>
      <c r="L243" s="25">
        <f>0+'táj.2.'!L243</f>
        <v>0</v>
      </c>
      <c r="M243" s="25">
        <f>0+'táj.2.'!M243</f>
        <v>0</v>
      </c>
      <c r="N243" s="25">
        <f>0+'táj.2.'!N243</f>
        <v>0</v>
      </c>
      <c r="O243" s="25">
        <f>0+'táj.2.'!O243</f>
        <v>0</v>
      </c>
      <c r="P243" s="25">
        <f>0+'táj.2.'!P243</f>
        <v>0</v>
      </c>
      <c r="Q243" s="25">
        <f t="shared" si="14"/>
        <v>2000</v>
      </c>
    </row>
    <row r="244" spans="1:17" ht="24" customHeight="1">
      <c r="A244" s="23"/>
      <c r="B244" s="23"/>
      <c r="C244" s="342"/>
      <c r="D244" s="160" t="s">
        <v>322</v>
      </c>
      <c r="E244" s="686">
        <v>1</v>
      </c>
      <c r="F244" s="594">
        <v>151311</v>
      </c>
      <c r="G244" s="25">
        <f>0+'táj.2.'!G244</f>
        <v>0</v>
      </c>
      <c r="H244" s="25">
        <f>0+'táj.2.'!H244</f>
        <v>0</v>
      </c>
      <c r="I244" s="25">
        <f>1800+'táj.2.'!I244</f>
        <v>1800</v>
      </c>
      <c r="J244" s="25">
        <f>0+'táj.2.'!J244</f>
        <v>0</v>
      </c>
      <c r="K244" s="25">
        <f>0+'táj.2.'!K244</f>
        <v>0</v>
      </c>
      <c r="L244" s="25">
        <f>0+'táj.2.'!L244</f>
        <v>0</v>
      </c>
      <c r="M244" s="25">
        <f>0+'táj.2.'!M244</f>
        <v>0</v>
      </c>
      <c r="N244" s="25">
        <f>0+'táj.2.'!N244</f>
        <v>0</v>
      </c>
      <c r="O244" s="25">
        <f>0+'táj.2.'!O244</f>
        <v>0</v>
      </c>
      <c r="P244" s="25">
        <f>0+'táj.2.'!P244</f>
        <v>0</v>
      </c>
      <c r="Q244" s="25">
        <f t="shared" si="14"/>
        <v>1800</v>
      </c>
    </row>
    <row r="245" spans="1:17" ht="12" customHeight="1">
      <c r="A245" s="23"/>
      <c r="B245" s="23"/>
      <c r="C245" s="342"/>
      <c r="D245" s="24" t="s">
        <v>323</v>
      </c>
      <c r="E245" s="685">
        <v>1</v>
      </c>
      <c r="F245" s="23">
        <v>151312</v>
      </c>
      <c r="G245" s="25">
        <f>0+'táj.2.'!G245</f>
        <v>0</v>
      </c>
      <c r="H245" s="25">
        <f>0+'táj.2.'!H245</f>
        <v>0</v>
      </c>
      <c r="I245" s="25">
        <f>1800+'táj.2.'!I245</f>
        <v>1800</v>
      </c>
      <c r="J245" s="25">
        <f>0+'táj.2.'!J245</f>
        <v>0</v>
      </c>
      <c r="K245" s="25">
        <f>0+'táj.2.'!K245</f>
        <v>0</v>
      </c>
      <c r="L245" s="25">
        <f>0+'táj.2.'!L245</f>
        <v>0</v>
      </c>
      <c r="M245" s="25">
        <f>0+'táj.2.'!M245</f>
        <v>0</v>
      </c>
      <c r="N245" s="25">
        <f>0+'táj.2.'!N245</f>
        <v>0</v>
      </c>
      <c r="O245" s="25">
        <f>0+'táj.2.'!O245</f>
        <v>0</v>
      </c>
      <c r="P245" s="25">
        <f>0+'táj.2.'!P245</f>
        <v>0</v>
      </c>
      <c r="Q245" s="25">
        <f t="shared" si="14"/>
        <v>1800</v>
      </c>
    </row>
    <row r="246" spans="1:17" ht="12" customHeight="1">
      <c r="A246" s="23"/>
      <c r="B246" s="23"/>
      <c r="C246" s="342"/>
      <c r="D246" s="24" t="s">
        <v>29</v>
      </c>
      <c r="E246" s="685">
        <v>1</v>
      </c>
      <c r="F246" s="23">
        <v>151302</v>
      </c>
      <c r="G246" s="25">
        <f>0+'táj.2.'!G246</f>
        <v>0</v>
      </c>
      <c r="H246" s="25">
        <f>0+'táj.2.'!H246</f>
        <v>0</v>
      </c>
      <c r="I246" s="25">
        <f>900+'táj.2.'!I246</f>
        <v>900</v>
      </c>
      <c r="J246" s="25">
        <f>0+'táj.2.'!J246</f>
        <v>0</v>
      </c>
      <c r="K246" s="25">
        <f>0+'táj.2.'!K246</f>
        <v>0</v>
      </c>
      <c r="L246" s="25">
        <f>0+'táj.2.'!L246</f>
        <v>0</v>
      </c>
      <c r="M246" s="25">
        <f>0+'táj.2.'!M246</f>
        <v>0</v>
      </c>
      <c r="N246" s="25">
        <f>0+'táj.2.'!N246</f>
        <v>0</v>
      </c>
      <c r="O246" s="25">
        <f>0+'táj.2.'!O246</f>
        <v>0</v>
      </c>
      <c r="P246" s="25">
        <f>0+'táj.2.'!P246</f>
        <v>0</v>
      </c>
      <c r="Q246" s="25">
        <f t="shared" si="14"/>
        <v>900</v>
      </c>
    </row>
    <row r="247" spans="1:17" ht="25.5" customHeight="1">
      <c r="A247" s="23"/>
      <c r="B247" s="23"/>
      <c r="C247" s="342"/>
      <c r="D247" s="161" t="s">
        <v>324</v>
      </c>
      <c r="E247" s="685">
        <v>1</v>
      </c>
      <c r="F247" s="23">
        <v>151303</v>
      </c>
      <c r="G247" s="25">
        <f>0+'táj.2.'!G247</f>
        <v>0</v>
      </c>
      <c r="H247" s="25">
        <f>0+'táj.2.'!H247</f>
        <v>0</v>
      </c>
      <c r="I247" s="25">
        <f>2500+'táj.2.'!I247</f>
        <v>2500</v>
      </c>
      <c r="J247" s="25">
        <f>0+'táj.2.'!J247</f>
        <v>0</v>
      </c>
      <c r="K247" s="25">
        <f>0+'táj.2.'!K247</f>
        <v>0</v>
      </c>
      <c r="L247" s="25">
        <f>0+'táj.2.'!L247</f>
        <v>0</v>
      </c>
      <c r="M247" s="25">
        <f>0+'táj.2.'!M247</f>
        <v>0</v>
      </c>
      <c r="N247" s="25">
        <f>0+'táj.2.'!N247</f>
        <v>0</v>
      </c>
      <c r="O247" s="25">
        <f>0+'táj.2.'!O247</f>
        <v>0</v>
      </c>
      <c r="P247" s="25">
        <f>0+'táj.2.'!P247</f>
        <v>0</v>
      </c>
      <c r="Q247" s="25">
        <f t="shared" si="14"/>
        <v>2500</v>
      </c>
    </row>
    <row r="248" spans="1:17" ht="24" customHeight="1">
      <c r="A248" s="23"/>
      <c r="B248" s="23"/>
      <c r="C248" s="342"/>
      <c r="D248" s="160" t="s">
        <v>30</v>
      </c>
      <c r="E248" s="686">
        <v>2</v>
      </c>
      <c r="F248" s="594">
        <v>151315</v>
      </c>
      <c r="G248" s="25">
        <f>0+'táj.2.'!G248</f>
        <v>0</v>
      </c>
      <c r="H248" s="25">
        <f>0+'táj.2.'!H248</f>
        <v>0</v>
      </c>
      <c r="I248" s="25">
        <f>900+'táj.2.'!I248</f>
        <v>900</v>
      </c>
      <c r="J248" s="25">
        <f>0+'táj.2.'!J248</f>
        <v>0</v>
      </c>
      <c r="K248" s="25">
        <f>0+'táj.2.'!K248</f>
        <v>0</v>
      </c>
      <c r="L248" s="25">
        <f>0+'táj.2.'!L248</f>
        <v>0</v>
      </c>
      <c r="M248" s="25">
        <f>0+'táj.2.'!M248</f>
        <v>0</v>
      </c>
      <c r="N248" s="25">
        <f>0+'táj.2.'!N248</f>
        <v>0</v>
      </c>
      <c r="O248" s="25">
        <f>0+'táj.2.'!O248</f>
        <v>0</v>
      </c>
      <c r="P248" s="25">
        <f>0+'táj.2.'!P248</f>
        <v>0</v>
      </c>
      <c r="Q248" s="25">
        <f t="shared" si="14"/>
        <v>900</v>
      </c>
    </row>
    <row r="249" spans="1:17" ht="24.75" customHeight="1">
      <c r="A249" s="23"/>
      <c r="B249" s="23"/>
      <c r="C249" s="342"/>
      <c r="D249" s="160" t="s">
        <v>40</v>
      </c>
      <c r="E249" s="686"/>
      <c r="F249" s="594"/>
      <c r="G249" s="25"/>
      <c r="H249" s="343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3.5" customHeight="1">
      <c r="A250" s="23"/>
      <c r="B250" s="23"/>
      <c r="C250" s="342"/>
      <c r="D250" s="24" t="s">
        <v>325</v>
      </c>
      <c r="E250" s="681">
        <v>1</v>
      </c>
      <c r="F250" s="23">
        <v>151703</v>
      </c>
      <c r="G250" s="25">
        <f>0+'táj.2.'!G250</f>
        <v>0</v>
      </c>
      <c r="H250" s="25">
        <f>0+'táj.2.'!H250</f>
        <v>0</v>
      </c>
      <c r="I250" s="25">
        <f>1000+'táj.2.'!I250</f>
        <v>1000</v>
      </c>
      <c r="J250" s="25">
        <f>0+'táj.2.'!J250</f>
        <v>0</v>
      </c>
      <c r="K250" s="25">
        <f>0+'táj.2.'!K250</f>
        <v>0</v>
      </c>
      <c r="L250" s="25">
        <f>0+'táj.2.'!L250</f>
        <v>0</v>
      </c>
      <c r="M250" s="25">
        <f>0+'táj.2.'!M250</f>
        <v>0</v>
      </c>
      <c r="N250" s="25">
        <f>0+'táj.2.'!N250</f>
        <v>0</v>
      </c>
      <c r="O250" s="25">
        <f>0+'táj.2.'!O250</f>
        <v>0</v>
      </c>
      <c r="P250" s="25">
        <f>0+'táj.2.'!P250</f>
        <v>0</v>
      </c>
      <c r="Q250" s="25">
        <f t="shared" si="14"/>
        <v>1000</v>
      </c>
    </row>
    <row r="251" spans="1:17" ht="13.5" customHeight="1">
      <c r="A251" s="23"/>
      <c r="B251" s="23"/>
      <c r="C251" s="342"/>
      <c r="D251" s="100" t="s">
        <v>409</v>
      </c>
      <c r="E251" s="685"/>
      <c r="F251" s="23"/>
      <c r="G251" s="25"/>
      <c r="H251" s="343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 customHeight="1">
      <c r="A252" s="23"/>
      <c r="B252" s="23"/>
      <c r="C252" s="342"/>
      <c r="D252" s="24" t="s">
        <v>326</v>
      </c>
      <c r="E252" s="681">
        <v>1</v>
      </c>
      <c r="F252" s="23">
        <v>151601</v>
      </c>
      <c r="G252" s="25">
        <f>0+'táj.2.'!G252</f>
        <v>0</v>
      </c>
      <c r="H252" s="25">
        <f>0+'táj.2.'!H252</f>
        <v>0</v>
      </c>
      <c r="I252" s="25">
        <f>11695+'táj.2.'!I252</f>
        <v>11695</v>
      </c>
      <c r="J252" s="25">
        <f>0+'táj.2.'!J252</f>
        <v>0</v>
      </c>
      <c r="K252" s="25">
        <f>0+'táj.2.'!K252</f>
        <v>0</v>
      </c>
      <c r="L252" s="25">
        <f>305+'táj.2.'!L252</f>
        <v>305</v>
      </c>
      <c r="M252" s="25">
        <f>0+'táj.2.'!M252</f>
        <v>0</v>
      </c>
      <c r="N252" s="25">
        <f>0+'táj.2.'!N252</f>
        <v>0</v>
      </c>
      <c r="O252" s="25">
        <f>0+'táj.2.'!O252</f>
        <v>0</v>
      </c>
      <c r="P252" s="25">
        <f>0+'táj.2.'!P252</f>
        <v>0</v>
      </c>
      <c r="Q252" s="25">
        <f t="shared" si="14"/>
        <v>12000</v>
      </c>
    </row>
    <row r="253" spans="1:17" ht="13.5" customHeight="1">
      <c r="A253" s="23"/>
      <c r="B253" s="23"/>
      <c r="C253" s="342"/>
      <c r="D253" s="16" t="s">
        <v>327</v>
      </c>
      <c r="E253" s="670">
        <v>1</v>
      </c>
      <c r="F253" s="13">
        <v>151602</v>
      </c>
      <c r="G253" s="25">
        <f>0+'táj.2.'!G253</f>
        <v>0</v>
      </c>
      <c r="H253" s="25">
        <f>0+'táj.2.'!H253</f>
        <v>0</v>
      </c>
      <c r="I253" s="25">
        <f>0+'táj.2.'!I253</f>
        <v>0</v>
      </c>
      <c r="J253" s="25">
        <f>0+'táj.2.'!J253</f>
        <v>0</v>
      </c>
      <c r="K253" s="25">
        <f>18000+'táj.2.'!K253</f>
        <v>18000</v>
      </c>
      <c r="L253" s="25">
        <f>0+'táj.2.'!L253</f>
        <v>0</v>
      </c>
      <c r="M253" s="25">
        <f>0+'táj.2.'!M253</f>
        <v>0</v>
      </c>
      <c r="N253" s="25">
        <f>0+'táj.2.'!N253</f>
        <v>0</v>
      </c>
      <c r="O253" s="25">
        <f>0+'táj.2.'!O253</f>
        <v>0</v>
      </c>
      <c r="P253" s="25">
        <f>0+'táj.2.'!P253</f>
        <v>0</v>
      </c>
      <c r="Q253" s="25">
        <f t="shared" si="14"/>
        <v>18000</v>
      </c>
    </row>
    <row r="254" spans="1:17" ht="13.5" customHeight="1">
      <c r="A254" s="23"/>
      <c r="B254" s="23"/>
      <c r="C254" s="342"/>
      <c r="D254" s="24" t="s">
        <v>985</v>
      </c>
      <c r="E254" s="681">
        <v>1</v>
      </c>
      <c r="F254" s="23">
        <v>151607</v>
      </c>
      <c r="G254" s="25">
        <f>0+'táj.2.'!G254</f>
        <v>0</v>
      </c>
      <c r="H254" s="25">
        <f>0+'táj.2.'!H254</f>
        <v>0</v>
      </c>
      <c r="I254" s="25">
        <f>20392+'táj.2.'!I254</f>
        <v>20392</v>
      </c>
      <c r="J254" s="25">
        <f>0+'táj.2.'!J254</f>
        <v>0</v>
      </c>
      <c r="K254" s="25">
        <f>0+'táj.2.'!K254</f>
        <v>0</v>
      </c>
      <c r="L254" s="25">
        <f>0+'táj.2.'!L254</f>
        <v>0</v>
      </c>
      <c r="M254" s="25">
        <f>0+'táj.2.'!M254</f>
        <v>0</v>
      </c>
      <c r="N254" s="25">
        <f>0+'táj.2.'!N254</f>
        <v>0</v>
      </c>
      <c r="O254" s="25">
        <f>0+'táj.2.'!O254</f>
        <v>0</v>
      </c>
      <c r="P254" s="25">
        <f>0+'táj.2.'!P254</f>
        <v>0</v>
      </c>
      <c r="Q254" s="25">
        <f t="shared" si="14"/>
        <v>20392</v>
      </c>
    </row>
    <row r="255" spans="1:17" ht="13.5" customHeight="1">
      <c r="A255" s="23"/>
      <c r="B255" s="23"/>
      <c r="C255" s="342"/>
      <c r="D255" s="24" t="s">
        <v>31</v>
      </c>
      <c r="E255" s="681">
        <v>2</v>
      </c>
      <c r="F255" s="23">
        <v>151610</v>
      </c>
      <c r="G255" s="25">
        <f>0+'táj.2.'!G255</f>
        <v>0</v>
      </c>
      <c r="H255" s="25">
        <f>0+'táj.2.'!H255</f>
        <v>0</v>
      </c>
      <c r="I255" s="25">
        <f>1800+'táj.2.'!I255</f>
        <v>1800</v>
      </c>
      <c r="J255" s="25">
        <f>0+'táj.2.'!J255</f>
        <v>0</v>
      </c>
      <c r="K255" s="25">
        <f>0+'táj.2.'!K255</f>
        <v>0</v>
      </c>
      <c r="L255" s="25">
        <f>0+'táj.2.'!L255</f>
        <v>0</v>
      </c>
      <c r="M255" s="25">
        <f>0+'táj.2.'!M255</f>
        <v>0</v>
      </c>
      <c r="N255" s="25">
        <f>0+'táj.2.'!N255</f>
        <v>0</v>
      </c>
      <c r="O255" s="25">
        <f>0+'táj.2.'!O255</f>
        <v>0</v>
      </c>
      <c r="P255" s="25">
        <f>0+'táj.2.'!P255</f>
        <v>0</v>
      </c>
      <c r="Q255" s="25">
        <f t="shared" si="14"/>
        <v>1800</v>
      </c>
    </row>
    <row r="256" spans="1:17" ht="13.5" customHeight="1">
      <c r="A256" s="23" t="s">
        <v>122</v>
      </c>
      <c r="B256" s="23"/>
      <c r="C256" s="342"/>
      <c r="D256" s="24" t="s">
        <v>32</v>
      </c>
      <c r="E256" s="685">
        <v>2</v>
      </c>
      <c r="F256" s="23">
        <v>151619</v>
      </c>
      <c r="G256" s="25">
        <f>0+'táj.2.'!G256</f>
        <v>0</v>
      </c>
      <c r="H256" s="25">
        <f>0+'táj.2.'!H256</f>
        <v>0</v>
      </c>
      <c r="I256" s="25">
        <f>15000+'táj.2.'!I256</f>
        <v>15000</v>
      </c>
      <c r="J256" s="25">
        <f>0+'táj.2.'!J256</f>
        <v>0</v>
      </c>
      <c r="K256" s="25">
        <f>0+'táj.2.'!K256</f>
        <v>0</v>
      </c>
      <c r="L256" s="25">
        <f>0+'táj.2.'!L256</f>
        <v>0</v>
      </c>
      <c r="M256" s="25">
        <f>0+'táj.2.'!M256</f>
        <v>0</v>
      </c>
      <c r="N256" s="25">
        <f>0+'táj.2.'!N256</f>
        <v>0</v>
      </c>
      <c r="O256" s="25">
        <f>0+'táj.2.'!O256</f>
        <v>0</v>
      </c>
      <c r="P256" s="25">
        <f>0+'táj.2.'!P256</f>
        <v>0</v>
      </c>
      <c r="Q256" s="25">
        <f t="shared" si="14"/>
        <v>15000</v>
      </c>
    </row>
    <row r="257" spans="1:17" ht="13.5" customHeight="1">
      <c r="A257" s="23"/>
      <c r="B257" s="23"/>
      <c r="C257" s="342"/>
      <c r="D257" s="100" t="s">
        <v>328</v>
      </c>
      <c r="E257" s="684">
        <v>2</v>
      </c>
      <c r="F257" s="23">
        <v>151626</v>
      </c>
      <c r="G257" s="25">
        <f>0+'táj.2.'!G257</f>
        <v>0</v>
      </c>
      <c r="H257" s="25">
        <f>0+'táj.2.'!H257</f>
        <v>0</v>
      </c>
      <c r="I257" s="25">
        <f>800+'táj.2.'!I257</f>
        <v>800</v>
      </c>
      <c r="J257" s="25">
        <f>0+'táj.2.'!J257</f>
        <v>0</v>
      </c>
      <c r="K257" s="25">
        <f>0+'táj.2.'!K257</f>
        <v>0</v>
      </c>
      <c r="L257" s="25">
        <f>0+'táj.2.'!L257</f>
        <v>0</v>
      </c>
      <c r="M257" s="25">
        <f>0+'táj.2.'!M257</f>
        <v>0</v>
      </c>
      <c r="N257" s="25">
        <f>0+'táj.2.'!N257</f>
        <v>0</v>
      </c>
      <c r="O257" s="25">
        <f>0+'táj.2.'!O257</f>
        <v>0</v>
      </c>
      <c r="P257" s="25">
        <f>0+'táj.2.'!P257</f>
        <v>0</v>
      </c>
      <c r="Q257" s="25">
        <f t="shared" si="14"/>
        <v>800</v>
      </c>
    </row>
    <row r="258" spans="1:17" ht="24.75" customHeight="1">
      <c r="A258" s="23"/>
      <c r="B258" s="23"/>
      <c r="C258" s="342"/>
      <c r="D258" s="161" t="s">
        <v>33</v>
      </c>
      <c r="E258" s="687">
        <v>2</v>
      </c>
      <c r="F258" s="594">
        <v>151627</v>
      </c>
      <c r="G258" s="25">
        <f>0+'táj.2.'!G258</f>
        <v>0</v>
      </c>
      <c r="H258" s="25">
        <f>0+'táj.2.'!H258</f>
        <v>0</v>
      </c>
      <c r="I258" s="25">
        <f>1500+'táj.2.'!I258</f>
        <v>1500</v>
      </c>
      <c r="J258" s="25">
        <f>0+'táj.2.'!J258</f>
        <v>0</v>
      </c>
      <c r="K258" s="25">
        <f>0+'táj.2.'!K258</f>
        <v>0</v>
      </c>
      <c r="L258" s="25">
        <f>0+'táj.2.'!L258</f>
        <v>0</v>
      </c>
      <c r="M258" s="25">
        <f>0+'táj.2.'!M258</f>
        <v>0</v>
      </c>
      <c r="N258" s="25">
        <f>0+'táj.2.'!N258</f>
        <v>0</v>
      </c>
      <c r="O258" s="25">
        <f>0+'táj.2.'!O258</f>
        <v>0</v>
      </c>
      <c r="P258" s="25">
        <f>0+'táj.2.'!P258</f>
        <v>0</v>
      </c>
      <c r="Q258" s="25">
        <f t="shared" si="14"/>
        <v>1500</v>
      </c>
    </row>
    <row r="259" spans="1:17" ht="13.5" customHeight="1">
      <c r="A259" s="23"/>
      <c r="B259" s="23"/>
      <c r="C259" s="342"/>
      <c r="D259" s="24" t="s">
        <v>329</v>
      </c>
      <c r="E259" s="681">
        <v>1</v>
      </c>
      <c r="F259" s="23">
        <v>151603</v>
      </c>
      <c r="G259" s="25">
        <f>0+'táj.2.'!G259</f>
        <v>0</v>
      </c>
      <c r="H259" s="25">
        <f>0+'táj.2.'!H259</f>
        <v>0</v>
      </c>
      <c r="I259" s="25">
        <f>52482+'táj.2.'!I259</f>
        <v>52482</v>
      </c>
      <c r="J259" s="25">
        <f>0+'táj.2.'!J259</f>
        <v>0</v>
      </c>
      <c r="K259" s="25">
        <f>0+'táj.2.'!K259</f>
        <v>0</v>
      </c>
      <c r="L259" s="25">
        <f>0+'táj.2.'!L259</f>
        <v>0</v>
      </c>
      <c r="M259" s="25">
        <f>0+'táj.2.'!M259</f>
        <v>0</v>
      </c>
      <c r="N259" s="25">
        <f>0+'táj.2.'!N259</f>
        <v>0</v>
      </c>
      <c r="O259" s="25">
        <f>0+'táj.2.'!O259</f>
        <v>0</v>
      </c>
      <c r="P259" s="25">
        <f>0+'táj.2.'!P259</f>
        <v>0</v>
      </c>
      <c r="Q259" s="25">
        <f t="shared" si="14"/>
        <v>52482</v>
      </c>
    </row>
    <row r="260" spans="1:17" ht="13.5" customHeight="1">
      <c r="A260" s="23"/>
      <c r="B260" s="23"/>
      <c r="C260" s="342"/>
      <c r="D260" s="24" t="s">
        <v>330</v>
      </c>
      <c r="E260" s="681">
        <v>1</v>
      </c>
      <c r="F260" s="23">
        <v>151605</v>
      </c>
      <c r="G260" s="25">
        <f>0+'táj.2.'!G260</f>
        <v>0</v>
      </c>
      <c r="H260" s="25">
        <f>0+'táj.2.'!H260</f>
        <v>0</v>
      </c>
      <c r="I260" s="25">
        <f>97246+'táj.2.'!I260</f>
        <v>97246</v>
      </c>
      <c r="J260" s="25">
        <f>0+'táj.2.'!J260</f>
        <v>0</v>
      </c>
      <c r="K260" s="25">
        <f>0+'táj.2.'!K260</f>
        <v>0</v>
      </c>
      <c r="L260" s="25">
        <f>0+'táj.2.'!L260</f>
        <v>0</v>
      </c>
      <c r="M260" s="25">
        <f>0+'táj.2.'!M260</f>
        <v>0</v>
      </c>
      <c r="N260" s="25">
        <f>0+'táj.2.'!N260</f>
        <v>0</v>
      </c>
      <c r="O260" s="25">
        <f>0+'táj.2.'!O260</f>
        <v>0</v>
      </c>
      <c r="P260" s="25">
        <f>0+'táj.2.'!P260</f>
        <v>0</v>
      </c>
      <c r="Q260" s="25">
        <f t="shared" si="14"/>
        <v>97246</v>
      </c>
    </row>
    <row r="261" spans="1:17" ht="13.5" customHeight="1">
      <c r="A261" s="23"/>
      <c r="B261" s="23"/>
      <c r="C261" s="342"/>
      <c r="D261" s="24" t="s">
        <v>331</v>
      </c>
      <c r="E261" s="681">
        <v>1</v>
      </c>
      <c r="F261" s="23">
        <v>151608</v>
      </c>
      <c r="G261" s="25">
        <f>0+'táj.2.'!G261</f>
        <v>0</v>
      </c>
      <c r="H261" s="25">
        <f>0+'táj.2.'!H261</f>
        <v>0</v>
      </c>
      <c r="I261" s="25">
        <f>40000+'táj.2.'!I261</f>
        <v>40000</v>
      </c>
      <c r="J261" s="25">
        <f>0+'táj.2.'!J261</f>
        <v>0</v>
      </c>
      <c r="K261" s="25">
        <f>0+'táj.2.'!K261</f>
        <v>0</v>
      </c>
      <c r="L261" s="25">
        <f>0+'táj.2.'!L261</f>
        <v>0</v>
      </c>
      <c r="M261" s="25">
        <f>0+'táj.2.'!M261</f>
        <v>0</v>
      </c>
      <c r="N261" s="25">
        <f>0+'táj.2.'!N261</f>
        <v>0</v>
      </c>
      <c r="O261" s="25">
        <f>0+'táj.2.'!O261</f>
        <v>0</v>
      </c>
      <c r="P261" s="25">
        <f>0+'táj.2.'!P261</f>
        <v>0</v>
      </c>
      <c r="Q261" s="25">
        <f t="shared" si="14"/>
        <v>40000</v>
      </c>
    </row>
    <row r="262" spans="1:17" ht="13.5" customHeight="1">
      <c r="A262" s="23"/>
      <c r="B262" s="23"/>
      <c r="C262" s="342"/>
      <c r="D262" s="24" t="s">
        <v>34</v>
      </c>
      <c r="E262" s="681">
        <v>2</v>
      </c>
      <c r="F262" s="23">
        <v>151624</v>
      </c>
      <c r="G262" s="25">
        <f>0+'táj.2.'!G262</f>
        <v>0</v>
      </c>
      <c r="H262" s="25">
        <f>0+'táj.2.'!H262</f>
        <v>0</v>
      </c>
      <c r="I262" s="25">
        <f>1800+'táj.2.'!I262</f>
        <v>1800</v>
      </c>
      <c r="J262" s="25">
        <f>0+'táj.2.'!J262</f>
        <v>0</v>
      </c>
      <c r="K262" s="25">
        <f>0+'táj.2.'!K262</f>
        <v>0</v>
      </c>
      <c r="L262" s="25">
        <f>0+'táj.2.'!L262</f>
        <v>0</v>
      </c>
      <c r="M262" s="25">
        <f>0+'táj.2.'!M262</f>
        <v>0</v>
      </c>
      <c r="N262" s="25">
        <f>0+'táj.2.'!N262</f>
        <v>0</v>
      </c>
      <c r="O262" s="25">
        <f>0+'táj.2.'!O262</f>
        <v>0</v>
      </c>
      <c r="P262" s="25">
        <f>0+'táj.2.'!P262</f>
        <v>0</v>
      </c>
      <c r="Q262" s="25">
        <f t="shared" si="14"/>
        <v>1800</v>
      </c>
    </row>
    <row r="263" spans="1:17" ht="13.5" customHeight="1">
      <c r="A263" s="23"/>
      <c r="B263" s="23"/>
      <c r="C263" s="342"/>
      <c r="D263" s="24" t="s">
        <v>332</v>
      </c>
      <c r="E263" s="681">
        <v>2</v>
      </c>
      <c r="F263" s="23">
        <v>151621</v>
      </c>
      <c r="G263" s="25">
        <f>0+'táj.2.'!G263</f>
        <v>0</v>
      </c>
      <c r="H263" s="25">
        <f>0+'táj.2.'!H263</f>
        <v>0</v>
      </c>
      <c r="I263" s="25">
        <f>1000+'táj.2.'!I263</f>
        <v>1000</v>
      </c>
      <c r="J263" s="25">
        <f>0+'táj.2.'!J263</f>
        <v>0</v>
      </c>
      <c r="K263" s="25">
        <f>0+'táj.2.'!K263</f>
        <v>0</v>
      </c>
      <c r="L263" s="25">
        <f>0+'táj.2.'!L263</f>
        <v>0</v>
      </c>
      <c r="M263" s="25">
        <f>0+'táj.2.'!M263</f>
        <v>0</v>
      </c>
      <c r="N263" s="25">
        <f>0+'táj.2.'!N263</f>
        <v>0</v>
      </c>
      <c r="O263" s="25">
        <f>0+'táj.2.'!O263</f>
        <v>0</v>
      </c>
      <c r="P263" s="25">
        <f>0+'táj.2.'!P263</f>
        <v>0</v>
      </c>
      <c r="Q263" s="25">
        <f t="shared" si="14"/>
        <v>1000</v>
      </c>
    </row>
    <row r="264" spans="1:17" ht="21.75" customHeight="1">
      <c r="A264" s="23"/>
      <c r="B264" s="23"/>
      <c r="C264" s="342"/>
      <c r="D264" s="160" t="s">
        <v>578</v>
      </c>
      <c r="E264" s="681">
        <v>2</v>
      </c>
      <c r="F264" s="23"/>
      <c r="G264" s="25">
        <f>0+'táj.2.'!G264</f>
        <v>0</v>
      </c>
      <c r="H264" s="25">
        <f>0+'táj.2.'!H264</f>
        <v>0</v>
      </c>
      <c r="I264" s="25">
        <f>0+'táj.2.'!I264</f>
        <v>300</v>
      </c>
      <c r="J264" s="25">
        <f>0+'táj.2.'!J264</f>
        <v>0</v>
      </c>
      <c r="K264" s="25">
        <f>0+'táj.2.'!K264</f>
        <v>0</v>
      </c>
      <c r="L264" s="25">
        <f>0+'táj.2.'!L264</f>
        <v>0</v>
      </c>
      <c r="M264" s="25">
        <f>0+'táj.2.'!M264</f>
        <v>0</v>
      </c>
      <c r="N264" s="25">
        <f>0+'táj.2.'!N264</f>
        <v>0</v>
      </c>
      <c r="O264" s="25">
        <f>0+'táj.2.'!O264</f>
        <v>0</v>
      </c>
      <c r="P264" s="25">
        <f>0+'táj.2.'!P264</f>
        <v>0</v>
      </c>
      <c r="Q264" s="25">
        <f t="shared" si="14"/>
        <v>300</v>
      </c>
    </row>
    <row r="265" spans="1:17" ht="12.75" customHeight="1">
      <c r="A265" s="23"/>
      <c r="B265" s="23"/>
      <c r="C265" s="342"/>
      <c r="D265" s="344" t="s">
        <v>333</v>
      </c>
      <c r="E265" s="681"/>
      <c r="F265" s="23"/>
      <c r="G265" s="25"/>
      <c r="H265" s="343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2.75" customHeight="1">
      <c r="A266" s="23"/>
      <c r="B266" s="23"/>
      <c r="C266" s="342"/>
      <c r="D266" s="24" t="s">
        <v>334</v>
      </c>
      <c r="E266" s="681">
        <v>1</v>
      </c>
      <c r="F266" s="23">
        <v>151505</v>
      </c>
      <c r="G266" s="25">
        <f>0+'táj.2.'!G266</f>
        <v>0</v>
      </c>
      <c r="H266" s="25">
        <f>0+'táj.2.'!H266</f>
        <v>0</v>
      </c>
      <c r="I266" s="25">
        <f>8000+'táj.2.'!I266</f>
        <v>8000</v>
      </c>
      <c r="J266" s="25">
        <f>0+'táj.2.'!J266</f>
        <v>0</v>
      </c>
      <c r="K266" s="25">
        <f>0+'táj.2.'!K266</f>
        <v>0</v>
      </c>
      <c r="L266" s="25">
        <f>0+'táj.2.'!L266</f>
        <v>0</v>
      </c>
      <c r="M266" s="25">
        <f>0+'táj.2.'!M266</f>
        <v>0</v>
      </c>
      <c r="N266" s="25">
        <f>0+'táj.2.'!N266</f>
        <v>0</v>
      </c>
      <c r="O266" s="25">
        <f>0+'táj.2.'!O266</f>
        <v>0</v>
      </c>
      <c r="P266" s="25">
        <f>0+'táj.2.'!P266</f>
        <v>0</v>
      </c>
      <c r="Q266" s="25">
        <f>SUM(G266:P266)</f>
        <v>8000</v>
      </c>
    </row>
    <row r="267" spans="1:17" ht="12.75" customHeight="1">
      <c r="A267" s="23"/>
      <c r="B267" s="23"/>
      <c r="C267" s="342"/>
      <c r="D267" s="100" t="s">
        <v>85</v>
      </c>
      <c r="E267" s="685"/>
      <c r="F267" s="23"/>
      <c r="G267" s="25"/>
      <c r="H267" s="343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3.5" customHeight="1">
      <c r="A268" s="23"/>
      <c r="B268" s="23"/>
      <c r="C268" s="23"/>
      <c r="D268" s="24" t="s">
        <v>86</v>
      </c>
      <c r="E268" s="681">
        <v>2</v>
      </c>
      <c r="F268" s="23">
        <v>151906</v>
      </c>
      <c r="G268" s="25">
        <f>0+'táj.2.'!G268</f>
        <v>0</v>
      </c>
      <c r="H268" s="25">
        <f>0+'táj.2.'!H268</f>
        <v>0</v>
      </c>
      <c r="I268" s="25">
        <f>121920+'táj.2.'!I268</f>
        <v>121920</v>
      </c>
      <c r="J268" s="25">
        <f>0+'táj.2.'!J268</f>
        <v>0</v>
      </c>
      <c r="K268" s="25">
        <f>0+'táj.2.'!K268</f>
        <v>0</v>
      </c>
      <c r="L268" s="25">
        <f>0+'táj.2.'!L268</f>
        <v>0</v>
      </c>
      <c r="M268" s="25">
        <f>0+'táj.2.'!M268</f>
        <v>0</v>
      </c>
      <c r="N268" s="25">
        <f>0+'táj.2.'!N268</f>
        <v>0</v>
      </c>
      <c r="O268" s="25">
        <f>0+'táj.2.'!O268</f>
        <v>0</v>
      </c>
      <c r="P268" s="25">
        <f>0+'táj.2.'!P268</f>
        <v>0</v>
      </c>
      <c r="Q268" s="25">
        <f>SUM(G268:P268)</f>
        <v>121920</v>
      </c>
    </row>
    <row r="269" spans="1:17" ht="13.5" customHeight="1">
      <c r="A269" s="23"/>
      <c r="B269" s="23"/>
      <c r="C269" s="342"/>
      <c r="D269" s="24" t="s">
        <v>335</v>
      </c>
      <c r="E269" s="681">
        <v>2</v>
      </c>
      <c r="F269" s="23">
        <v>151905</v>
      </c>
      <c r="G269" s="25">
        <f>0+'táj.2.'!G269</f>
        <v>0</v>
      </c>
      <c r="H269" s="25">
        <f>0+'táj.2.'!H269</f>
        <v>0</v>
      </c>
      <c r="I269" s="25">
        <f>1334+'táj.2.'!I269</f>
        <v>1334</v>
      </c>
      <c r="J269" s="25">
        <f>0+'táj.2.'!J269</f>
        <v>0</v>
      </c>
      <c r="K269" s="25">
        <f>0+'táj.2.'!K269</f>
        <v>0</v>
      </c>
      <c r="L269" s="25">
        <f>0+'táj.2.'!L269</f>
        <v>0</v>
      </c>
      <c r="M269" s="25">
        <f>0+'táj.2.'!M269</f>
        <v>0</v>
      </c>
      <c r="N269" s="25">
        <f>0+'táj.2.'!N269</f>
        <v>0</v>
      </c>
      <c r="O269" s="25">
        <f>0+'táj.2.'!O269</f>
        <v>0</v>
      </c>
      <c r="P269" s="25">
        <f>0+'táj.2.'!P269</f>
        <v>0</v>
      </c>
      <c r="Q269" s="25">
        <f>SUM(G269:P269)</f>
        <v>1334</v>
      </c>
    </row>
    <row r="270" spans="1:17" ht="13.5" customHeight="1">
      <c r="A270" s="23"/>
      <c r="B270" s="23"/>
      <c r="C270" s="342"/>
      <c r="D270" s="24" t="s">
        <v>87</v>
      </c>
      <c r="E270" s="681">
        <v>2</v>
      </c>
      <c r="F270" s="23">
        <v>151907</v>
      </c>
      <c r="G270" s="25">
        <f>0+'táj.2.'!G270</f>
        <v>0</v>
      </c>
      <c r="H270" s="25">
        <f>0+'táj.2.'!H270</f>
        <v>0</v>
      </c>
      <c r="I270" s="25">
        <f>204970+'táj.2.'!I270</f>
        <v>204970</v>
      </c>
      <c r="J270" s="25">
        <f>0+'táj.2.'!J270</f>
        <v>0</v>
      </c>
      <c r="K270" s="25">
        <f>0+'táj.2.'!K270</f>
        <v>0</v>
      </c>
      <c r="L270" s="25">
        <f>0+'táj.2.'!L270</f>
        <v>0</v>
      </c>
      <c r="M270" s="25">
        <f>0+'táj.2.'!M270</f>
        <v>0</v>
      </c>
      <c r="N270" s="25">
        <f>0+'táj.2.'!N270</f>
        <v>0</v>
      </c>
      <c r="O270" s="25">
        <f>0+'táj.2.'!O270</f>
        <v>0</v>
      </c>
      <c r="P270" s="25">
        <f>0+'táj.2.'!P270</f>
        <v>0</v>
      </c>
      <c r="Q270" s="25">
        <f>SUM(G270:P270)</f>
        <v>204970</v>
      </c>
    </row>
    <row r="271" spans="1:17" ht="13.5" customHeight="1">
      <c r="A271" s="23"/>
      <c r="B271" s="23"/>
      <c r="C271" s="342"/>
      <c r="D271" s="24" t="s">
        <v>336</v>
      </c>
      <c r="E271" s="681">
        <v>2</v>
      </c>
      <c r="F271" s="23">
        <v>151914</v>
      </c>
      <c r="G271" s="25">
        <f>0+'táj.2.'!G271</f>
        <v>0</v>
      </c>
      <c r="H271" s="25">
        <f>0+'táj.2.'!H271</f>
        <v>0</v>
      </c>
      <c r="I271" s="25">
        <f>4000+'táj.2.'!I271</f>
        <v>4000</v>
      </c>
      <c r="J271" s="25">
        <f>0+'táj.2.'!J271</f>
        <v>0</v>
      </c>
      <c r="K271" s="25">
        <f>0+'táj.2.'!K271</f>
        <v>0</v>
      </c>
      <c r="L271" s="25">
        <f>0+'táj.2.'!L271</f>
        <v>0</v>
      </c>
      <c r="M271" s="25">
        <f>0+'táj.2.'!M271</f>
        <v>0</v>
      </c>
      <c r="N271" s="25">
        <f>0+'táj.2.'!N271</f>
        <v>0</v>
      </c>
      <c r="O271" s="25">
        <f>0+'táj.2.'!O271</f>
        <v>0</v>
      </c>
      <c r="P271" s="25">
        <f>0+'táj.2.'!P271</f>
        <v>0</v>
      </c>
      <c r="Q271" s="25">
        <f>SUM(G271:P271)</f>
        <v>4000</v>
      </c>
    </row>
    <row r="272" spans="1:17" ht="13.5" customHeight="1">
      <c r="A272" s="23"/>
      <c r="B272" s="23"/>
      <c r="C272" s="342"/>
      <c r="D272" s="100" t="s">
        <v>392</v>
      </c>
      <c r="E272" s="685"/>
      <c r="F272" s="23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3.5" customHeight="1">
      <c r="A273" s="23"/>
      <c r="B273" s="23"/>
      <c r="C273" s="342"/>
      <c r="D273" s="100" t="s">
        <v>35</v>
      </c>
      <c r="E273" s="685">
        <v>1</v>
      </c>
      <c r="F273" s="23">
        <v>151801</v>
      </c>
      <c r="G273" s="25">
        <f>0+'táj.2.'!G273</f>
        <v>0</v>
      </c>
      <c r="H273" s="25">
        <f>0+'táj.2.'!H273</f>
        <v>0</v>
      </c>
      <c r="I273" s="25">
        <f>0+'táj.2.'!I273</f>
        <v>0</v>
      </c>
      <c r="J273" s="25">
        <f>0+'táj.2.'!J273</f>
        <v>0</v>
      </c>
      <c r="K273" s="25">
        <f>17143+'táj.2.'!K273</f>
        <v>17143</v>
      </c>
      <c r="L273" s="25">
        <f>0+'táj.2.'!L273</f>
        <v>0</v>
      </c>
      <c r="M273" s="25">
        <f>0+'táj.2.'!M273</f>
        <v>0</v>
      </c>
      <c r="N273" s="25">
        <f>0+'táj.2.'!N273</f>
        <v>0</v>
      </c>
      <c r="O273" s="25">
        <f>0+'táj.2.'!O273</f>
        <v>0</v>
      </c>
      <c r="P273" s="25">
        <f>0+'táj.2.'!P273</f>
        <v>0</v>
      </c>
      <c r="Q273" s="25">
        <f aca="true" t="shared" si="15" ref="Q273:Q282">SUM(G273:P273)</f>
        <v>17143</v>
      </c>
    </row>
    <row r="274" spans="1:17" ht="13.5" customHeight="1">
      <c r="A274" s="23"/>
      <c r="B274" s="23"/>
      <c r="C274" s="342"/>
      <c r="D274" s="100" t="s">
        <v>337</v>
      </c>
      <c r="E274" s="685">
        <v>1</v>
      </c>
      <c r="F274" s="23">
        <v>151803</v>
      </c>
      <c r="G274" s="25">
        <f>0+'táj.2.'!G274</f>
        <v>0</v>
      </c>
      <c r="H274" s="25">
        <f>0+'táj.2.'!H274</f>
        <v>0</v>
      </c>
      <c r="I274" s="25">
        <f>500+'táj.2.'!I274</f>
        <v>500</v>
      </c>
      <c r="J274" s="25">
        <f>0+'táj.2.'!J274</f>
        <v>0</v>
      </c>
      <c r="K274" s="25">
        <f>0+'táj.2.'!K274</f>
        <v>0</v>
      </c>
      <c r="L274" s="25">
        <f>0+'táj.2.'!L274</f>
        <v>0</v>
      </c>
      <c r="M274" s="25">
        <f>0+'táj.2.'!M274</f>
        <v>0</v>
      </c>
      <c r="N274" s="25">
        <f>0+'táj.2.'!N274</f>
        <v>0</v>
      </c>
      <c r="O274" s="25">
        <f>0+'táj.2.'!O274</f>
        <v>0</v>
      </c>
      <c r="P274" s="25">
        <f>0+'táj.2.'!P274</f>
        <v>0</v>
      </c>
      <c r="Q274" s="25">
        <f t="shared" si="15"/>
        <v>500</v>
      </c>
    </row>
    <row r="275" spans="1:17" ht="13.5" customHeight="1">
      <c r="A275" s="23"/>
      <c r="B275" s="23"/>
      <c r="C275" s="342"/>
      <c r="D275" s="100" t="s">
        <v>36</v>
      </c>
      <c r="E275" s="685">
        <v>1</v>
      </c>
      <c r="F275" s="23">
        <v>151802</v>
      </c>
      <c r="G275" s="25">
        <f>0+'táj.2.'!G275</f>
        <v>0</v>
      </c>
      <c r="H275" s="25">
        <f>0+'táj.2.'!H275</f>
        <v>0</v>
      </c>
      <c r="I275" s="25">
        <f>1000+'táj.2.'!I275</f>
        <v>1000</v>
      </c>
      <c r="J275" s="25">
        <f>0+'táj.2.'!J275</f>
        <v>0</v>
      </c>
      <c r="K275" s="25">
        <f>0+'táj.2.'!K275</f>
        <v>0</v>
      </c>
      <c r="L275" s="25">
        <f>0+'táj.2.'!L275</f>
        <v>0</v>
      </c>
      <c r="M275" s="25">
        <f>0+'táj.2.'!M275</f>
        <v>0</v>
      </c>
      <c r="N275" s="25">
        <f>0+'táj.2.'!N275</f>
        <v>0</v>
      </c>
      <c r="O275" s="25">
        <f>0+'táj.2.'!O275</f>
        <v>0</v>
      </c>
      <c r="P275" s="25">
        <f>0+'táj.2.'!P275</f>
        <v>0</v>
      </c>
      <c r="Q275" s="25">
        <f t="shared" si="15"/>
        <v>1000</v>
      </c>
    </row>
    <row r="276" spans="1:17" ht="13.5" customHeight="1">
      <c r="A276" s="23"/>
      <c r="B276" s="23"/>
      <c r="C276" s="342"/>
      <c r="D276" s="100" t="s">
        <v>986</v>
      </c>
      <c r="E276" s="685"/>
      <c r="F276" s="23"/>
      <c r="G276" s="25"/>
      <c r="H276" s="343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3.5" customHeight="1">
      <c r="A277" s="23"/>
      <c r="B277" s="23"/>
      <c r="C277" s="342"/>
      <c r="D277" s="100" t="s">
        <v>338</v>
      </c>
      <c r="E277" s="681">
        <v>1</v>
      </c>
      <c r="F277" s="23">
        <v>151201</v>
      </c>
      <c r="G277" s="25">
        <f>0+'táj.2.'!G277</f>
        <v>0</v>
      </c>
      <c r="H277" s="25">
        <f>0+'táj.2.'!H277</f>
        <v>0</v>
      </c>
      <c r="I277" s="25">
        <f>177275+'táj.2.'!I277</f>
        <v>177275</v>
      </c>
      <c r="J277" s="25">
        <f>0+'táj.2.'!J277</f>
        <v>0</v>
      </c>
      <c r="K277" s="25">
        <f>0+'táj.2.'!K277</f>
        <v>0</v>
      </c>
      <c r="L277" s="25">
        <f>0+'táj.2.'!L277</f>
        <v>0</v>
      </c>
      <c r="M277" s="25">
        <f>0+'táj.2.'!M277</f>
        <v>0</v>
      </c>
      <c r="N277" s="25">
        <f>0+'táj.2.'!N277</f>
        <v>0</v>
      </c>
      <c r="O277" s="25">
        <f>0+'táj.2.'!O277</f>
        <v>0</v>
      </c>
      <c r="P277" s="25">
        <f>0+'táj.2.'!P277</f>
        <v>0</v>
      </c>
      <c r="Q277" s="25">
        <f t="shared" si="15"/>
        <v>177275</v>
      </c>
    </row>
    <row r="278" spans="1:17" ht="13.5" customHeight="1">
      <c r="A278" s="23"/>
      <c r="B278" s="23"/>
      <c r="C278" s="342"/>
      <c r="D278" s="100" t="s">
        <v>339</v>
      </c>
      <c r="E278" s="681">
        <v>2</v>
      </c>
      <c r="F278" s="23">
        <v>151203</v>
      </c>
      <c r="G278" s="25">
        <f>0+'táj.2.'!G278</f>
        <v>0</v>
      </c>
      <c r="H278" s="25">
        <f>0+'táj.2.'!H278</f>
        <v>0</v>
      </c>
      <c r="I278" s="25">
        <f>7356+'táj.2.'!I278</f>
        <v>7356</v>
      </c>
      <c r="J278" s="25">
        <f>0+'táj.2.'!J278</f>
        <v>0</v>
      </c>
      <c r="K278" s="25">
        <f>0+'táj.2.'!K278</f>
        <v>0</v>
      </c>
      <c r="L278" s="25">
        <f>0+'táj.2.'!L278</f>
        <v>0</v>
      </c>
      <c r="M278" s="25">
        <f>0+'táj.2.'!M278</f>
        <v>0</v>
      </c>
      <c r="N278" s="25">
        <f>0+'táj.2.'!N278</f>
        <v>0</v>
      </c>
      <c r="O278" s="25">
        <f>0+'táj.2.'!O278</f>
        <v>0</v>
      </c>
      <c r="P278" s="25">
        <f>0+'táj.2.'!P278</f>
        <v>0</v>
      </c>
      <c r="Q278" s="25">
        <f t="shared" si="15"/>
        <v>7356</v>
      </c>
    </row>
    <row r="279" spans="1:17" ht="13.5" customHeight="1">
      <c r="A279" s="23"/>
      <c r="B279" s="23"/>
      <c r="C279" s="342"/>
      <c r="D279" s="100" t="s">
        <v>37</v>
      </c>
      <c r="E279" s="685">
        <v>1</v>
      </c>
      <c r="F279" s="23">
        <v>151204</v>
      </c>
      <c r="G279" s="25">
        <f>0+'táj.2.'!G279</f>
        <v>0</v>
      </c>
      <c r="H279" s="25">
        <f>0+'táj.2.'!H279</f>
        <v>0</v>
      </c>
      <c r="I279" s="25">
        <f>1000+'táj.2.'!I279</f>
        <v>1000</v>
      </c>
      <c r="J279" s="25">
        <f>0+'táj.2.'!J279</f>
        <v>0</v>
      </c>
      <c r="K279" s="25">
        <f>0+'táj.2.'!K279</f>
        <v>0</v>
      </c>
      <c r="L279" s="25">
        <f>0+'táj.2.'!L279</f>
        <v>0</v>
      </c>
      <c r="M279" s="25">
        <f>0+'táj.2.'!M279</f>
        <v>0</v>
      </c>
      <c r="N279" s="25">
        <f>0+'táj.2.'!N279</f>
        <v>0</v>
      </c>
      <c r="O279" s="25">
        <f>0+'táj.2.'!O279</f>
        <v>0</v>
      </c>
      <c r="P279" s="25">
        <f>0+'táj.2.'!P279</f>
        <v>0</v>
      </c>
      <c r="Q279" s="25">
        <f t="shared" si="15"/>
        <v>1000</v>
      </c>
    </row>
    <row r="280" spans="1:17" ht="13.5" customHeight="1">
      <c r="A280" s="23"/>
      <c r="B280" s="23"/>
      <c r="C280" s="342"/>
      <c r="D280" s="100" t="s">
        <v>340</v>
      </c>
      <c r="E280" s="685">
        <v>1</v>
      </c>
      <c r="F280" s="23">
        <v>151202</v>
      </c>
      <c r="G280" s="25">
        <f>0+'táj.2.'!G280</f>
        <v>0</v>
      </c>
      <c r="H280" s="25">
        <f>0+'táj.2.'!H280</f>
        <v>0</v>
      </c>
      <c r="I280" s="25">
        <f>29455+'táj.2.'!I280</f>
        <v>29455</v>
      </c>
      <c r="J280" s="25">
        <f>0+'táj.2.'!J280</f>
        <v>0</v>
      </c>
      <c r="K280" s="25">
        <f>0+'táj.2.'!K280</f>
        <v>0</v>
      </c>
      <c r="L280" s="25">
        <f>0+'táj.2.'!L280</f>
        <v>0</v>
      </c>
      <c r="M280" s="25">
        <f>0+'táj.2.'!M280</f>
        <v>0</v>
      </c>
      <c r="N280" s="25">
        <f>0+'táj.2.'!N280</f>
        <v>0</v>
      </c>
      <c r="O280" s="25">
        <f>0+'táj.2.'!O280</f>
        <v>0</v>
      </c>
      <c r="P280" s="25">
        <f>0+'táj.2.'!P280</f>
        <v>0</v>
      </c>
      <c r="Q280" s="25">
        <f t="shared" si="15"/>
        <v>29455</v>
      </c>
    </row>
    <row r="281" spans="1:17" ht="13.5" customHeight="1">
      <c r="A281" s="23"/>
      <c r="B281" s="23"/>
      <c r="C281" s="342"/>
      <c r="D281" s="100" t="s">
        <v>38</v>
      </c>
      <c r="E281" s="685">
        <v>1</v>
      </c>
      <c r="F281" s="23">
        <v>151205</v>
      </c>
      <c r="G281" s="25">
        <f>0+'táj.2.'!G281</f>
        <v>0</v>
      </c>
      <c r="H281" s="25">
        <f>0+'táj.2.'!H281</f>
        <v>0</v>
      </c>
      <c r="I281" s="25">
        <f>1000+'táj.2.'!I281</f>
        <v>1000</v>
      </c>
      <c r="J281" s="25">
        <f>0+'táj.2.'!J281</f>
        <v>0</v>
      </c>
      <c r="K281" s="25">
        <f>0+'táj.2.'!K281</f>
        <v>0</v>
      </c>
      <c r="L281" s="25">
        <f>0+'táj.2.'!L281</f>
        <v>0</v>
      </c>
      <c r="M281" s="25">
        <f>0+'táj.2.'!M281</f>
        <v>0</v>
      </c>
      <c r="N281" s="25">
        <f>0+'táj.2.'!N281</f>
        <v>0</v>
      </c>
      <c r="O281" s="25">
        <f>0+'táj.2.'!O281</f>
        <v>0</v>
      </c>
      <c r="P281" s="25">
        <f>0+'táj.2.'!P281</f>
        <v>0</v>
      </c>
      <c r="Q281" s="25">
        <f t="shared" si="15"/>
        <v>1000</v>
      </c>
    </row>
    <row r="282" spans="1:17" ht="13.5" customHeight="1">
      <c r="A282" s="23"/>
      <c r="B282" s="23"/>
      <c r="C282" s="342"/>
      <c r="D282" s="100" t="s">
        <v>419</v>
      </c>
      <c r="E282" s="685">
        <v>1</v>
      </c>
      <c r="F282" s="23">
        <v>151902</v>
      </c>
      <c r="G282" s="25">
        <f>1500+'táj.2.'!G282</f>
        <v>1500</v>
      </c>
      <c r="H282" s="25">
        <f>400+'táj.2.'!H282</f>
        <v>400</v>
      </c>
      <c r="I282" s="25">
        <f>4200+'táj.2.'!I282</f>
        <v>4200</v>
      </c>
      <c r="J282" s="25">
        <f>0+'táj.2.'!J282</f>
        <v>0</v>
      </c>
      <c r="K282" s="25">
        <f>2700+'táj.2.'!K282</f>
        <v>2700</v>
      </c>
      <c r="L282" s="25">
        <f>0+'táj.2.'!L282</f>
        <v>0</v>
      </c>
      <c r="M282" s="25">
        <f>0+'táj.2.'!M282</f>
        <v>0</v>
      </c>
      <c r="N282" s="25">
        <f>0+'táj.2.'!N282</f>
        <v>0</v>
      </c>
      <c r="O282" s="25">
        <f>0+'táj.2.'!O282</f>
        <v>0</v>
      </c>
      <c r="P282" s="25">
        <f>0+'táj.2.'!P282</f>
        <v>0</v>
      </c>
      <c r="Q282" s="25">
        <f t="shared" si="15"/>
        <v>8800</v>
      </c>
    </row>
    <row r="283" spans="1:17" ht="15" customHeight="1">
      <c r="A283" s="23"/>
      <c r="B283" s="23"/>
      <c r="C283" s="342"/>
      <c r="D283" s="141" t="s">
        <v>93</v>
      </c>
      <c r="E283" s="688"/>
      <c r="F283" s="59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9" ht="24.75" customHeight="1">
      <c r="A284" s="23"/>
      <c r="B284" s="23"/>
      <c r="C284" s="342"/>
      <c r="D284" s="141" t="s">
        <v>341</v>
      </c>
      <c r="E284" s="689">
        <v>2</v>
      </c>
      <c r="F284" s="595">
        <v>151910</v>
      </c>
      <c r="G284" s="25">
        <f>0+'táj.2.'!G284</f>
        <v>0</v>
      </c>
      <c r="H284" s="25">
        <f>0+'táj.2.'!H284</f>
        <v>0</v>
      </c>
      <c r="I284" s="25">
        <f>116332+'táj.2.'!I284</f>
        <v>116332</v>
      </c>
      <c r="J284" s="25">
        <f>0+'táj.2.'!J284</f>
        <v>0</v>
      </c>
      <c r="K284" s="25">
        <f>0+'táj.2.'!K284</f>
        <v>0</v>
      </c>
      <c r="L284" s="25">
        <f>0+'táj.2.'!L284</f>
        <v>0</v>
      </c>
      <c r="M284" s="25">
        <f>0+'táj.2.'!M284</f>
        <v>0</v>
      </c>
      <c r="N284" s="25">
        <f>0+'táj.2.'!N284</f>
        <v>0</v>
      </c>
      <c r="O284" s="25">
        <f>0+'táj.2.'!O284</f>
        <v>0</v>
      </c>
      <c r="P284" s="25">
        <f>0+'táj.2.'!P284</f>
        <v>0</v>
      </c>
      <c r="Q284" s="25">
        <f>SUM(G284:P284)</f>
        <v>116332</v>
      </c>
      <c r="R284" s="30"/>
      <c r="S284" s="30"/>
    </row>
    <row r="285" spans="1:19" ht="15" customHeight="1">
      <c r="A285" s="23"/>
      <c r="B285" s="23"/>
      <c r="C285" s="342"/>
      <c r="D285" s="141" t="s">
        <v>114</v>
      </c>
      <c r="E285" s="689"/>
      <c r="F285" s="59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30"/>
      <c r="S285" s="30"/>
    </row>
    <row r="286" spans="1:19" ht="24.75" customHeight="1">
      <c r="A286" s="23"/>
      <c r="B286" s="23"/>
      <c r="C286" s="342"/>
      <c r="D286" s="141" t="s">
        <v>342</v>
      </c>
      <c r="E286" s="689">
        <v>1</v>
      </c>
      <c r="F286" s="595">
        <v>152915</v>
      </c>
      <c r="G286" s="25">
        <f>0+'táj.2.'!G286</f>
        <v>0</v>
      </c>
      <c r="H286" s="25">
        <f>0+'táj.2.'!H286</f>
        <v>0</v>
      </c>
      <c r="I286" s="25">
        <f>6200+'táj.2.'!I286</f>
        <v>6200</v>
      </c>
      <c r="J286" s="25">
        <f>0+'táj.2.'!J286</f>
        <v>0</v>
      </c>
      <c r="K286" s="25">
        <f>0+'táj.2.'!K286</f>
        <v>0</v>
      </c>
      <c r="L286" s="25">
        <f>0+'táj.2.'!L286</f>
        <v>0</v>
      </c>
      <c r="M286" s="25">
        <f>0+'táj.2.'!M286</f>
        <v>0</v>
      </c>
      <c r="N286" s="25">
        <f>0+'táj.2.'!N286</f>
        <v>0</v>
      </c>
      <c r="O286" s="25">
        <f>0+'táj.2.'!O286</f>
        <v>0</v>
      </c>
      <c r="P286" s="25">
        <f>0+'táj.2.'!P286</f>
        <v>0</v>
      </c>
      <c r="Q286" s="25">
        <f>SUM(G286:P286)</f>
        <v>6200</v>
      </c>
      <c r="R286" s="30"/>
      <c r="S286" s="30"/>
    </row>
    <row r="287" spans="1:17" ht="13.5" customHeight="1">
      <c r="A287" s="23"/>
      <c r="B287" s="23"/>
      <c r="C287" s="342"/>
      <c r="D287" s="100" t="s">
        <v>343</v>
      </c>
      <c r="E287" s="685"/>
      <c r="F287" s="23"/>
      <c r="G287" s="25"/>
      <c r="H287" s="343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3.5" customHeight="1">
      <c r="A288" s="23"/>
      <c r="B288" s="23"/>
      <c r="C288" s="342"/>
      <c r="D288" s="100" t="s">
        <v>344</v>
      </c>
      <c r="E288" s="681">
        <v>1</v>
      </c>
      <c r="F288" s="23">
        <v>151704</v>
      </c>
      <c r="G288" s="25">
        <f>0+'táj.2.'!G288</f>
        <v>0</v>
      </c>
      <c r="H288" s="25">
        <f>0+'táj.2.'!H288</f>
        <v>0</v>
      </c>
      <c r="I288" s="25">
        <f>0+'táj.2.'!I288</f>
        <v>0</v>
      </c>
      <c r="J288" s="25">
        <f>0+'táj.2.'!J288</f>
        <v>0</v>
      </c>
      <c r="K288" s="25">
        <f>250+'táj.2.'!K288</f>
        <v>250</v>
      </c>
      <c r="L288" s="25">
        <f>0+'táj.2.'!L288</f>
        <v>0</v>
      </c>
      <c r="M288" s="25">
        <f>0+'táj.2.'!M288</f>
        <v>0</v>
      </c>
      <c r="N288" s="25">
        <f>0+'táj.2.'!N288</f>
        <v>0</v>
      </c>
      <c r="O288" s="25">
        <f>0+'táj.2.'!O288</f>
        <v>0</v>
      </c>
      <c r="P288" s="25">
        <f>0+'táj.2.'!P288</f>
        <v>0</v>
      </c>
      <c r="Q288" s="25">
        <f>SUM(G288:P288)</f>
        <v>250</v>
      </c>
    </row>
    <row r="289" spans="1:17" ht="12.75" customHeight="1">
      <c r="A289" s="17"/>
      <c r="B289" s="17"/>
      <c r="C289" s="300"/>
      <c r="D289" s="345" t="s">
        <v>345</v>
      </c>
      <c r="E289" s="669"/>
      <c r="F289" s="17"/>
      <c r="G289" s="19">
        <f>SUM(G213:G288)</f>
        <v>1500</v>
      </c>
      <c r="H289" s="19">
        <f>SUM(H213:H288)</f>
        <v>400</v>
      </c>
      <c r="I289" s="19">
        <f>SUM(I213:I288)</f>
        <v>1334463</v>
      </c>
      <c r="J289" s="19">
        <f>SUM(J213:J288)</f>
        <v>0</v>
      </c>
      <c r="K289" s="19">
        <f>SUM(K213:K288)</f>
        <v>38093</v>
      </c>
      <c r="L289" s="19">
        <f aca="true" t="shared" si="16" ref="L289:Q289">SUM(L213:L288)</f>
        <v>305</v>
      </c>
      <c r="M289" s="19">
        <f t="shared" si="16"/>
        <v>0</v>
      </c>
      <c r="N289" s="19">
        <f t="shared" si="16"/>
        <v>0</v>
      </c>
      <c r="O289" s="19">
        <f t="shared" si="16"/>
        <v>0</v>
      </c>
      <c r="P289" s="19">
        <f t="shared" si="16"/>
        <v>0</v>
      </c>
      <c r="Q289" s="19">
        <f t="shared" si="16"/>
        <v>1374761</v>
      </c>
    </row>
    <row r="290" spans="1:17" ht="12.75" customHeight="1">
      <c r="A290" s="346"/>
      <c r="B290" s="346"/>
      <c r="C290" s="346"/>
      <c r="D290" s="489" t="s">
        <v>159</v>
      </c>
      <c r="E290" s="681"/>
      <c r="F290" s="23"/>
      <c r="G290" s="329"/>
      <c r="H290" s="329"/>
      <c r="I290" s="329"/>
      <c r="J290" s="329"/>
      <c r="K290" s="329"/>
      <c r="L290" s="330"/>
      <c r="M290" s="330"/>
      <c r="N290" s="330"/>
      <c r="O290" s="329"/>
      <c r="P290" s="329"/>
      <c r="Q290" s="330"/>
    </row>
    <row r="291" spans="1:17" ht="12.75" customHeight="1">
      <c r="A291" s="346"/>
      <c r="B291" s="346"/>
      <c r="C291" s="346" t="s">
        <v>548</v>
      </c>
      <c r="D291" s="121" t="s">
        <v>494</v>
      </c>
      <c r="E291" s="681"/>
      <c r="F291" s="23"/>
      <c r="G291" s="329"/>
      <c r="H291" s="329"/>
      <c r="I291" s="329"/>
      <c r="J291" s="329"/>
      <c r="K291" s="329"/>
      <c r="L291" s="330"/>
      <c r="M291" s="330"/>
      <c r="N291" s="330"/>
      <c r="O291" s="329"/>
      <c r="P291" s="329"/>
      <c r="Q291" s="330"/>
    </row>
    <row r="292" spans="1:17" ht="12.75" customHeight="1">
      <c r="A292" s="346"/>
      <c r="B292" s="346"/>
      <c r="C292" s="144" t="s">
        <v>592</v>
      </c>
      <c r="D292" s="347" t="s">
        <v>695</v>
      </c>
      <c r="E292" s="681"/>
      <c r="F292" s="23">
        <v>152116</v>
      </c>
      <c r="G292" s="330">
        <f>0+'táj.2.'!G292</f>
        <v>0</v>
      </c>
      <c r="H292" s="330">
        <f>0+'táj.2.'!H292</f>
        <v>0</v>
      </c>
      <c r="I292" s="330">
        <f>0+'táj.2.'!I292</f>
        <v>0</v>
      </c>
      <c r="J292" s="330">
        <f>0+'táj.2.'!J292</f>
        <v>0</v>
      </c>
      <c r="K292" s="330">
        <f>0+'táj.2.'!K292</f>
        <v>0</v>
      </c>
      <c r="L292" s="330">
        <f>2000+'táj.2.'!L292</f>
        <v>2000</v>
      </c>
      <c r="M292" s="330">
        <f>0+'táj.2.'!M292</f>
        <v>0</v>
      </c>
      <c r="N292" s="330">
        <f>0+'táj.2.'!N292</f>
        <v>0</v>
      </c>
      <c r="O292" s="330">
        <f>0+'táj.2.'!O292</f>
        <v>0</v>
      </c>
      <c r="P292" s="330">
        <f>0+'táj.2.'!P292</f>
        <v>0</v>
      </c>
      <c r="Q292" s="330">
        <f aca="true" t="shared" si="17" ref="Q292:Q302">SUM(G292:P292)</f>
        <v>2000</v>
      </c>
    </row>
    <row r="293" spans="1:17" ht="21.75" customHeight="1">
      <c r="A293" s="346"/>
      <c r="B293" s="346"/>
      <c r="C293" s="144" t="s">
        <v>593</v>
      </c>
      <c r="D293" s="348" t="s">
        <v>346</v>
      </c>
      <c r="E293" s="681"/>
      <c r="F293" s="23">
        <v>152122</v>
      </c>
      <c r="G293" s="330">
        <f>0+'táj.2.'!G293</f>
        <v>0</v>
      </c>
      <c r="H293" s="330">
        <f>0+'táj.2.'!H293</f>
        <v>0</v>
      </c>
      <c r="I293" s="330">
        <f>0+'táj.2.'!I293</f>
        <v>0</v>
      </c>
      <c r="J293" s="330">
        <f>0+'táj.2.'!J293</f>
        <v>0</v>
      </c>
      <c r="K293" s="330">
        <f>0+'táj.2.'!K293</f>
        <v>0</v>
      </c>
      <c r="L293" s="330">
        <f>1500+'táj.2.'!L293</f>
        <v>1500</v>
      </c>
      <c r="M293" s="330">
        <f>0+'táj.2.'!M293</f>
        <v>0</v>
      </c>
      <c r="N293" s="330">
        <f>0+'táj.2.'!N293</f>
        <v>0</v>
      </c>
      <c r="O293" s="330">
        <f>0+'táj.2.'!O293</f>
        <v>0</v>
      </c>
      <c r="P293" s="330">
        <f>0+'táj.2.'!P293</f>
        <v>0</v>
      </c>
      <c r="Q293" s="330">
        <f t="shared" si="17"/>
        <v>1500</v>
      </c>
    </row>
    <row r="294" spans="1:17" ht="24.75" customHeight="1">
      <c r="A294" s="346"/>
      <c r="B294" s="346"/>
      <c r="C294" s="144" t="s">
        <v>594</v>
      </c>
      <c r="D294" s="348" t="s">
        <v>347</v>
      </c>
      <c r="E294" s="681"/>
      <c r="F294" s="23">
        <v>152114</v>
      </c>
      <c r="G294" s="330">
        <f>0+'táj.2.'!G294</f>
        <v>0</v>
      </c>
      <c r="H294" s="330">
        <f>0+'táj.2.'!H294</f>
        <v>0</v>
      </c>
      <c r="I294" s="330">
        <f>0+'táj.2.'!I294</f>
        <v>0</v>
      </c>
      <c r="J294" s="330">
        <f>0+'táj.2.'!J294</f>
        <v>0</v>
      </c>
      <c r="K294" s="330">
        <f>0+'táj.2.'!K294</f>
        <v>0</v>
      </c>
      <c r="L294" s="330">
        <f>1500+'táj.2.'!L294</f>
        <v>1500</v>
      </c>
      <c r="M294" s="330">
        <f>0+'táj.2.'!M294</f>
        <v>0</v>
      </c>
      <c r="N294" s="330">
        <f>0+'táj.2.'!N294</f>
        <v>0</v>
      </c>
      <c r="O294" s="330">
        <f>0+'táj.2.'!O294</f>
        <v>0</v>
      </c>
      <c r="P294" s="330">
        <f>0+'táj.2.'!P294</f>
        <v>0</v>
      </c>
      <c r="Q294" s="330">
        <f t="shared" si="17"/>
        <v>1500</v>
      </c>
    </row>
    <row r="295" spans="1:17" ht="12.75" customHeight="1">
      <c r="A295" s="346"/>
      <c r="B295" s="346"/>
      <c r="C295" s="144" t="s">
        <v>581</v>
      </c>
      <c r="D295" s="349" t="s">
        <v>357</v>
      </c>
      <c r="E295" s="681"/>
      <c r="F295" s="23">
        <v>152109</v>
      </c>
      <c r="G295" s="330">
        <f>0+'táj.2.'!G295</f>
        <v>0</v>
      </c>
      <c r="H295" s="330">
        <f>0+'táj.2.'!H295</f>
        <v>0</v>
      </c>
      <c r="I295" s="330">
        <f>0+'táj.2.'!I295</f>
        <v>0</v>
      </c>
      <c r="J295" s="330">
        <f>0+'táj.2.'!J295</f>
        <v>0</v>
      </c>
      <c r="K295" s="330">
        <f>0+'táj.2.'!K295</f>
        <v>0</v>
      </c>
      <c r="L295" s="330">
        <f>2000+'táj.2.'!L295</f>
        <v>2000</v>
      </c>
      <c r="M295" s="330">
        <f>0+'táj.2.'!M295</f>
        <v>0</v>
      </c>
      <c r="N295" s="330">
        <f>0+'táj.2.'!N295</f>
        <v>0</v>
      </c>
      <c r="O295" s="330">
        <f>0+'táj.2.'!O295</f>
        <v>0</v>
      </c>
      <c r="P295" s="330">
        <f>0+'táj.2.'!P295</f>
        <v>0</v>
      </c>
      <c r="Q295" s="330">
        <f t="shared" si="17"/>
        <v>2000</v>
      </c>
    </row>
    <row r="296" spans="1:17" ht="12.75" customHeight="1">
      <c r="A296" s="346"/>
      <c r="B296" s="346"/>
      <c r="C296" s="144" t="s">
        <v>582</v>
      </c>
      <c r="D296" s="157" t="s">
        <v>685</v>
      </c>
      <c r="E296" s="681"/>
      <c r="F296" s="23">
        <v>152103</v>
      </c>
      <c r="G296" s="330">
        <f>0+'táj.2.'!G296</f>
        <v>0</v>
      </c>
      <c r="H296" s="330">
        <f>0+'táj.2.'!H296</f>
        <v>0</v>
      </c>
      <c r="I296" s="330">
        <f>0+'táj.2.'!I296</f>
        <v>0</v>
      </c>
      <c r="J296" s="330">
        <f>0+'táj.2.'!J296</f>
        <v>0</v>
      </c>
      <c r="K296" s="330">
        <f>0+'táj.2.'!K296</f>
        <v>0</v>
      </c>
      <c r="L296" s="330">
        <f>2000+'táj.2.'!L296</f>
        <v>2000</v>
      </c>
      <c r="M296" s="330">
        <f>0+'táj.2.'!M296</f>
        <v>0</v>
      </c>
      <c r="N296" s="330">
        <f>0+'táj.2.'!N296</f>
        <v>0</v>
      </c>
      <c r="O296" s="330">
        <f>0+'táj.2.'!O296</f>
        <v>0</v>
      </c>
      <c r="P296" s="330">
        <f>0+'táj.2.'!P296</f>
        <v>0</v>
      </c>
      <c r="Q296" s="330">
        <f t="shared" si="17"/>
        <v>2000</v>
      </c>
    </row>
    <row r="297" spans="1:17" ht="12.75" customHeight="1">
      <c r="A297" s="346"/>
      <c r="B297" s="346"/>
      <c r="C297" s="144" t="s">
        <v>365</v>
      </c>
      <c r="D297" s="157" t="s">
        <v>348</v>
      </c>
      <c r="E297" s="681"/>
      <c r="F297" s="23">
        <v>152123</v>
      </c>
      <c r="G297" s="330">
        <f>0+'táj.2.'!G297</f>
        <v>0</v>
      </c>
      <c r="H297" s="330">
        <f>0+'táj.2.'!H297</f>
        <v>0</v>
      </c>
      <c r="I297" s="330">
        <f>0+'táj.2.'!I297</f>
        <v>0</v>
      </c>
      <c r="J297" s="330">
        <f>0+'táj.2.'!J297</f>
        <v>0</v>
      </c>
      <c r="K297" s="330">
        <f>0+'táj.2.'!K297</f>
        <v>0</v>
      </c>
      <c r="L297" s="330">
        <f>3000+'táj.2.'!L297</f>
        <v>3000</v>
      </c>
      <c r="M297" s="330">
        <f>0+'táj.2.'!M297</f>
        <v>0</v>
      </c>
      <c r="N297" s="330">
        <f>0+'táj.2.'!N297</f>
        <v>0</v>
      </c>
      <c r="O297" s="330">
        <f>0+'táj.2.'!O297</f>
        <v>0</v>
      </c>
      <c r="P297" s="330">
        <f>0+'táj.2.'!P297</f>
        <v>0</v>
      </c>
      <c r="Q297" s="330">
        <f t="shared" si="17"/>
        <v>3000</v>
      </c>
    </row>
    <row r="298" spans="1:17" ht="24.75" customHeight="1">
      <c r="A298" s="346"/>
      <c r="B298" s="346"/>
      <c r="C298" s="144" t="s">
        <v>366</v>
      </c>
      <c r="D298" s="350" t="s">
        <v>349</v>
      </c>
      <c r="E298" s="681"/>
      <c r="F298" s="23">
        <v>151114</v>
      </c>
      <c r="G298" s="330">
        <f>0+'táj.2.'!G298</f>
        <v>0</v>
      </c>
      <c r="H298" s="330">
        <f>0+'táj.2.'!H298</f>
        <v>0</v>
      </c>
      <c r="I298" s="330">
        <f>0+'táj.2.'!I298</f>
        <v>0</v>
      </c>
      <c r="J298" s="330">
        <f>0+'táj.2.'!J298</f>
        <v>0</v>
      </c>
      <c r="K298" s="330">
        <f>0+'táj.2.'!K298</f>
        <v>0</v>
      </c>
      <c r="L298" s="330">
        <f>0+'táj.2.'!L298</f>
        <v>0</v>
      </c>
      <c r="M298" s="330">
        <f>4000+'táj.2.'!M298</f>
        <v>4000</v>
      </c>
      <c r="N298" s="330">
        <f>0+'táj.2.'!N298</f>
        <v>0</v>
      </c>
      <c r="O298" s="330">
        <f>0+'táj.2.'!O298</f>
        <v>0</v>
      </c>
      <c r="P298" s="330">
        <f>0+'táj.2.'!P298</f>
        <v>0</v>
      </c>
      <c r="Q298" s="330">
        <f t="shared" si="17"/>
        <v>4000</v>
      </c>
    </row>
    <row r="299" spans="1:17" ht="21.75" customHeight="1">
      <c r="A299" s="346"/>
      <c r="B299" s="346"/>
      <c r="C299" s="144" t="s">
        <v>362</v>
      </c>
      <c r="D299" s="351" t="s">
        <v>50</v>
      </c>
      <c r="E299" s="681"/>
      <c r="F299" s="23">
        <v>154112</v>
      </c>
      <c r="G299" s="330">
        <f>0+'táj.2.'!G299</f>
        <v>0</v>
      </c>
      <c r="H299" s="330">
        <f>0+'táj.2.'!H299</f>
        <v>0</v>
      </c>
      <c r="I299" s="330">
        <f>0+'táj.2.'!I299</f>
        <v>0</v>
      </c>
      <c r="J299" s="330">
        <f>0+'táj.2.'!J299</f>
        <v>0</v>
      </c>
      <c r="K299" s="330">
        <f>0+'táj.2.'!K299</f>
        <v>0</v>
      </c>
      <c r="L299" s="330">
        <f>0+'táj.2.'!L299</f>
        <v>0</v>
      </c>
      <c r="M299" s="330">
        <f>2000+'táj.2.'!M299</f>
        <v>2000</v>
      </c>
      <c r="N299" s="330">
        <f>0+'táj.2.'!N299</f>
        <v>0</v>
      </c>
      <c r="O299" s="330">
        <f>0+'táj.2.'!O299</f>
        <v>0</v>
      </c>
      <c r="P299" s="330">
        <f>0+'táj.2.'!P299</f>
        <v>0</v>
      </c>
      <c r="Q299" s="25">
        <f t="shared" si="17"/>
        <v>2000</v>
      </c>
    </row>
    <row r="300" spans="1:17" ht="12.75" customHeight="1">
      <c r="A300" s="346"/>
      <c r="B300" s="346"/>
      <c r="C300" s="144" t="s">
        <v>694</v>
      </c>
      <c r="D300" s="347" t="s">
        <v>350</v>
      </c>
      <c r="E300" s="681"/>
      <c r="F300" s="23">
        <v>151115</v>
      </c>
      <c r="G300" s="330">
        <f>0+'táj.2.'!G300</f>
        <v>0</v>
      </c>
      <c r="H300" s="330">
        <f>0+'táj.2.'!H300</f>
        <v>0</v>
      </c>
      <c r="I300" s="330">
        <f>0+'táj.2.'!I300</f>
        <v>0</v>
      </c>
      <c r="J300" s="330">
        <f>0+'táj.2.'!J300</f>
        <v>0</v>
      </c>
      <c r="K300" s="330">
        <f>0+'táj.2.'!K300</f>
        <v>0</v>
      </c>
      <c r="L300" s="330">
        <f>0+'táj.2.'!L300</f>
        <v>0</v>
      </c>
      <c r="M300" s="330">
        <f>4000+'táj.2.'!M300</f>
        <v>4000</v>
      </c>
      <c r="N300" s="330">
        <f>0+'táj.2.'!N300</f>
        <v>0</v>
      </c>
      <c r="O300" s="330">
        <f>0+'táj.2.'!O300</f>
        <v>0</v>
      </c>
      <c r="P300" s="330">
        <f>0+'táj.2.'!P300</f>
        <v>0</v>
      </c>
      <c r="Q300" s="25">
        <f t="shared" si="17"/>
        <v>4000</v>
      </c>
    </row>
    <row r="301" spans="1:17" ht="22.5" customHeight="1">
      <c r="A301" s="346"/>
      <c r="B301" s="346"/>
      <c r="C301" s="144" t="s">
        <v>436</v>
      </c>
      <c r="D301" s="347" t="s">
        <v>351</v>
      </c>
      <c r="E301" s="681"/>
      <c r="F301" s="23">
        <v>154113</v>
      </c>
      <c r="G301" s="330">
        <f>0+'táj.2.'!G301</f>
        <v>0</v>
      </c>
      <c r="H301" s="330">
        <f>0+'táj.2.'!H301</f>
        <v>0</v>
      </c>
      <c r="I301" s="330">
        <f>0+'táj.2.'!I301</f>
        <v>0</v>
      </c>
      <c r="J301" s="330">
        <f>0+'táj.2.'!J301</f>
        <v>0</v>
      </c>
      <c r="K301" s="330">
        <f>0+'táj.2.'!K301</f>
        <v>0</v>
      </c>
      <c r="L301" s="330">
        <f>0+'táj.2.'!L301</f>
        <v>0</v>
      </c>
      <c r="M301" s="330">
        <f>2000+'táj.2.'!M301</f>
        <v>2000</v>
      </c>
      <c r="N301" s="330">
        <f>0+'táj.2.'!N301</f>
        <v>0</v>
      </c>
      <c r="O301" s="330">
        <f>0+'táj.2.'!O301</f>
        <v>0</v>
      </c>
      <c r="P301" s="330">
        <f>0+'táj.2.'!P301</f>
        <v>0</v>
      </c>
      <c r="Q301" s="25">
        <f t="shared" si="17"/>
        <v>2000</v>
      </c>
    </row>
    <row r="302" spans="1:17" ht="24" customHeight="1">
      <c r="A302" s="346"/>
      <c r="B302" s="346"/>
      <c r="C302" s="144" t="s">
        <v>427</v>
      </c>
      <c r="D302" s="350" t="s">
        <v>730</v>
      </c>
      <c r="E302" s="681"/>
      <c r="F302" s="23">
        <v>151116</v>
      </c>
      <c r="G302" s="330">
        <f>0+'táj.2.'!G302</f>
        <v>0</v>
      </c>
      <c r="H302" s="330">
        <f>0+'táj.2.'!H302</f>
        <v>0</v>
      </c>
      <c r="I302" s="330">
        <f>0+'táj.2.'!I302</f>
        <v>0</v>
      </c>
      <c r="J302" s="330">
        <f>0+'táj.2.'!J302</f>
        <v>0</v>
      </c>
      <c r="K302" s="330">
        <f>0+'táj.2.'!K302</f>
        <v>0</v>
      </c>
      <c r="L302" s="330">
        <f>0+'táj.2.'!L302</f>
        <v>0</v>
      </c>
      <c r="M302" s="330">
        <f>10000+'táj.2.'!M302</f>
        <v>10000</v>
      </c>
      <c r="N302" s="330">
        <f>0+'táj.2.'!N302</f>
        <v>0</v>
      </c>
      <c r="O302" s="330">
        <f>0+'táj.2.'!O302</f>
        <v>0</v>
      </c>
      <c r="P302" s="330">
        <f>0+'táj.2.'!P302</f>
        <v>0</v>
      </c>
      <c r="Q302" s="330">
        <f t="shared" si="17"/>
        <v>10000</v>
      </c>
    </row>
    <row r="303" spans="1:17" ht="12.75" customHeight="1">
      <c r="A303" s="346"/>
      <c r="B303" s="346"/>
      <c r="C303" s="144"/>
      <c r="D303" s="24" t="s">
        <v>286</v>
      </c>
      <c r="E303" s="681"/>
      <c r="F303" s="23"/>
      <c r="G303" s="330"/>
      <c r="H303" s="329"/>
      <c r="I303" s="329"/>
      <c r="J303" s="329"/>
      <c r="K303" s="329"/>
      <c r="L303" s="330"/>
      <c r="M303" s="330"/>
      <c r="N303" s="330"/>
      <c r="O303" s="329"/>
      <c r="P303" s="329"/>
      <c r="Q303" s="330"/>
    </row>
    <row r="304" spans="1:17" ht="15.75" customHeight="1">
      <c r="A304" s="346"/>
      <c r="B304" s="346"/>
      <c r="C304" s="144" t="s">
        <v>492</v>
      </c>
      <c r="D304" s="100" t="s">
        <v>4</v>
      </c>
      <c r="E304" s="681"/>
      <c r="F304" s="23">
        <v>152120</v>
      </c>
      <c r="G304" s="330">
        <f>0+'táj.2.'!G304</f>
        <v>0</v>
      </c>
      <c r="H304" s="330">
        <f>0+'táj.2.'!H304</f>
        <v>0</v>
      </c>
      <c r="I304" s="330">
        <f>0+'táj.2.'!I304</f>
        <v>0</v>
      </c>
      <c r="J304" s="330">
        <f>0+'táj.2.'!J304</f>
        <v>0</v>
      </c>
      <c r="K304" s="330">
        <f>0+'táj.2.'!K304</f>
        <v>0</v>
      </c>
      <c r="L304" s="330">
        <f>15500+'táj.2.'!L304</f>
        <v>15500</v>
      </c>
      <c r="M304" s="330">
        <f>0+'táj.2.'!M304</f>
        <v>0</v>
      </c>
      <c r="N304" s="330">
        <f>0+'táj.2.'!N304</f>
        <v>0</v>
      </c>
      <c r="O304" s="330">
        <f>0+'táj.2.'!O304</f>
        <v>0</v>
      </c>
      <c r="P304" s="330">
        <f>0+'táj.2.'!P304</f>
        <v>0</v>
      </c>
      <c r="Q304" s="330">
        <f aca="true" t="shared" si="18" ref="Q304:Q317">SUM(G304:P304)</f>
        <v>15500</v>
      </c>
    </row>
    <row r="305" spans="1:17" ht="15" customHeight="1">
      <c r="A305" s="346"/>
      <c r="B305" s="346"/>
      <c r="C305" s="144" t="s">
        <v>520</v>
      </c>
      <c r="D305" s="100" t="s">
        <v>412</v>
      </c>
      <c r="E305" s="681"/>
      <c r="F305" s="23">
        <v>152121</v>
      </c>
      <c r="G305" s="330">
        <f>0+'táj.2.'!G305</f>
        <v>0</v>
      </c>
      <c r="H305" s="330">
        <f>0+'táj.2.'!H305</f>
        <v>0</v>
      </c>
      <c r="I305" s="330">
        <f>0+'táj.2.'!I305</f>
        <v>0</v>
      </c>
      <c r="J305" s="330">
        <f>0+'táj.2.'!J305</f>
        <v>0</v>
      </c>
      <c r="K305" s="330">
        <f>0+'táj.2.'!K305</f>
        <v>0</v>
      </c>
      <c r="L305" s="330">
        <f>991+'táj.2.'!L305</f>
        <v>991</v>
      </c>
      <c r="M305" s="330">
        <f>0+'táj.2.'!M305</f>
        <v>0</v>
      </c>
      <c r="N305" s="330">
        <f>0+'táj.2.'!N305</f>
        <v>0</v>
      </c>
      <c r="O305" s="330">
        <f>0+'táj.2.'!O305</f>
        <v>0</v>
      </c>
      <c r="P305" s="330">
        <f>0+'táj.2.'!P305</f>
        <v>0</v>
      </c>
      <c r="Q305" s="330">
        <f t="shared" si="18"/>
        <v>991</v>
      </c>
    </row>
    <row r="306" spans="1:17" ht="25.5" customHeight="1">
      <c r="A306" s="346"/>
      <c r="B306" s="346"/>
      <c r="C306" s="144" t="s">
        <v>521</v>
      </c>
      <c r="D306" s="495" t="s">
        <v>696</v>
      </c>
      <c r="E306" s="681"/>
      <c r="F306" s="23">
        <v>152105</v>
      </c>
      <c r="G306" s="330">
        <f>0+'táj.2.'!G306</f>
        <v>0</v>
      </c>
      <c r="H306" s="330">
        <f>0+'táj.2.'!H306</f>
        <v>0</v>
      </c>
      <c r="I306" s="330">
        <f>0+'táj.2.'!I306</f>
        <v>0</v>
      </c>
      <c r="J306" s="330">
        <f>0+'táj.2.'!J306</f>
        <v>0</v>
      </c>
      <c r="K306" s="330">
        <f>0+'táj.2.'!K306</f>
        <v>0</v>
      </c>
      <c r="L306" s="330">
        <f>18326+'táj.2.'!L306</f>
        <v>18326</v>
      </c>
      <c r="M306" s="330">
        <f>0+'táj.2.'!M306</f>
        <v>0</v>
      </c>
      <c r="N306" s="330">
        <f>0+'táj.2.'!N306</f>
        <v>0</v>
      </c>
      <c r="O306" s="330">
        <f>0+'táj.2.'!O306</f>
        <v>0</v>
      </c>
      <c r="P306" s="330">
        <f>0+'táj.2.'!P306</f>
        <v>0</v>
      </c>
      <c r="Q306" s="330">
        <f t="shared" si="18"/>
        <v>18326</v>
      </c>
    </row>
    <row r="307" spans="1:17" ht="16.5" customHeight="1">
      <c r="A307" s="346"/>
      <c r="B307" s="346"/>
      <c r="C307" s="144" t="s">
        <v>522</v>
      </c>
      <c r="D307" s="490" t="s">
        <v>457</v>
      </c>
      <c r="E307" s="681"/>
      <c r="F307" s="23">
        <v>154108</v>
      </c>
      <c r="G307" s="330">
        <f>0+'táj.2.'!G307</f>
        <v>0</v>
      </c>
      <c r="H307" s="330">
        <f>0+'táj.2.'!H307</f>
        <v>0</v>
      </c>
      <c r="I307" s="330">
        <f>0+'táj.2.'!I307</f>
        <v>0</v>
      </c>
      <c r="J307" s="330">
        <f>0+'táj.2.'!J307</f>
        <v>0</v>
      </c>
      <c r="K307" s="330">
        <f>0+'táj.2.'!K307</f>
        <v>0</v>
      </c>
      <c r="L307" s="330">
        <f>2000+'táj.2.'!L307</f>
        <v>2000</v>
      </c>
      <c r="M307" s="330">
        <f>0+'táj.2.'!M307</f>
        <v>0</v>
      </c>
      <c r="N307" s="330">
        <f>0+'táj.2.'!N307</f>
        <v>0</v>
      </c>
      <c r="O307" s="330">
        <f>0+'táj.2.'!O307</f>
        <v>0</v>
      </c>
      <c r="P307" s="330">
        <f>0+'táj.2.'!P307</f>
        <v>0</v>
      </c>
      <c r="Q307" s="330">
        <f t="shared" si="18"/>
        <v>2000</v>
      </c>
    </row>
    <row r="308" spans="1:17" ht="16.5" customHeight="1">
      <c r="A308" s="346"/>
      <c r="B308" s="346"/>
      <c r="C308" s="144" t="s">
        <v>448</v>
      </c>
      <c r="D308" s="491" t="s">
        <v>456</v>
      </c>
      <c r="E308" s="681"/>
      <c r="F308" s="23">
        <v>154107</v>
      </c>
      <c r="G308" s="330">
        <f>0+'táj.2.'!G308</f>
        <v>0</v>
      </c>
      <c r="H308" s="330">
        <f>0+'táj.2.'!H308</f>
        <v>0</v>
      </c>
      <c r="I308" s="330">
        <f>0+'táj.2.'!I308</f>
        <v>0</v>
      </c>
      <c r="J308" s="330">
        <f>0+'táj.2.'!J308</f>
        <v>0</v>
      </c>
      <c r="K308" s="330">
        <f>0+'táj.2.'!K308</f>
        <v>0</v>
      </c>
      <c r="L308" s="330">
        <f>4000+'táj.2.'!L308</f>
        <v>4000</v>
      </c>
      <c r="M308" s="330">
        <f>0+'táj.2.'!M308</f>
        <v>0</v>
      </c>
      <c r="N308" s="330">
        <f>0+'táj.2.'!N308</f>
        <v>0</v>
      </c>
      <c r="O308" s="330">
        <f>0+'táj.2.'!O308</f>
        <v>0</v>
      </c>
      <c r="P308" s="330">
        <f>0+'táj.2.'!P308</f>
        <v>0</v>
      </c>
      <c r="Q308" s="330">
        <f t="shared" si="18"/>
        <v>4000</v>
      </c>
    </row>
    <row r="309" spans="1:17" ht="27" customHeight="1">
      <c r="A309" s="346"/>
      <c r="B309" s="346"/>
      <c r="C309" s="144" t="s">
        <v>449</v>
      </c>
      <c r="D309" s="496" t="s">
        <v>735</v>
      </c>
      <c r="E309" s="681"/>
      <c r="F309" s="23">
        <v>152108</v>
      </c>
      <c r="G309" s="330">
        <f>0+'táj.2.'!G309</f>
        <v>0</v>
      </c>
      <c r="H309" s="330">
        <f>0+'táj.2.'!H309</f>
        <v>0</v>
      </c>
      <c r="I309" s="330">
        <f>0+'táj.2.'!I309</f>
        <v>0</v>
      </c>
      <c r="J309" s="330">
        <f>0+'táj.2.'!J309</f>
        <v>0</v>
      </c>
      <c r="K309" s="330">
        <f>0+'táj.2.'!K309</f>
        <v>0</v>
      </c>
      <c r="L309" s="330">
        <f>6700+'táj.2.'!L309</f>
        <v>6700</v>
      </c>
      <c r="M309" s="330">
        <f>0+'táj.2.'!M309</f>
        <v>0</v>
      </c>
      <c r="N309" s="330">
        <f>0+'táj.2.'!N309</f>
        <v>0</v>
      </c>
      <c r="O309" s="330">
        <f>0+'táj.2.'!O309</f>
        <v>0</v>
      </c>
      <c r="P309" s="330">
        <f>0+'táj.2.'!P309</f>
        <v>0</v>
      </c>
      <c r="Q309" s="25">
        <f t="shared" si="18"/>
        <v>6700</v>
      </c>
    </row>
    <row r="310" spans="1:17" ht="37.5" customHeight="1">
      <c r="A310" s="346"/>
      <c r="B310" s="346"/>
      <c r="C310" s="144" t="s">
        <v>731</v>
      </c>
      <c r="D310" s="161" t="s">
        <v>737</v>
      </c>
      <c r="E310" s="681"/>
      <c r="F310" s="23">
        <v>152117</v>
      </c>
      <c r="G310" s="330">
        <f>0+'táj.2.'!G310</f>
        <v>0</v>
      </c>
      <c r="H310" s="330">
        <f>0+'táj.2.'!H310</f>
        <v>0</v>
      </c>
      <c r="I310" s="330">
        <f>0+'táj.2.'!I310</f>
        <v>0</v>
      </c>
      <c r="J310" s="330">
        <f>0+'táj.2.'!J310</f>
        <v>0</v>
      </c>
      <c r="K310" s="330">
        <f>0+'táj.2.'!K310</f>
        <v>0</v>
      </c>
      <c r="L310" s="330">
        <f>0+'táj.2.'!L310</f>
        <v>0</v>
      </c>
      <c r="M310" s="330">
        <f>246380+'táj.2.'!M310</f>
        <v>246380</v>
      </c>
      <c r="N310" s="330">
        <f>0+'táj.2.'!N310</f>
        <v>0</v>
      </c>
      <c r="O310" s="330">
        <f>0+'táj.2.'!O310</f>
        <v>0</v>
      </c>
      <c r="P310" s="330">
        <f>0+'táj.2.'!P310</f>
        <v>0</v>
      </c>
      <c r="Q310" s="330">
        <f t="shared" si="18"/>
        <v>246380</v>
      </c>
    </row>
    <row r="311" spans="1:17" ht="36" customHeight="1">
      <c r="A311" s="346"/>
      <c r="B311" s="346"/>
      <c r="C311" s="144" t="s">
        <v>736</v>
      </c>
      <c r="D311" s="161" t="s">
        <v>739</v>
      </c>
      <c r="E311" s="681"/>
      <c r="F311" s="23">
        <v>152117</v>
      </c>
      <c r="G311" s="330">
        <f>0+'táj.2.'!G311</f>
        <v>0</v>
      </c>
      <c r="H311" s="330">
        <f>0+'táj.2.'!H311</f>
        <v>0</v>
      </c>
      <c r="I311" s="330">
        <f>0+'táj.2.'!I311</f>
        <v>0</v>
      </c>
      <c r="J311" s="330">
        <f>0+'táj.2.'!J311</f>
        <v>0</v>
      </c>
      <c r="K311" s="330">
        <f>0+'táj.2.'!K311</f>
        <v>0</v>
      </c>
      <c r="L311" s="330">
        <f>0+'táj.2.'!L311</f>
        <v>0</v>
      </c>
      <c r="M311" s="330">
        <f>0+'táj.2.'!M311</f>
        <v>0</v>
      </c>
      <c r="N311" s="330">
        <f>194000+'táj.2.'!N311</f>
        <v>194000</v>
      </c>
      <c r="O311" s="330">
        <f>0+'táj.2.'!O311</f>
        <v>0</v>
      </c>
      <c r="P311" s="330">
        <f>0+'táj.2.'!P311</f>
        <v>0</v>
      </c>
      <c r="Q311" s="330">
        <f t="shared" si="18"/>
        <v>194000</v>
      </c>
    </row>
    <row r="312" spans="1:17" ht="12.75" customHeight="1">
      <c r="A312" s="346"/>
      <c r="B312" s="346"/>
      <c r="C312" s="346">
        <v>2</v>
      </c>
      <c r="D312" s="497" t="s">
        <v>740</v>
      </c>
      <c r="E312" s="681"/>
      <c r="F312" s="23"/>
      <c r="G312" s="330"/>
      <c r="H312" s="329"/>
      <c r="I312" s="329"/>
      <c r="J312" s="329"/>
      <c r="K312" s="329"/>
      <c r="L312" s="330"/>
      <c r="M312" s="330"/>
      <c r="N312" s="330"/>
      <c r="O312" s="329"/>
      <c r="P312" s="329"/>
      <c r="Q312" s="330"/>
    </row>
    <row r="313" spans="1:17" ht="12.75" customHeight="1">
      <c r="A313" s="346"/>
      <c r="B313" s="346"/>
      <c r="C313" s="144" t="s">
        <v>596</v>
      </c>
      <c r="D313" s="347" t="s">
        <v>474</v>
      </c>
      <c r="E313" s="681"/>
      <c r="F313" s="23">
        <v>152201</v>
      </c>
      <c r="G313" s="330">
        <f>0+'táj.2.'!G313</f>
        <v>0</v>
      </c>
      <c r="H313" s="330">
        <f>0+'táj.2.'!H313</f>
        <v>0</v>
      </c>
      <c r="I313" s="330">
        <f>0+'táj.2.'!I313</f>
        <v>0</v>
      </c>
      <c r="J313" s="330">
        <f>0+'táj.2.'!J313</f>
        <v>0</v>
      </c>
      <c r="K313" s="330">
        <f>0+'táj.2.'!K313</f>
        <v>0</v>
      </c>
      <c r="L313" s="330">
        <f>2000+'táj.2.'!L313</f>
        <v>2000</v>
      </c>
      <c r="M313" s="330">
        <f>0+'táj.2.'!M313</f>
        <v>0</v>
      </c>
      <c r="N313" s="330">
        <f>0+'táj.2.'!N313</f>
        <v>0</v>
      </c>
      <c r="O313" s="330">
        <f>0+'táj.2.'!O313</f>
        <v>0</v>
      </c>
      <c r="P313" s="330">
        <f>0+'táj.2.'!P313</f>
        <v>0</v>
      </c>
      <c r="Q313" s="330">
        <f t="shared" si="18"/>
        <v>2000</v>
      </c>
    </row>
    <row r="314" spans="1:17" ht="12.75" customHeight="1">
      <c r="A314" s="346"/>
      <c r="B314" s="346"/>
      <c r="C314" s="144" t="s">
        <v>473</v>
      </c>
      <c r="D314" s="347" t="s">
        <v>741</v>
      </c>
      <c r="E314" s="681"/>
      <c r="F314" s="23">
        <v>152205</v>
      </c>
      <c r="G314" s="330">
        <f>0+'táj.2.'!G314</f>
        <v>0</v>
      </c>
      <c r="H314" s="330">
        <f>0+'táj.2.'!H314</f>
        <v>0</v>
      </c>
      <c r="I314" s="330">
        <f>0+'táj.2.'!I314</f>
        <v>0</v>
      </c>
      <c r="J314" s="330">
        <f>0+'táj.2.'!J314</f>
        <v>0</v>
      </c>
      <c r="K314" s="330">
        <f>0+'táj.2.'!K314</f>
        <v>0</v>
      </c>
      <c r="L314" s="330">
        <f>17000+'táj.2.'!L314</f>
        <v>17000</v>
      </c>
      <c r="M314" s="330">
        <f>0+'táj.2.'!M314</f>
        <v>0</v>
      </c>
      <c r="N314" s="330">
        <f>0+'táj.2.'!N314</f>
        <v>0</v>
      </c>
      <c r="O314" s="330">
        <f>0+'táj.2.'!O314</f>
        <v>0</v>
      </c>
      <c r="P314" s="330">
        <f>0+'táj.2.'!P314</f>
        <v>0</v>
      </c>
      <c r="Q314" s="330">
        <f t="shared" si="18"/>
        <v>17000</v>
      </c>
    </row>
    <row r="315" spans="1:17" ht="12.75" customHeight="1">
      <c r="A315" s="346"/>
      <c r="B315" s="346"/>
      <c r="C315" s="346"/>
      <c r="D315" s="24" t="s">
        <v>286</v>
      </c>
      <c r="E315" s="681"/>
      <c r="F315" s="23"/>
      <c r="G315" s="330"/>
      <c r="H315" s="329"/>
      <c r="I315" s="329"/>
      <c r="J315" s="329"/>
      <c r="K315" s="329"/>
      <c r="L315" s="330"/>
      <c r="M315" s="330"/>
      <c r="N315" s="330"/>
      <c r="O315" s="329"/>
      <c r="P315" s="329"/>
      <c r="Q315" s="330"/>
    </row>
    <row r="316" spans="1:17" ht="25.5" customHeight="1">
      <c r="A316" s="346"/>
      <c r="B316" s="346"/>
      <c r="C316" s="144" t="s">
        <v>742</v>
      </c>
      <c r="D316" s="161" t="s">
        <v>743</v>
      </c>
      <c r="E316" s="681"/>
      <c r="F316" s="23">
        <v>152203</v>
      </c>
      <c r="G316" s="330">
        <f>0+'táj.2.'!G316</f>
        <v>0</v>
      </c>
      <c r="H316" s="330">
        <f>0+'táj.2.'!H316</f>
        <v>0</v>
      </c>
      <c r="I316" s="330">
        <f>0+'táj.2.'!I316</f>
        <v>0</v>
      </c>
      <c r="J316" s="330">
        <f>0+'táj.2.'!J316</f>
        <v>0</v>
      </c>
      <c r="K316" s="330">
        <f>0+'táj.2.'!K316</f>
        <v>0</v>
      </c>
      <c r="L316" s="330">
        <f>0+'táj.2.'!L316</f>
        <v>0</v>
      </c>
      <c r="M316" s="330">
        <f>0+'táj.2.'!M316</f>
        <v>0</v>
      </c>
      <c r="N316" s="330">
        <f>92577+'táj.2.'!N316</f>
        <v>92577</v>
      </c>
      <c r="O316" s="330">
        <f>0+'táj.2.'!O316</f>
        <v>0</v>
      </c>
      <c r="P316" s="330">
        <f>0+'táj.2.'!P316</f>
        <v>0</v>
      </c>
      <c r="Q316" s="330">
        <f t="shared" si="18"/>
        <v>92577</v>
      </c>
    </row>
    <row r="317" spans="1:17" ht="23.25" customHeight="1">
      <c r="A317" s="346"/>
      <c r="B317" s="346"/>
      <c r="C317" s="144" t="s">
        <v>744</v>
      </c>
      <c r="D317" s="161" t="s">
        <v>650</v>
      </c>
      <c r="E317" s="681"/>
      <c r="F317" s="23">
        <v>152204</v>
      </c>
      <c r="G317" s="330">
        <f>0+'táj.2.'!G317</f>
        <v>0</v>
      </c>
      <c r="H317" s="330">
        <f>0+'táj.2.'!H317</f>
        <v>0</v>
      </c>
      <c r="I317" s="330">
        <f>0+'táj.2.'!I317</f>
        <v>0</v>
      </c>
      <c r="J317" s="330">
        <f>0+'táj.2.'!J317</f>
        <v>0</v>
      </c>
      <c r="K317" s="330">
        <f>0+'táj.2.'!K317</f>
        <v>0</v>
      </c>
      <c r="L317" s="330">
        <f>0+'táj.2.'!L317</f>
        <v>0</v>
      </c>
      <c r="M317" s="330">
        <f>0+'táj.2.'!M317</f>
        <v>0</v>
      </c>
      <c r="N317" s="330">
        <f>341840+'táj.2.'!N317</f>
        <v>341840</v>
      </c>
      <c r="O317" s="330">
        <f>0+'táj.2.'!O317</f>
        <v>0</v>
      </c>
      <c r="P317" s="330">
        <f>0+'táj.2.'!P317</f>
        <v>0</v>
      </c>
      <c r="Q317" s="330">
        <f t="shared" si="18"/>
        <v>341840</v>
      </c>
    </row>
    <row r="318" spans="1:17" ht="12.75" customHeight="1">
      <c r="A318" s="346"/>
      <c r="B318" s="346"/>
      <c r="C318" s="346" t="s">
        <v>597</v>
      </c>
      <c r="D318" s="498" t="s">
        <v>745</v>
      </c>
      <c r="E318" s="681"/>
      <c r="F318" s="23"/>
      <c r="G318" s="330"/>
      <c r="H318" s="329"/>
      <c r="I318" s="329"/>
      <c r="J318" s="329"/>
      <c r="K318" s="329"/>
      <c r="L318" s="330"/>
      <c r="M318" s="330"/>
      <c r="N318" s="330"/>
      <c r="O318" s="329"/>
      <c r="P318" s="329"/>
      <c r="Q318" s="330"/>
    </row>
    <row r="319" spans="1:17" ht="12.75" customHeight="1">
      <c r="A319" s="346"/>
      <c r="B319" s="346"/>
      <c r="C319" s="144" t="s">
        <v>601</v>
      </c>
      <c r="D319" s="351" t="s">
        <v>746</v>
      </c>
      <c r="E319" s="681"/>
      <c r="F319" s="23">
        <v>152316</v>
      </c>
      <c r="G319" s="330">
        <f>0+'táj.2.'!G319</f>
        <v>0</v>
      </c>
      <c r="H319" s="330">
        <f>0+'táj.2.'!H319</f>
        <v>0</v>
      </c>
      <c r="I319" s="330">
        <f>0+'táj.2.'!I319</f>
        <v>0</v>
      </c>
      <c r="J319" s="330">
        <f>0+'táj.2.'!J319</f>
        <v>0</v>
      </c>
      <c r="K319" s="330">
        <f>0+'táj.2.'!K319</f>
        <v>0</v>
      </c>
      <c r="L319" s="330">
        <f>800+'táj.2.'!L319</f>
        <v>800</v>
      </c>
      <c r="M319" s="330">
        <f>0+'táj.2.'!M319</f>
        <v>0</v>
      </c>
      <c r="N319" s="330">
        <f>0+'táj.2.'!N319</f>
        <v>0</v>
      </c>
      <c r="O319" s="330">
        <f>0+'táj.2.'!O319</f>
        <v>0</v>
      </c>
      <c r="P319" s="330">
        <f>0+'táj.2.'!P319</f>
        <v>0</v>
      </c>
      <c r="Q319" s="330">
        <f aca="true" t="shared" si="19" ref="Q319:Q325">SUM(G319:P319)</f>
        <v>800</v>
      </c>
    </row>
    <row r="320" spans="1:17" ht="12.75" customHeight="1">
      <c r="A320" s="346"/>
      <c r="B320" s="346"/>
      <c r="C320" s="144" t="s">
        <v>602</v>
      </c>
      <c r="D320" s="351" t="s">
        <v>747</v>
      </c>
      <c r="E320" s="681"/>
      <c r="F320" s="23">
        <v>152320</v>
      </c>
      <c r="G320" s="330">
        <f>0+'táj.2.'!G320</f>
        <v>0</v>
      </c>
      <c r="H320" s="330">
        <f>0+'táj.2.'!H320</f>
        <v>0</v>
      </c>
      <c r="I320" s="330">
        <f>0+'táj.2.'!I320</f>
        <v>0</v>
      </c>
      <c r="J320" s="330">
        <f>0+'táj.2.'!J320</f>
        <v>0</v>
      </c>
      <c r="K320" s="330">
        <f>0+'táj.2.'!K320</f>
        <v>0</v>
      </c>
      <c r="L320" s="330">
        <f>150+'táj.2.'!L320</f>
        <v>150</v>
      </c>
      <c r="M320" s="330">
        <f>0+'táj.2.'!M320</f>
        <v>0</v>
      </c>
      <c r="N320" s="330">
        <f>0+'táj.2.'!N320</f>
        <v>0</v>
      </c>
      <c r="O320" s="330">
        <f>0+'táj.2.'!O320</f>
        <v>0</v>
      </c>
      <c r="P320" s="330">
        <f>0+'táj.2.'!P320</f>
        <v>0</v>
      </c>
      <c r="Q320" s="330">
        <f t="shared" si="19"/>
        <v>150</v>
      </c>
    </row>
    <row r="321" spans="1:17" ht="12.75" customHeight="1">
      <c r="A321" s="346"/>
      <c r="B321" s="346"/>
      <c r="C321" s="144" t="s">
        <v>624</v>
      </c>
      <c r="D321" s="503" t="s">
        <v>748</v>
      </c>
      <c r="E321" s="681"/>
      <c r="F321" s="23">
        <v>152321</v>
      </c>
      <c r="G321" s="330">
        <f>0+'táj.2.'!G321</f>
        <v>0</v>
      </c>
      <c r="H321" s="330">
        <f>0+'táj.2.'!H321</f>
        <v>0</v>
      </c>
      <c r="I321" s="330">
        <f>0+'táj.2.'!I321</f>
        <v>0</v>
      </c>
      <c r="J321" s="330">
        <f>0+'táj.2.'!J321</f>
        <v>0</v>
      </c>
      <c r="K321" s="330">
        <f>0+'táj.2.'!K321</f>
        <v>0</v>
      </c>
      <c r="L321" s="330">
        <f>800+'táj.2.'!L321</f>
        <v>800</v>
      </c>
      <c r="M321" s="330">
        <f>0+'táj.2.'!M321</f>
        <v>0</v>
      </c>
      <c r="N321" s="330">
        <f>0+'táj.2.'!N321</f>
        <v>0</v>
      </c>
      <c r="O321" s="330">
        <f>0+'táj.2.'!O321</f>
        <v>0</v>
      </c>
      <c r="P321" s="330">
        <f>0+'táj.2.'!P321</f>
        <v>0</v>
      </c>
      <c r="Q321" s="330">
        <f t="shared" si="19"/>
        <v>800</v>
      </c>
    </row>
    <row r="322" spans="1:17" ht="12.75" customHeight="1">
      <c r="A322" s="346"/>
      <c r="B322" s="346"/>
      <c r="C322" s="144" t="s">
        <v>481</v>
      </c>
      <c r="D322" s="504" t="s">
        <v>749</v>
      </c>
      <c r="E322" s="681"/>
      <c r="F322" s="23">
        <v>152322</v>
      </c>
      <c r="G322" s="330">
        <f>0+'táj.2.'!G322</f>
        <v>0</v>
      </c>
      <c r="H322" s="330">
        <f>0+'táj.2.'!H322</f>
        <v>0</v>
      </c>
      <c r="I322" s="330">
        <f>0+'táj.2.'!I322</f>
        <v>0</v>
      </c>
      <c r="J322" s="330">
        <f>0+'táj.2.'!J322</f>
        <v>0</v>
      </c>
      <c r="K322" s="330">
        <f>0+'táj.2.'!K322</f>
        <v>0</v>
      </c>
      <c r="L322" s="330">
        <f>700+'táj.2.'!L322</f>
        <v>700</v>
      </c>
      <c r="M322" s="330">
        <f>0+'táj.2.'!M322</f>
        <v>0</v>
      </c>
      <c r="N322" s="330">
        <f>0+'táj.2.'!N322</f>
        <v>0</v>
      </c>
      <c r="O322" s="330">
        <f>0+'táj.2.'!O322</f>
        <v>0</v>
      </c>
      <c r="P322" s="330">
        <f>0+'táj.2.'!P322</f>
        <v>0</v>
      </c>
      <c r="Q322" s="330">
        <f t="shared" si="19"/>
        <v>700</v>
      </c>
    </row>
    <row r="323" spans="1:17" ht="12.75" customHeight="1">
      <c r="A323" s="346"/>
      <c r="B323" s="346"/>
      <c r="C323" s="144" t="s">
        <v>385</v>
      </c>
      <c r="D323" s="505" t="s">
        <v>750</v>
      </c>
      <c r="E323" s="681"/>
      <c r="F323" s="23">
        <v>152323</v>
      </c>
      <c r="G323" s="330">
        <f>0+'táj.2.'!G323</f>
        <v>0</v>
      </c>
      <c r="H323" s="330">
        <f>0+'táj.2.'!H323</f>
        <v>0</v>
      </c>
      <c r="I323" s="330">
        <f>0+'táj.2.'!I323</f>
        <v>0</v>
      </c>
      <c r="J323" s="330">
        <f>0+'táj.2.'!J323</f>
        <v>0</v>
      </c>
      <c r="K323" s="330">
        <f>0+'táj.2.'!K323</f>
        <v>0</v>
      </c>
      <c r="L323" s="330">
        <f>2800+'táj.2.'!L323</f>
        <v>2800</v>
      </c>
      <c r="M323" s="330">
        <f>0+'táj.2.'!M323</f>
        <v>0</v>
      </c>
      <c r="N323" s="330">
        <f>0+'táj.2.'!N323</f>
        <v>0</v>
      </c>
      <c r="O323" s="330">
        <f>0+'táj.2.'!O323</f>
        <v>0</v>
      </c>
      <c r="P323" s="330">
        <f>0+'táj.2.'!P323</f>
        <v>0</v>
      </c>
      <c r="Q323" s="330">
        <f t="shared" si="19"/>
        <v>2800</v>
      </c>
    </row>
    <row r="324" spans="1:17" ht="12.75" customHeight="1">
      <c r="A324" s="346"/>
      <c r="B324" s="346"/>
      <c r="C324" s="144" t="s">
        <v>386</v>
      </c>
      <c r="D324" s="505" t="s">
        <v>751</v>
      </c>
      <c r="E324" s="681"/>
      <c r="F324" s="23">
        <v>152319</v>
      </c>
      <c r="G324" s="330">
        <f>0+'táj.2.'!G324</f>
        <v>0</v>
      </c>
      <c r="H324" s="330">
        <f>0+'táj.2.'!H324</f>
        <v>0</v>
      </c>
      <c r="I324" s="330">
        <f>0+'táj.2.'!I324</f>
        <v>0</v>
      </c>
      <c r="J324" s="330">
        <f>0+'táj.2.'!J324</f>
        <v>0</v>
      </c>
      <c r="K324" s="330">
        <f>0+'táj.2.'!K324</f>
        <v>0</v>
      </c>
      <c r="L324" s="330">
        <f>691+'táj.2.'!L324</f>
        <v>691</v>
      </c>
      <c r="M324" s="330">
        <f>0+'táj.2.'!M324</f>
        <v>0</v>
      </c>
      <c r="N324" s="330">
        <f>0+'táj.2.'!N324</f>
        <v>0</v>
      </c>
      <c r="O324" s="330">
        <f>0+'táj.2.'!O324</f>
        <v>0</v>
      </c>
      <c r="P324" s="330">
        <f>0+'táj.2.'!P324</f>
        <v>0</v>
      </c>
      <c r="Q324" s="330">
        <f t="shared" si="19"/>
        <v>691</v>
      </c>
    </row>
    <row r="325" spans="1:17" ht="12.75" customHeight="1">
      <c r="A325" s="346"/>
      <c r="B325" s="346"/>
      <c r="C325" s="144" t="s">
        <v>387</v>
      </c>
      <c r="D325" s="505" t="s">
        <v>752</v>
      </c>
      <c r="E325" s="681"/>
      <c r="F325" s="23">
        <v>152324</v>
      </c>
      <c r="G325" s="330">
        <f>0+'táj.2.'!G325</f>
        <v>0</v>
      </c>
      <c r="H325" s="330">
        <f>0+'táj.2.'!H325</f>
        <v>0</v>
      </c>
      <c r="I325" s="330">
        <f>0+'táj.2.'!I325</f>
        <v>0</v>
      </c>
      <c r="J325" s="330">
        <f>0+'táj.2.'!J325</f>
        <v>0</v>
      </c>
      <c r="K325" s="330">
        <f>0+'táj.2.'!K325</f>
        <v>0</v>
      </c>
      <c r="L325" s="330">
        <f>150+'táj.2.'!L325</f>
        <v>150</v>
      </c>
      <c r="M325" s="330">
        <f>0+'táj.2.'!M325</f>
        <v>0</v>
      </c>
      <c r="N325" s="330">
        <f>0+'táj.2.'!N325</f>
        <v>0</v>
      </c>
      <c r="O325" s="330">
        <f>0+'táj.2.'!O325</f>
        <v>0</v>
      </c>
      <c r="P325" s="330">
        <f>0+'táj.2.'!P325</f>
        <v>0</v>
      </c>
      <c r="Q325" s="330">
        <f t="shared" si="19"/>
        <v>150</v>
      </c>
    </row>
    <row r="326" spans="1:17" ht="12.75" customHeight="1">
      <c r="A326" s="346"/>
      <c r="B326" s="346"/>
      <c r="C326" s="346"/>
      <c r="D326" s="24" t="s">
        <v>286</v>
      </c>
      <c r="E326" s="681"/>
      <c r="F326" s="23"/>
      <c r="G326" s="330"/>
      <c r="H326" s="329"/>
      <c r="I326" s="329"/>
      <c r="J326" s="329"/>
      <c r="K326" s="329"/>
      <c r="L326" s="330"/>
      <c r="M326" s="330"/>
      <c r="N326" s="330"/>
      <c r="O326" s="329"/>
      <c r="P326" s="329"/>
      <c r="Q326" s="330"/>
    </row>
    <row r="327" spans="1:17" ht="12.75" customHeight="1">
      <c r="A327" s="346"/>
      <c r="B327" s="346"/>
      <c r="C327" s="144" t="s">
        <v>698</v>
      </c>
      <c r="D327" s="100" t="s">
        <v>697</v>
      </c>
      <c r="E327" s="681"/>
      <c r="F327" s="23">
        <v>152315</v>
      </c>
      <c r="G327" s="330">
        <f>0+'táj.2.'!G327</f>
        <v>0</v>
      </c>
      <c r="H327" s="330">
        <f>0+'táj.2.'!H327</f>
        <v>0</v>
      </c>
      <c r="I327" s="330">
        <f>0+'táj.2.'!I327</f>
        <v>0</v>
      </c>
      <c r="J327" s="330">
        <f>0+'táj.2.'!J327</f>
        <v>0</v>
      </c>
      <c r="K327" s="330">
        <f>0+'táj.2.'!K327</f>
        <v>0</v>
      </c>
      <c r="L327" s="330">
        <f>11765+'táj.2.'!L327</f>
        <v>11765</v>
      </c>
      <c r="M327" s="330">
        <f>0+'táj.2.'!M327</f>
        <v>0</v>
      </c>
      <c r="N327" s="330">
        <f>0+'táj.2.'!N327</f>
        <v>0</v>
      </c>
      <c r="O327" s="330">
        <f>0+'táj.2.'!O327</f>
        <v>0</v>
      </c>
      <c r="P327" s="330">
        <f>0+'táj.2.'!P327</f>
        <v>0</v>
      </c>
      <c r="Q327" s="330">
        <f>SUM(G327:P327)</f>
        <v>11765</v>
      </c>
    </row>
    <row r="328" spans="1:17" ht="12.75" customHeight="1">
      <c r="A328" s="346"/>
      <c r="B328" s="346"/>
      <c r="C328" s="346" t="s">
        <v>598</v>
      </c>
      <c r="D328" s="499" t="s">
        <v>753</v>
      </c>
      <c r="E328" s="681"/>
      <c r="F328" s="23"/>
      <c r="G328" s="330"/>
      <c r="H328" s="329"/>
      <c r="I328" s="329"/>
      <c r="J328" s="329"/>
      <c r="K328" s="329"/>
      <c r="L328" s="330"/>
      <c r="M328" s="330"/>
      <c r="N328" s="330"/>
      <c r="O328" s="329"/>
      <c r="P328" s="329"/>
      <c r="Q328" s="330"/>
    </row>
    <row r="329" spans="1:17" ht="12.75" customHeight="1">
      <c r="A329" s="346"/>
      <c r="B329" s="346"/>
      <c r="C329" s="144" t="s">
        <v>604</v>
      </c>
      <c r="D329" s="350" t="s">
        <v>754</v>
      </c>
      <c r="E329" s="681"/>
      <c r="F329" s="23">
        <v>152443</v>
      </c>
      <c r="G329" s="330">
        <f>0+'táj.2.'!G329</f>
        <v>0</v>
      </c>
      <c r="H329" s="330">
        <f>0+'táj.2.'!H329</f>
        <v>0</v>
      </c>
      <c r="I329" s="330">
        <f>0+'táj.2.'!I329</f>
        <v>0</v>
      </c>
      <c r="J329" s="330">
        <f>0+'táj.2.'!J329</f>
        <v>0</v>
      </c>
      <c r="K329" s="330">
        <f>0+'táj.2.'!K329</f>
        <v>0</v>
      </c>
      <c r="L329" s="330">
        <f>1200+'táj.2.'!L329</f>
        <v>1200</v>
      </c>
      <c r="M329" s="330">
        <f>0+'táj.2.'!M329</f>
        <v>0</v>
      </c>
      <c r="N329" s="330">
        <f>0+'táj.2.'!N329</f>
        <v>0</v>
      </c>
      <c r="O329" s="330">
        <f>0+'táj.2.'!O329</f>
        <v>0</v>
      </c>
      <c r="P329" s="330">
        <f>0+'táj.2.'!P329</f>
        <v>0</v>
      </c>
      <c r="Q329" s="330">
        <f aca="true" t="shared" si="20" ref="Q329:Q369">SUM(G329:P329)</f>
        <v>1200</v>
      </c>
    </row>
    <row r="330" spans="1:17" ht="12.75" customHeight="1">
      <c r="A330" s="346"/>
      <c r="B330" s="346"/>
      <c r="C330" s="144" t="s">
        <v>605</v>
      </c>
      <c r="D330" s="506" t="s">
        <v>1074</v>
      </c>
      <c r="E330" s="681"/>
      <c r="F330" s="23">
        <v>152444</v>
      </c>
      <c r="G330" s="330">
        <f>0+'táj.2.'!G330</f>
        <v>0</v>
      </c>
      <c r="H330" s="330">
        <f>0+'táj.2.'!H330</f>
        <v>0</v>
      </c>
      <c r="I330" s="330">
        <f>0+'táj.2.'!I330</f>
        <v>0</v>
      </c>
      <c r="J330" s="330">
        <f>0+'táj.2.'!J330</f>
        <v>0</v>
      </c>
      <c r="K330" s="330">
        <f>0+'táj.2.'!K330</f>
        <v>0</v>
      </c>
      <c r="L330" s="330">
        <f>2000+'táj.2.'!L330</f>
        <v>2000</v>
      </c>
      <c r="M330" s="330">
        <f>0+'táj.2.'!M330</f>
        <v>0</v>
      </c>
      <c r="N330" s="330">
        <f>0+'táj.2.'!N330</f>
        <v>0</v>
      </c>
      <c r="O330" s="330">
        <f>0+'táj.2.'!O330</f>
        <v>0</v>
      </c>
      <c r="P330" s="330">
        <f>0+'táj.2.'!P330</f>
        <v>0</v>
      </c>
      <c r="Q330" s="330">
        <f t="shared" si="20"/>
        <v>2000</v>
      </c>
    </row>
    <row r="331" spans="1:17" ht="12.75" customHeight="1">
      <c r="A331" s="346"/>
      <c r="B331" s="346"/>
      <c r="C331" s="144" t="s">
        <v>606</v>
      </c>
      <c r="D331" s="347" t="s">
        <v>756</v>
      </c>
      <c r="E331" s="681"/>
      <c r="F331" s="23">
        <v>152445</v>
      </c>
      <c r="G331" s="330">
        <f>0+'táj.2.'!G331</f>
        <v>0</v>
      </c>
      <c r="H331" s="330">
        <f>0+'táj.2.'!H331</f>
        <v>0</v>
      </c>
      <c r="I331" s="330">
        <f>0+'táj.2.'!I331</f>
        <v>0</v>
      </c>
      <c r="J331" s="330">
        <f>0+'táj.2.'!J331</f>
        <v>0</v>
      </c>
      <c r="K331" s="330">
        <f>0+'táj.2.'!K331</f>
        <v>0</v>
      </c>
      <c r="L331" s="330">
        <f>34000+'táj.2.'!L331</f>
        <v>34000</v>
      </c>
      <c r="M331" s="330">
        <f>0+'táj.2.'!M331</f>
        <v>0</v>
      </c>
      <c r="N331" s="330">
        <f>0+'táj.2.'!N331</f>
        <v>0</v>
      </c>
      <c r="O331" s="330">
        <f>0+'táj.2.'!O331</f>
        <v>0</v>
      </c>
      <c r="P331" s="330">
        <f>0+'táj.2.'!P331</f>
        <v>0</v>
      </c>
      <c r="Q331" s="330">
        <f t="shared" si="20"/>
        <v>34000</v>
      </c>
    </row>
    <row r="332" spans="1:17" ht="12.75" customHeight="1">
      <c r="A332" s="346"/>
      <c r="B332" s="346"/>
      <c r="C332" s="144" t="s">
        <v>607</v>
      </c>
      <c r="D332" s="100" t="s">
        <v>757</v>
      </c>
      <c r="E332" s="681"/>
      <c r="F332" s="23">
        <v>152446</v>
      </c>
      <c r="G332" s="330">
        <f>0+'táj.2.'!G332</f>
        <v>0</v>
      </c>
      <c r="H332" s="330">
        <f>0+'táj.2.'!H332</f>
        <v>0</v>
      </c>
      <c r="I332" s="330">
        <f>0+'táj.2.'!I332</f>
        <v>0</v>
      </c>
      <c r="J332" s="330">
        <f>0+'táj.2.'!J332</f>
        <v>0</v>
      </c>
      <c r="K332" s="330">
        <f>0+'táj.2.'!K332</f>
        <v>0</v>
      </c>
      <c r="L332" s="330">
        <f>9348+'táj.2.'!L332</f>
        <v>9348</v>
      </c>
      <c r="M332" s="330">
        <f>0+'táj.2.'!M332</f>
        <v>0</v>
      </c>
      <c r="N332" s="330">
        <f>0+'táj.2.'!N332</f>
        <v>0</v>
      </c>
      <c r="O332" s="330">
        <f>0+'táj.2.'!O332</f>
        <v>0</v>
      </c>
      <c r="P332" s="330">
        <f>0+'táj.2.'!P332</f>
        <v>0</v>
      </c>
      <c r="Q332" s="330">
        <f t="shared" si="20"/>
        <v>9348</v>
      </c>
    </row>
    <row r="333" spans="1:17" ht="12.75" customHeight="1">
      <c r="A333" s="346"/>
      <c r="B333" s="346"/>
      <c r="C333" s="144" t="s">
        <v>608</v>
      </c>
      <c r="D333" s="507" t="s">
        <v>758</v>
      </c>
      <c r="E333" s="681"/>
      <c r="F333" s="23">
        <v>154401</v>
      </c>
      <c r="G333" s="330">
        <f>0+'táj.2.'!G333</f>
        <v>0</v>
      </c>
      <c r="H333" s="330">
        <f>0+'táj.2.'!H333</f>
        <v>0</v>
      </c>
      <c r="I333" s="330">
        <f>0+'táj.2.'!I333</f>
        <v>0</v>
      </c>
      <c r="J333" s="330">
        <f>0+'táj.2.'!J333</f>
        <v>0</v>
      </c>
      <c r="K333" s="330">
        <f>0+'táj.2.'!K333</f>
        <v>0</v>
      </c>
      <c r="L333" s="330">
        <f>0+'táj.2.'!L333</f>
        <v>0</v>
      </c>
      <c r="M333" s="330">
        <f>6000+'táj.2.'!M333</f>
        <v>6000</v>
      </c>
      <c r="N333" s="330">
        <f>0+'táj.2.'!N333</f>
        <v>0</v>
      </c>
      <c r="O333" s="330">
        <f>0+'táj.2.'!O333</f>
        <v>0</v>
      </c>
      <c r="P333" s="330">
        <f>0+'táj.2.'!P333</f>
        <v>0</v>
      </c>
      <c r="Q333" s="330">
        <f t="shared" si="20"/>
        <v>6000</v>
      </c>
    </row>
    <row r="334" spans="1:17" ht="12.75" customHeight="1">
      <c r="A334" s="346"/>
      <c r="B334" s="346"/>
      <c r="C334" s="144" t="s">
        <v>609</v>
      </c>
      <c r="D334" s="508" t="s">
        <v>759</v>
      </c>
      <c r="E334" s="681"/>
      <c r="F334" s="23">
        <v>154402</v>
      </c>
      <c r="G334" s="330">
        <f>0+'táj.2.'!G334</f>
        <v>0</v>
      </c>
      <c r="H334" s="330">
        <f>0+'táj.2.'!H334</f>
        <v>0</v>
      </c>
      <c r="I334" s="330">
        <f>0+'táj.2.'!I334</f>
        <v>0</v>
      </c>
      <c r="J334" s="330">
        <f>0+'táj.2.'!J334</f>
        <v>0</v>
      </c>
      <c r="K334" s="330">
        <f>0+'táj.2.'!K334</f>
        <v>0</v>
      </c>
      <c r="L334" s="330">
        <f>0+'táj.2.'!L334</f>
        <v>0</v>
      </c>
      <c r="M334" s="330">
        <f>1000+'táj.2.'!M334</f>
        <v>1000</v>
      </c>
      <c r="N334" s="330">
        <f>0+'táj.2.'!N334</f>
        <v>0</v>
      </c>
      <c r="O334" s="330">
        <f>0+'táj.2.'!O334</f>
        <v>0</v>
      </c>
      <c r="P334" s="330">
        <f>0+'táj.2.'!P334</f>
        <v>0</v>
      </c>
      <c r="Q334" s="330">
        <f t="shared" si="20"/>
        <v>1000</v>
      </c>
    </row>
    <row r="335" spans="1:17" ht="12.75" customHeight="1">
      <c r="A335" s="346"/>
      <c r="B335" s="346"/>
      <c r="C335" s="144" t="s">
        <v>610</v>
      </c>
      <c r="D335" s="367" t="s">
        <v>760</v>
      </c>
      <c r="E335" s="681"/>
      <c r="F335" s="23">
        <v>154403</v>
      </c>
      <c r="G335" s="330">
        <f>0+'táj.2.'!G335</f>
        <v>0</v>
      </c>
      <c r="H335" s="330">
        <f>0+'táj.2.'!H335</f>
        <v>0</v>
      </c>
      <c r="I335" s="330">
        <f>0+'táj.2.'!I335</f>
        <v>0</v>
      </c>
      <c r="J335" s="330">
        <f>0+'táj.2.'!J335</f>
        <v>0</v>
      </c>
      <c r="K335" s="330">
        <f>0+'táj.2.'!K335</f>
        <v>0</v>
      </c>
      <c r="L335" s="330">
        <f>0+'táj.2.'!L335</f>
        <v>0</v>
      </c>
      <c r="M335" s="330">
        <f>10000+'táj.2.'!M335</f>
        <v>10000</v>
      </c>
      <c r="N335" s="330">
        <f>0+'táj.2.'!N335</f>
        <v>0</v>
      </c>
      <c r="O335" s="330">
        <f>0+'táj.2.'!O335</f>
        <v>0</v>
      </c>
      <c r="P335" s="330">
        <f>0+'táj.2.'!P335</f>
        <v>0</v>
      </c>
      <c r="Q335" s="330">
        <f t="shared" si="20"/>
        <v>10000</v>
      </c>
    </row>
    <row r="336" spans="1:17" ht="12.75" customHeight="1">
      <c r="A336" s="346"/>
      <c r="B336" s="346"/>
      <c r="C336" s="144" t="s">
        <v>612</v>
      </c>
      <c r="D336" s="508" t="s">
        <v>761</v>
      </c>
      <c r="E336" s="681"/>
      <c r="F336" s="23">
        <v>154404</v>
      </c>
      <c r="G336" s="330">
        <f>0+'táj.2.'!G336</f>
        <v>0</v>
      </c>
      <c r="H336" s="330">
        <f>0+'táj.2.'!H336</f>
        <v>0</v>
      </c>
      <c r="I336" s="330">
        <f>0+'táj.2.'!I336</f>
        <v>0</v>
      </c>
      <c r="J336" s="330">
        <f>0+'táj.2.'!J336</f>
        <v>0</v>
      </c>
      <c r="K336" s="330">
        <f>0+'táj.2.'!K336</f>
        <v>0</v>
      </c>
      <c r="L336" s="330">
        <f>0+'táj.2.'!L336</f>
        <v>0</v>
      </c>
      <c r="M336" s="330">
        <f>1000+'táj.2.'!M336</f>
        <v>1000</v>
      </c>
      <c r="N336" s="330">
        <f>0+'táj.2.'!N336</f>
        <v>0</v>
      </c>
      <c r="O336" s="330">
        <f>0+'táj.2.'!O336</f>
        <v>0</v>
      </c>
      <c r="P336" s="330">
        <f>0+'táj.2.'!P336</f>
        <v>0</v>
      </c>
      <c r="Q336" s="330">
        <f t="shared" si="20"/>
        <v>1000</v>
      </c>
    </row>
    <row r="337" spans="1:17" ht="12.75" customHeight="1">
      <c r="A337" s="346"/>
      <c r="B337" s="346"/>
      <c r="C337" s="144" t="s">
        <v>613</v>
      </c>
      <c r="D337" s="508" t="s">
        <v>762</v>
      </c>
      <c r="E337" s="681"/>
      <c r="F337" s="23">
        <v>154405</v>
      </c>
      <c r="G337" s="330">
        <f>0+'táj.2.'!G337</f>
        <v>0</v>
      </c>
      <c r="H337" s="330">
        <f>0+'táj.2.'!H337</f>
        <v>0</v>
      </c>
      <c r="I337" s="330">
        <f>0+'táj.2.'!I337</f>
        <v>0</v>
      </c>
      <c r="J337" s="330">
        <f>0+'táj.2.'!J337</f>
        <v>0</v>
      </c>
      <c r="K337" s="330">
        <f>0+'táj.2.'!K337</f>
        <v>0</v>
      </c>
      <c r="L337" s="330">
        <f>0+'táj.2.'!L337</f>
        <v>0</v>
      </c>
      <c r="M337" s="330">
        <f>8000+'táj.2.'!M337</f>
        <v>7200</v>
      </c>
      <c r="N337" s="330">
        <f>0+'táj.2.'!N337</f>
        <v>0</v>
      </c>
      <c r="O337" s="330">
        <f>0+'táj.2.'!O337</f>
        <v>0</v>
      </c>
      <c r="P337" s="330">
        <f>0+'táj.2.'!P337</f>
        <v>0</v>
      </c>
      <c r="Q337" s="330">
        <f t="shared" si="20"/>
        <v>7200</v>
      </c>
    </row>
    <row r="338" spans="1:17" ht="12.75" customHeight="1">
      <c r="A338" s="346"/>
      <c r="B338" s="346"/>
      <c r="C338" s="144" t="s">
        <v>614</v>
      </c>
      <c r="D338" s="508" t="s">
        <v>763</v>
      </c>
      <c r="E338" s="681"/>
      <c r="F338" s="23">
        <v>154406</v>
      </c>
      <c r="G338" s="330">
        <f>0+'táj.2.'!G338</f>
        <v>0</v>
      </c>
      <c r="H338" s="330">
        <f>0+'táj.2.'!H338</f>
        <v>0</v>
      </c>
      <c r="I338" s="330">
        <f>0+'táj.2.'!I338</f>
        <v>0</v>
      </c>
      <c r="J338" s="330">
        <f>0+'táj.2.'!J338</f>
        <v>0</v>
      </c>
      <c r="K338" s="330">
        <f>0+'táj.2.'!K338</f>
        <v>0</v>
      </c>
      <c r="L338" s="330">
        <f>0+'táj.2.'!L338</f>
        <v>0</v>
      </c>
      <c r="M338" s="330">
        <f>2000+'táj.2.'!M338</f>
        <v>2000</v>
      </c>
      <c r="N338" s="330">
        <f>0+'táj.2.'!N338</f>
        <v>0</v>
      </c>
      <c r="O338" s="330">
        <f>0+'táj.2.'!O338</f>
        <v>0</v>
      </c>
      <c r="P338" s="330">
        <f>0+'táj.2.'!P338</f>
        <v>0</v>
      </c>
      <c r="Q338" s="330">
        <f t="shared" si="20"/>
        <v>2000</v>
      </c>
    </row>
    <row r="339" spans="1:17" ht="21" customHeight="1">
      <c r="A339" s="346"/>
      <c r="B339" s="346"/>
      <c r="C339" s="144" t="s">
        <v>615</v>
      </c>
      <c r="D339" s="508" t="s">
        <v>764</v>
      </c>
      <c r="E339" s="681"/>
      <c r="F339" s="23">
        <v>154407</v>
      </c>
      <c r="G339" s="330">
        <f>0+'táj.2.'!G339</f>
        <v>0</v>
      </c>
      <c r="H339" s="330">
        <f>0+'táj.2.'!H339</f>
        <v>0</v>
      </c>
      <c r="I339" s="330">
        <f>0+'táj.2.'!I339</f>
        <v>0</v>
      </c>
      <c r="J339" s="330">
        <f>0+'táj.2.'!J339</f>
        <v>0</v>
      </c>
      <c r="K339" s="330">
        <f>0+'táj.2.'!K339</f>
        <v>0</v>
      </c>
      <c r="L339" s="330">
        <f>0+'táj.2.'!L339</f>
        <v>0</v>
      </c>
      <c r="M339" s="330">
        <f>2000+'táj.2.'!M339</f>
        <v>2500</v>
      </c>
      <c r="N339" s="330">
        <f>0+'táj.2.'!N339</f>
        <v>0</v>
      </c>
      <c r="O339" s="330">
        <f>0+'táj.2.'!O339</f>
        <v>0</v>
      </c>
      <c r="P339" s="330">
        <f>0+'táj.2.'!P339</f>
        <v>0</v>
      </c>
      <c r="Q339" s="330">
        <f t="shared" si="20"/>
        <v>2500</v>
      </c>
    </row>
    <row r="340" spans="1:17" ht="12.75" customHeight="1">
      <c r="A340" s="346"/>
      <c r="B340" s="346"/>
      <c r="C340" s="144" t="s">
        <v>616</v>
      </c>
      <c r="D340" s="508" t="s">
        <v>765</v>
      </c>
      <c r="E340" s="681"/>
      <c r="F340" s="23">
        <v>154408</v>
      </c>
      <c r="G340" s="330">
        <f>0+'táj.2.'!G340</f>
        <v>0</v>
      </c>
      <c r="H340" s="330">
        <f>0+'táj.2.'!H340</f>
        <v>0</v>
      </c>
      <c r="I340" s="330">
        <f>0+'táj.2.'!I340</f>
        <v>0</v>
      </c>
      <c r="J340" s="330">
        <f>0+'táj.2.'!J340</f>
        <v>0</v>
      </c>
      <c r="K340" s="330">
        <f>0+'táj.2.'!K340</f>
        <v>0</v>
      </c>
      <c r="L340" s="330">
        <f>0+'táj.2.'!L340</f>
        <v>0</v>
      </c>
      <c r="M340" s="330">
        <f>2000+'táj.2.'!M340</f>
        <v>2000</v>
      </c>
      <c r="N340" s="330">
        <f>0+'táj.2.'!N340</f>
        <v>0</v>
      </c>
      <c r="O340" s="330">
        <f>0+'táj.2.'!O340</f>
        <v>0</v>
      </c>
      <c r="P340" s="330">
        <f>0+'táj.2.'!P340</f>
        <v>0</v>
      </c>
      <c r="Q340" s="330">
        <f t="shared" si="20"/>
        <v>2000</v>
      </c>
    </row>
    <row r="341" spans="1:17" ht="12.75" customHeight="1">
      <c r="A341" s="346"/>
      <c r="B341" s="346"/>
      <c r="C341" s="144" t="s">
        <v>617</v>
      </c>
      <c r="D341" s="508" t="s">
        <v>766</v>
      </c>
      <c r="E341" s="681"/>
      <c r="F341" s="23">
        <v>154409</v>
      </c>
      <c r="G341" s="330">
        <f>0+'táj.2.'!G341</f>
        <v>0</v>
      </c>
      <c r="H341" s="330">
        <f>0+'táj.2.'!H341</f>
        <v>0</v>
      </c>
      <c r="I341" s="330">
        <f>0+'táj.2.'!I341</f>
        <v>0</v>
      </c>
      <c r="J341" s="330">
        <f>0+'táj.2.'!J341</f>
        <v>0</v>
      </c>
      <c r="K341" s="330">
        <f>0+'táj.2.'!K341</f>
        <v>0</v>
      </c>
      <c r="L341" s="330">
        <f>0+'táj.2.'!L341</f>
        <v>0</v>
      </c>
      <c r="M341" s="330">
        <f>3000+'táj.2.'!M341</f>
        <v>3000</v>
      </c>
      <c r="N341" s="330">
        <f>0+'táj.2.'!N341</f>
        <v>0</v>
      </c>
      <c r="O341" s="330">
        <f>0+'táj.2.'!O341</f>
        <v>0</v>
      </c>
      <c r="P341" s="330">
        <f>0+'táj.2.'!P341</f>
        <v>0</v>
      </c>
      <c r="Q341" s="330">
        <f t="shared" si="20"/>
        <v>3000</v>
      </c>
    </row>
    <row r="342" spans="1:17" ht="12.75" customHeight="1">
      <c r="A342" s="346"/>
      <c r="B342" s="346"/>
      <c r="C342" s="144" t="s">
        <v>618</v>
      </c>
      <c r="D342" s="508" t="s">
        <v>546</v>
      </c>
      <c r="E342" s="681"/>
      <c r="F342" s="23">
        <v>154485</v>
      </c>
      <c r="G342" s="330">
        <f>0+'táj.2.'!G342</f>
        <v>0</v>
      </c>
      <c r="H342" s="330">
        <f>0+'táj.2.'!H342</f>
        <v>0</v>
      </c>
      <c r="I342" s="330">
        <f>0+'táj.2.'!I342</f>
        <v>0</v>
      </c>
      <c r="J342" s="330">
        <f>0+'táj.2.'!J342</f>
        <v>0</v>
      </c>
      <c r="K342" s="330">
        <f>0+'táj.2.'!K342</f>
        <v>0</v>
      </c>
      <c r="L342" s="330">
        <f>0+'táj.2.'!L342</f>
        <v>0</v>
      </c>
      <c r="M342" s="330">
        <f>10000+'táj.2.'!M342</f>
        <v>10000</v>
      </c>
      <c r="N342" s="330">
        <f>0+'táj.2.'!N342</f>
        <v>0</v>
      </c>
      <c r="O342" s="330">
        <f>0+'táj.2.'!O342</f>
        <v>0</v>
      </c>
      <c r="P342" s="330">
        <f>0+'táj.2.'!P342</f>
        <v>0</v>
      </c>
      <c r="Q342" s="330">
        <f t="shared" si="20"/>
        <v>10000</v>
      </c>
    </row>
    <row r="343" spans="1:17" ht="12.75" customHeight="1">
      <c r="A343" s="346"/>
      <c r="B343" s="346"/>
      <c r="C343" s="144" t="s">
        <v>619</v>
      </c>
      <c r="D343" s="509" t="s">
        <v>53</v>
      </c>
      <c r="E343" s="681"/>
      <c r="F343" s="23">
        <v>154492</v>
      </c>
      <c r="G343" s="330">
        <f>0+'táj.2.'!G343</f>
        <v>0</v>
      </c>
      <c r="H343" s="330">
        <f>0+'táj.2.'!H343</f>
        <v>0</v>
      </c>
      <c r="I343" s="330">
        <f>0+'táj.2.'!I343</f>
        <v>0</v>
      </c>
      <c r="J343" s="330">
        <f>0+'táj.2.'!J343</f>
        <v>0</v>
      </c>
      <c r="K343" s="330">
        <f>0+'táj.2.'!K343</f>
        <v>0</v>
      </c>
      <c r="L343" s="330">
        <f>0+'táj.2.'!L343</f>
        <v>0</v>
      </c>
      <c r="M343" s="330">
        <f>4000+'táj.2.'!M343</f>
        <v>4000</v>
      </c>
      <c r="N343" s="330">
        <f>0+'táj.2.'!N343</f>
        <v>0</v>
      </c>
      <c r="O343" s="330">
        <f>0+'táj.2.'!O343</f>
        <v>0</v>
      </c>
      <c r="P343" s="330">
        <f>0+'táj.2.'!P343</f>
        <v>0</v>
      </c>
      <c r="Q343" s="330">
        <f t="shared" si="20"/>
        <v>4000</v>
      </c>
    </row>
    <row r="344" spans="1:17" ht="12.75" customHeight="1">
      <c r="A344" s="346"/>
      <c r="B344" s="346"/>
      <c r="C344" s="144" t="s">
        <v>583</v>
      </c>
      <c r="D344" s="347" t="s">
        <v>767</v>
      </c>
      <c r="E344" s="681"/>
      <c r="F344" s="23">
        <v>154410</v>
      </c>
      <c r="G344" s="330">
        <f>0+'táj.2.'!G344</f>
        <v>0</v>
      </c>
      <c r="H344" s="330">
        <f>0+'táj.2.'!H344</f>
        <v>0</v>
      </c>
      <c r="I344" s="330">
        <f>0+'táj.2.'!I344</f>
        <v>0</v>
      </c>
      <c r="J344" s="330">
        <f>0+'táj.2.'!J344</f>
        <v>0</v>
      </c>
      <c r="K344" s="330">
        <f>0+'táj.2.'!K344</f>
        <v>0</v>
      </c>
      <c r="L344" s="330">
        <f>0+'táj.2.'!L344</f>
        <v>0</v>
      </c>
      <c r="M344" s="330">
        <f>1000+'táj.2.'!M344</f>
        <v>1000</v>
      </c>
      <c r="N344" s="330">
        <f>0+'táj.2.'!N344</f>
        <v>0</v>
      </c>
      <c r="O344" s="330">
        <f>0+'táj.2.'!O344</f>
        <v>0</v>
      </c>
      <c r="P344" s="330">
        <f>0+'táj.2.'!P344</f>
        <v>0</v>
      </c>
      <c r="Q344" s="330">
        <f t="shared" si="20"/>
        <v>1000</v>
      </c>
    </row>
    <row r="345" spans="1:17" ht="12.75" customHeight="1">
      <c r="A345" s="346"/>
      <c r="B345" s="346"/>
      <c r="C345" s="144" t="s">
        <v>584</v>
      </c>
      <c r="D345" s="347" t="s">
        <v>768</v>
      </c>
      <c r="E345" s="681"/>
      <c r="F345" s="23">
        <v>154411</v>
      </c>
      <c r="G345" s="330">
        <f>0+'táj.2.'!G345</f>
        <v>0</v>
      </c>
      <c r="H345" s="330">
        <f>0+'táj.2.'!H345</f>
        <v>0</v>
      </c>
      <c r="I345" s="330">
        <f>0+'táj.2.'!I345</f>
        <v>0</v>
      </c>
      <c r="J345" s="330">
        <f>0+'táj.2.'!J345</f>
        <v>0</v>
      </c>
      <c r="K345" s="330">
        <f>0+'táj.2.'!K345</f>
        <v>0</v>
      </c>
      <c r="L345" s="330">
        <f>0+'táj.2.'!L345</f>
        <v>0</v>
      </c>
      <c r="M345" s="330">
        <f>5000+'táj.2.'!M345</f>
        <v>5000</v>
      </c>
      <c r="N345" s="330">
        <f>0+'táj.2.'!N345</f>
        <v>0</v>
      </c>
      <c r="O345" s="330">
        <f>0+'táj.2.'!O345</f>
        <v>0</v>
      </c>
      <c r="P345" s="330">
        <f>0+'táj.2.'!P345</f>
        <v>0</v>
      </c>
      <c r="Q345" s="330">
        <f t="shared" si="20"/>
        <v>5000</v>
      </c>
    </row>
    <row r="346" spans="1:17" ht="15.75" customHeight="1">
      <c r="A346" s="346"/>
      <c r="B346" s="346"/>
      <c r="C346" s="144" t="s">
        <v>585</v>
      </c>
      <c r="D346" s="508" t="s">
        <v>769</v>
      </c>
      <c r="E346" s="681"/>
      <c r="F346" s="23">
        <v>154412</v>
      </c>
      <c r="G346" s="330">
        <f>0+'táj.2.'!G346</f>
        <v>0</v>
      </c>
      <c r="H346" s="330">
        <f>0+'táj.2.'!H346</f>
        <v>0</v>
      </c>
      <c r="I346" s="330">
        <f>0+'táj.2.'!I346</f>
        <v>0</v>
      </c>
      <c r="J346" s="330">
        <f>0+'táj.2.'!J346</f>
        <v>0</v>
      </c>
      <c r="K346" s="330">
        <f>0+'táj.2.'!K346</f>
        <v>0</v>
      </c>
      <c r="L346" s="330">
        <f>0+'táj.2.'!L346</f>
        <v>0</v>
      </c>
      <c r="M346" s="330">
        <f>10000+'táj.2.'!M346</f>
        <v>10000</v>
      </c>
      <c r="N346" s="330">
        <f>0+'táj.2.'!N346</f>
        <v>0</v>
      </c>
      <c r="O346" s="330">
        <f>0+'táj.2.'!O346</f>
        <v>0</v>
      </c>
      <c r="P346" s="330">
        <f>0+'táj.2.'!P346</f>
        <v>0</v>
      </c>
      <c r="Q346" s="330">
        <f t="shared" si="20"/>
        <v>10000</v>
      </c>
    </row>
    <row r="347" spans="1:23" ht="12.75" customHeight="1">
      <c r="A347" s="346"/>
      <c r="B347" s="346"/>
      <c r="C347" s="144" t="s">
        <v>586</v>
      </c>
      <c r="D347" s="510" t="s">
        <v>1075</v>
      </c>
      <c r="E347" s="681"/>
      <c r="F347" s="23">
        <v>154413</v>
      </c>
      <c r="G347" s="330">
        <f>0+'táj.2.'!G347</f>
        <v>0</v>
      </c>
      <c r="H347" s="330">
        <f>0+'táj.2.'!H347</f>
        <v>0</v>
      </c>
      <c r="I347" s="330">
        <f>0+'táj.2.'!I347</f>
        <v>0</v>
      </c>
      <c r="J347" s="330">
        <f>0+'táj.2.'!J347</f>
        <v>0</v>
      </c>
      <c r="K347" s="330">
        <f>0+'táj.2.'!K347</f>
        <v>0</v>
      </c>
      <c r="L347" s="330">
        <f>0+'táj.2.'!L347</f>
        <v>0</v>
      </c>
      <c r="M347" s="330">
        <f>2000+'táj.2.'!M347</f>
        <v>2000</v>
      </c>
      <c r="N347" s="330">
        <f>0+'táj.2.'!N347</f>
        <v>0</v>
      </c>
      <c r="O347" s="330">
        <f>0+'táj.2.'!O347</f>
        <v>0</v>
      </c>
      <c r="P347" s="330">
        <f>0+'táj.2.'!P347</f>
        <v>0</v>
      </c>
      <c r="Q347" s="330">
        <f t="shared" si="20"/>
        <v>2000</v>
      </c>
      <c r="W347" s="330"/>
    </row>
    <row r="348" spans="1:23" ht="12.75" customHeight="1">
      <c r="A348" s="346"/>
      <c r="B348" s="346"/>
      <c r="C348" s="144" t="s">
        <v>587</v>
      </c>
      <c r="D348" s="510" t="s">
        <v>771</v>
      </c>
      <c r="E348" s="681"/>
      <c r="F348" s="23">
        <v>154414</v>
      </c>
      <c r="G348" s="330">
        <f>0+'táj.2.'!G348</f>
        <v>0</v>
      </c>
      <c r="H348" s="330">
        <f>0+'táj.2.'!H348</f>
        <v>0</v>
      </c>
      <c r="I348" s="330">
        <f>0+'táj.2.'!I348</f>
        <v>0</v>
      </c>
      <c r="J348" s="330">
        <f>0+'táj.2.'!J348</f>
        <v>0</v>
      </c>
      <c r="K348" s="330">
        <f>0+'táj.2.'!K348</f>
        <v>0</v>
      </c>
      <c r="L348" s="330">
        <f>0+'táj.2.'!L348</f>
        <v>0</v>
      </c>
      <c r="M348" s="330">
        <f>500+'táj.2.'!M348</f>
        <v>500</v>
      </c>
      <c r="N348" s="330">
        <f>0+'táj.2.'!N348</f>
        <v>0</v>
      </c>
      <c r="O348" s="330">
        <f>0+'táj.2.'!O348</f>
        <v>0</v>
      </c>
      <c r="P348" s="330">
        <f>0+'táj.2.'!P348</f>
        <v>0</v>
      </c>
      <c r="Q348" s="330">
        <f t="shared" si="20"/>
        <v>500</v>
      </c>
      <c r="W348" s="330"/>
    </row>
    <row r="349" spans="1:23" ht="12.75" customHeight="1">
      <c r="A349" s="346"/>
      <c r="B349" s="346"/>
      <c r="C349" s="144" t="s">
        <v>588</v>
      </c>
      <c r="D349" s="510" t="s">
        <v>772</v>
      </c>
      <c r="E349" s="681"/>
      <c r="F349" s="23">
        <v>154416</v>
      </c>
      <c r="G349" s="330">
        <f>0+'táj.2.'!G349</f>
        <v>0</v>
      </c>
      <c r="H349" s="330">
        <f>0+'táj.2.'!H349</f>
        <v>0</v>
      </c>
      <c r="I349" s="330">
        <f>0+'táj.2.'!I349</f>
        <v>0</v>
      </c>
      <c r="J349" s="330">
        <f>0+'táj.2.'!J349</f>
        <v>0</v>
      </c>
      <c r="K349" s="330">
        <f>0+'táj.2.'!K349</f>
        <v>0</v>
      </c>
      <c r="L349" s="330">
        <f>0+'táj.2.'!L349</f>
        <v>0</v>
      </c>
      <c r="M349" s="330">
        <f>1800+'táj.2.'!M349</f>
        <v>1800</v>
      </c>
      <c r="N349" s="330">
        <f>0+'táj.2.'!N349</f>
        <v>0</v>
      </c>
      <c r="O349" s="330">
        <f>0+'táj.2.'!O349</f>
        <v>0</v>
      </c>
      <c r="P349" s="330">
        <f>0+'táj.2.'!P349</f>
        <v>0</v>
      </c>
      <c r="Q349" s="330">
        <f t="shared" si="20"/>
        <v>1800</v>
      </c>
      <c r="W349" s="330"/>
    </row>
    <row r="350" spans="1:23" ht="12.75" customHeight="1">
      <c r="A350" s="346"/>
      <c r="B350" s="346"/>
      <c r="C350" s="144" t="s">
        <v>589</v>
      </c>
      <c r="D350" s="510" t="s">
        <v>773</v>
      </c>
      <c r="E350" s="681"/>
      <c r="F350" s="23">
        <v>154417</v>
      </c>
      <c r="G350" s="330">
        <f>0+'táj.2.'!G350</f>
        <v>0</v>
      </c>
      <c r="H350" s="330">
        <f>0+'táj.2.'!H350</f>
        <v>0</v>
      </c>
      <c r="I350" s="330">
        <f>0+'táj.2.'!I350</f>
        <v>0</v>
      </c>
      <c r="J350" s="330">
        <f>0+'táj.2.'!J350</f>
        <v>0</v>
      </c>
      <c r="K350" s="330">
        <f>0+'táj.2.'!K350</f>
        <v>0</v>
      </c>
      <c r="L350" s="330">
        <f>0+'táj.2.'!L350</f>
        <v>0</v>
      </c>
      <c r="M350" s="330">
        <f>3500+'táj.2.'!M350</f>
        <v>3500</v>
      </c>
      <c r="N350" s="330">
        <f>0+'táj.2.'!N350</f>
        <v>0</v>
      </c>
      <c r="O350" s="330">
        <f>0+'táj.2.'!O350</f>
        <v>0</v>
      </c>
      <c r="P350" s="330">
        <f>0+'táj.2.'!P350</f>
        <v>0</v>
      </c>
      <c r="Q350" s="330">
        <f t="shared" si="20"/>
        <v>3500</v>
      </c>
      <c r="W350" s="330"/>
    </row>
    <row r="351" spans="1:23" ht="21" customHeight="1">
      <c r="A351" s="346"/>
      <c r="B351" s="346"/>
      <c r="C351" s="144" t="s">
        <v>590</v>
      </c>
      <c r="D351" s="510" t="s">
        <v>774</v>
      </c>
      <c r="E351" s="681"/>
      <c r="F351" s="23">
        <v>154418</v>
      </c>
      <c r="G351" s="330">
        <f>0+'táj.2.'!G351</f>
        <v>0</v>
      </c>
      <c r="H351" s="330">
        <f>0+'táj.2.'!H351</f>
        <v>0</v>
      </c>
      <c r="I351" s="330">
        <f>0+'táj.2.'!I351</f>
        <v>0</v>
      </c>
      <c r="J351" s="330">
        <f>0+'táj.2.'!J351</f>
        <v>0</v>
      </c>
      <c r="K351" s="330">
        <f>0+'táj.2.'!K351</f>
        <v>0</v>
      </c>
      <c r="L351" s="330">
        <f>0+'táj.2.'!L351</f>
        <v>0</v>
      </c>
      <c r="M351" s="330">
        <f>1500+'táj.2.'!M351</f>
        <v>1500</v>
      </c>
      <c r="N351" s="330">
        <f>0+'táj.2.'!N351</f>
        <v>0</v>
      </c>
      <c r="O351" s="330">
        <f>0+'táj.2.'!O351</f>
        <v>0</v>
      </c>
      <c r="P351" s="330">
        <f>0+'táj.2.'!P351</f>
        <v>0</v>
      </c>
      <c r="Q351" s="330">
        <f t="shared" si="20"/>
        <v>1500</v>
      </c>
      <c r="W351" s="330"/>
    </row>
    <row r="352" spans="1:23" ht="12.75" customHeight="1">
      <c r="A352" s="346"/>
      <c r="B352" s="346"/>
      <c r="C352" s="144" t="s">
        <v>591</v>
      </c>
      <c r="D352" s="510" t="s">
        <v>775</v>
      </c>
      <c r="E352" s="681"/>
      <c r="F352" s="23">
        <v>154410</v>
      </c>
      <c r="G352" s="330">
        <f>0+'táj.2.'!G352</f>
        <v>0</v>
      </c>
      <c r="H352" s="330">
        <f>0+'táj.2.'!H352</f>
        <v>0</v>
      </c>
      <c r="I352" s="330">
        <f>0+'táj.2.'!I352</f>
        <v>0</v>
      </c>
      <c r="J352" s="330">
        <f>0+'táj.2.'!J352</f>
        <v>0</v>
      </c>
      <c r="K352" s="330">
        <f>0+'táj.2.'!K352</f>
        <v>0</v>
      </c>
      <c r="L352" s="330">
        <f>0+'táj.2.'!L352</f>
        <v>0</v>
      </c>
      <c r="M352" s="330">
        <f>2000+'táj.2.'!M352</f>
        <v>2000</v>
      </c>
      <c r="N352" s="330">
        <f>0+'táj.2.'!N352</f>
        <v>0</v>
      </c>
      <c r="O352" s="330">
        <f>0+'táj.2.'!O352</f>
        <v>0</v>
      </c>
      <c r="P352" s="330">
        <f>0+'táj.2.'!P352</f>
        <v>0</v>
      </c>
      <c r="Q352" s="330">
        <f t="shared" si="20"/>
        <v>2000</v>
      </c>
      <c r="W352" s="330"/>
    </row>
    <row r="353" spans="1:23" ht="25.5" customHeight="1">
      <c r="A353" s="346"/>
      <c r="B353" s="346"/>
      <c r="C353" s="144" t="s">
        <v>552</v>
      </c>
      <c r="D353" s="510" t="s">
        <v>776</v>
      </c>
      <c r="E353" s="681"/>
      <c r="F353" s="23">
        <v>154419</v>
      </c>
      <c r="G353" s="330">
        <f>0+'táj.2.'!G353</f>
        <v>0</v>
      </c>
      <c r="H353" s="330">
        <f>0+'táj.2.'!H353</f>
        <v>0</v>
      </c>
      <c r="I353" s="330">
        <f>0+'táj.2.'!I353</f>
        <v>0</v>
      </c>
      <c r="J353" s="330">
        <f>0+'táj.2.'!J353</f>
        <v>0</v>
      </c>
      <c r="K353" s="330">
        <f>0+'táj.2.'!K353</f>
        <v>0</v>
      </c>
      <c r="L353" s="330">
        <f>0+'táj.2.'!L353</f>
        <v>0</v>
      </c>
      <c r="M353" s="330">
        <f>3000+'táj.2.'!M353</f>
        <v>3000</v>
      </c>
      <c r="N353" s="330">
        <f>0+'táj.2.'!N353</f>
        <v>0</v>
      </c>
      <c r="O353" s="330">
        <f>0+'táj.2.'!O353</f>
        <v>0</v>
      </c>
      <c r="P353" s="330">
        <f>0+'táj.2.'!P353</f>
        <v>0</v>
      </c>
      <c r="Q353" s="330">
        <f t="shared" si="20"/>
        <v>3000</v>
      </c>
      <c r="W353" s="330"/>
    </row>
    <row r="354" spans="1:23" ht="12.75" customHeight="1">
      <c r="A354" s="346"/>
      <c r="B354" s="346"/>
      <c r="C354" s="144" t="s">
        <v>555</v>
      </c>
      <c r="D354" s="510" t="s">
        <v>777</v>
      </c>
      <c r="E354" s="681"/>
      <c r="F354" s="23">
        <v>155416</v>
      </c>
      <c r="G354" s="330">
        <f>0+'táj.2.'!G354</f>
        <v>0</v>
      </c>
      <c r="H354" s="330">
        <f>0+'táj.2.'!H354</f>
        <v>0</v>
      </c>
      <c r="I354" s="330">
        <f>0+'táj.2.'!I354</f>
        <v>0</v>
      </c>
      <c r="J354" s="330">
        <f>0+'táj.2.'!J354</f>
        <v>0</v>
      </c>
      <c r="K354" s="330">
        <f>0+'táj.2.'!K354</f>
        <v>0</v>
      </c>
      <c r="L354" s="330">
        <f>0+'táj.2.'!L354</f>
        <v>0</v>
      </c>
      <c r="M354" s="330">
        <f>500+'táj.2.'!M354</f>
        <v>500</v>
      </c>
      <c r="N354" s="330">
        <f>0+'táj.2.'!N354</f>
        <v>0</v>
      </c>
      <c r="O354" s="330">
        <f>0+'táj.2.'!O354</f>
        <v>0</v>
      </c>
      <c r="P354" s="330">
        <f>0+'táj.2.'!P354</f>
        <v>0</v>
      </c>
      <c r="Q354" s="330">
        <f t="shared" si="20"/>
        <v>500</v>
      </c>
      <c r="W354" s="330"/>
    </row>
    <row r="355" spans="1:23" ht="12.75" customHeight="1">
      <c r="A355" s="346"/>
      <c r="B355" s="346"/>
      <c r="C355" s="144" t="s">
        <v>556</v>
      </c>
      <c r="D355" s="510" t="s">
        <v>778</v>
      </c>
      <c r="E355" s="681"/>
      <c r="F355" s="23">
        <v>154420</v>
      </c>
      <c r="G355" s="330">
        <f>0+'táj.2.'!G355</f>
        <v>0</v>
      </c>
      <c r="H355" s="330">
        <f>0+'táj.2.'!H355</f>
        <v>0</v>
      </c>
      <c r="I355" s="330">
        <f>0+'táj.2.'!I355</f>
        <v>0</v>
      </c>
      <c r="J355" s="330">
        <f>0+'táj.2.'!J355</f>
        <v>0</v>
      </c>
      <c r="K355" s="330">
        <f>0+'táj.2.'!K355</f>
        <v>0</v>
      </c>
      <c r="L355" s="330">
        <f>0+'táj.2.'!L355</f>
        <v>0</v>
      </c>
      <c r="M355" s="330">
        <f>1500+'táj.2.'!M355</f>
        <v>1500</v>
      </c>
      <c r="N355" s="330">
        <f>0+'táj.2.'!N355</f>
        <v>0</v>
      </c>
      <c r="O355" s="330">
        <f>0+'táj.2.'!O355</f>
        <v>0</v>
      </c>
      <c r="P355" s="330">
        <f>0+'táj.2.'!P355</f>
        <v>0</v>
      </c>
      <c r="Q355" s="330">
        <f t="shared" si="20"/>
        <v>1500</v>
      </c>
      <c r="W355" s="330"/>
    </row>
    <row r="356" spans="1:23" ht="12.75" customHeight="1">
      <c r="A356" s="346"/>
      <c r="B356" s="346"/>
      <c r="C356" s="144" t="s">
        <v>557</v>
      </c>
      <c r="D356" s="347" t="s">
        <v>779</v>
      </c>
      <c r="E356" s="681"/>
      <c r="F356" s="23">
        <v>155436</v>
      </c>
      <c r="G356" s="330">
        <f>0+'táj.2.'!G356</f>
        <v>0</v>
      </c>
      <c r="H356" s="330">
        <f>0+'táj.2.'!H356</f>
        <v>0</v>
      </c>
      <c r="I356" s="330">
        <f>0+'táj.2.'!I356</f>
        <v>0</v>
      </c>
      <c r="J356" s="330">
        <f>0+'táj.2.'!J356</f>
        <v>0</v>
      </c>
      <c r="K356" s="330">
        <f>0+'táj.2.'!K356</f>
        <v>0</v>
      </c>
      <c r="L356" s="330">
        <f>0+'táj.2.'!L356</f>
        <v>0</v>
      </c>
      <c r="M356" s="330">
        <f>4000+'táj.2.'!M356</f>
        <v>4000</v>
      </c>
      <c r="N356" s="330">
        <f>0+'táj.2.'!N356</f>
        <v>0</v>
      </c>
      <c r="O356" s="330">
        <f>0+'táj.2.'!O356</f>
        <v>0</v>
      </c>
      <c r="P356" s="330">
        <f>0+'táj.2.'!P356</f>
        <v>0</v>
      </c>
      <c r="Q356" s="330">
        <f t="shared" si="20"/>
        <v>4000</v>
      </c>
      <c r="W356" s="371"/>
    </row>
    <row r="357" spans="1:23" ht="21.75" customHeight="1">
      <c r="A357" s="346"/>
      <c r="B357" s="346"/>
      <c r="C357" s="144" t="s">
        <v>558</v>
      </c>
      <c r="D357" s="508" t="s">
        <v>780</v>
      </c>
      <c r="E357" s="681"/>
      <c r="F357" s="23">
        <v>154421</v>
      </c>
      <c r="G357" s="330">
        <f>0+'táj.2.'!G357</f>
        <v>0</v>
      </c>
      <c r="H357" s="330">
        <f>0+'táj.2.'!H357</f>
        <v>0</v>
      </c>
      <c r="I357" s="330">
        <f>0+'táj.2.'!I357</f>
        <v>0</v>
      </c>
      <c r="J357" s="330">
        <f>0+'táj.2.'!J357</f>
        <v>0</v>
      </c>
      <c r="K357" s="330">
        <f>0+'táj.2.'!K357</f>
        <v>0</v>
      </c>
      <c r="L357" s="330">
        <f>0+'táj.2.'!L357</f>
        <v>0</v>
      </c>
      <c r="M357" s="330">
        <f>5000+'táj.2.'!M357</f>
        <v>5000</v>
      </c>
      <c r="N357" s="330">
        <f>0+'táj.2.'!N357</f>
        <v>0</v>
      </c>
      <c r="O357" s="330">
        <f>0+'táj.2.'!O357</f>
        <v>0</v>
      </c>
      <c r="P357" s="330">
        <f>0+'táj.2.'!P357</f>
        <v>0</v>
      </c>
      <c r="Q357" s="330">
        <f t="shared" si="20"/>
        <v>5000</v>
      </c>
      <c r="W357" s="371"/>
    </row>
    <row r="358" spans="1:23" ht="12.75" customHeight="1">
      <c r="A358" s="346"/>
      <c r="B358" s="346"/>
      <c r="C358" s="144" t="s">
        <v>559</v>
      </c>
      <c r="D358" s="508" t="s">
        <v>781</v>
      </c>
      <c r="E358" s="681"/>
      <c r="F358" s="23">
        <v>154476</v>
      </c>
      <c r="G358" s="330">
        <f>0+'táj.2.'!G358</f>
        <v>0</v>
      </c>
      <c r="H358" s="330">
        <f>0+'táj.2.'!H358</f>
        <v>0</v>
      </c>
      <c r="I358" s="330">
        <f>0+'táj.2.'!I358</f>
        <v>0</v>
      </c>
      <c r="J358" s="330">
        <f>0+'táj.2.'!J358</f>
        <v>0</v>
      </c>
      <c r="K358" s="330">
        <f>0+'táj.2.'!K358</f>
        <v>0</v>
      </c>
      <c r="L358" s="330">
        <f>0+'táj.2.'!L358</f>
        <v>0</v>
      </c>
      <c r="M358" s="330">
        <f>4000+'táj.2.'!M358</f>
        <v>4000</v>
      </c>
      <c r="N358" s="330">
        <f>0+'táj.2.'!N358</f>
        <v>0</v>
      </c>
      <c r="O358" s="330">
        <f>0+'táj.2.'!O358</f>
        <v>0</v>
      </c>
      <c r="P358" s="330">
        <f>0+'táj.2.'!P358</f>
        <v>0</v>
      </c>
      <c r="Q358" s="330">
        <f t="shared" si="20"/>
        <v>4000</v>
      </c>
      <c r="W358" s="371"/>
    </row>
    <row r="359" spans="1:23" ht="21.75" customHeight="1">
      <c r="A359" s="346"/>
      <c r="B359" s="346"/>
      <c r="C359" s="144" t="s">
        <v>560</v>
      </c>
      <c r="D359" s="510" t="s">
        <v>782</v>
      </c>
      <c r="E359" s="681"/>
      <c r="F359" s="23">
        <v>154422</v>
      </c>
      <c r="G359" s="330">
        <f>0+'táj.2.'!G359</f>
        <v>0</v>
      </c>
      <c r="H359" s="330">
        <f>0+'táj.2.'!H359</f>
        <v>0</v>
      </c>
      <c r="I359" s="330">
        <f>0+'táj.2.'!I359</f>
        <v>0</v>
      </c>
      <c r="J359" s="330">
        <f>0+'táj.2.'!J359</f>
        <v>0</v>
      </c>
      <c r="K359" s="330">
        <f>0+'táj.2.'!K359</f>
        <v>0</v>
      </c>
      <c r="L359" s="330">
        <f>0+'táj.2.'!L359</f>
        <v>0</v>
      </c>
      <c r="M359" s="330">
        <f>5000+'táj.2.'!M359</f>
        <v>5000</v>
      </c>
      <c r="N359" s="330">
        <f>0+'táj.2.'!N359</f>
        <v>0</v>
      </c>
      <c r="O359" s="330">
        <f>0+'táj.2.'!O359</f>
        <v>0</v>
      </c>
      <c r="P359" s="330">
        <f>0+'táj.2.'!P359</f>
        <v>0</v>
      </c>
      <c r="Q359" s="330">
        <f t="shared" si="20"/>
        <v>5000</v>
      </c>
      <c r="W359" s="371"/>
    </row>
    <row r="360" spans="1:23" ht="12.75" customHeight="1">
      <c r="A360" s="346"/>
      <c r="B360" s="346"/>
      <c r="C360" s="144" t="s">
        <v>561</v>
      </c>
      <c r="D360" s="510" t="s">
        <v>783</v>
      </c>
      <c r="E360" s="681"/>
      <c r="F360" s="23">
        <v>155420</v>
      </c>
      <c r="G360" s="330">
        <f>0+'táj.2.'!G360</f>
        <v>0</v>
      </c>
      <c r="H360" s="330">
        <f>0+'táj.2.'!H360</f>
        <v>0</v>
      </c>
      <c r="I360" s="330">
        <f>0+'táj.2.'!I360</f>
        <v>0</v>
      </c>
      <c r="J360" s="330">
        <f>0+'táj.2.'!J360</f>
        <v>0</v>
      </c>
      <c r="K360" s="330">
        <f>0+'táj.2.'!K360</f>
        <v>0</v>
      </c>
      <c r="L360" s="330">
        <f>0+'táj.2.'!L360</f>
        <v>0</v>
      </c>
      <c r="M360" s="330">
        <f>2000+'táj.2.'!M360</f>
        <v>2000</v>
      </c>
      <c r="N360" s="330">
        <f>0+'táj.2.'!N360</f>
        <v>0</v>
      </c>
      <c r="O360" s="330">
        <f>0+'táj.2.'!O360</f>
        <v>0</v>
      </c>
      <c r="P360" s="330">
        <f>0+'táj.2.'!P360</f>
        <v>0</v>
      </c>
      <c r="Q360" s="330">
        <f t="shared" si="20"/>
        <v>2000</v>
      </c>
      <c r="W360" s="371"/>
    </row>
    <row r="361" spans="1:23" ht="12.75" customHeight="1">
      <c r="A361" s="346"/>
      <c r="B361" s="346"/>
      <c r="C361" s="144" t="s">
        <v>562</v>
      </c>
      <c r="D361" s="510" t="s">
        <v>784</v>
      </c>
      <c r="E361" s="681"/>
      <c r="F361" s="23">
        <v>155428</v>
      </c>
      <c r="G361" s="330">
        <f>0+'táj.2.'!G361</f>
        <v>0</v>
      </c>
      <c r="H361" s="330">
        <f>0+'táj.2.'!H361</f>
        <v>0</v>
      </c>
      <c r="I361" s="330">
        <f>0+'táj.2.'!I361</f>
        <v>0</v>
      </c>
      <c r="J361" s="330">
        <f>0+'táj.2.'!J361</f>
        <v>0</v>
      </c>
      <c r="K361" s="330">
        <f>0+'táj.2.'!K361</f>
        <v>0</v>
      </c>
      <c r="L361" s="330">
        <f>0+'táj.2.'!L361</f>
        <v>0</v>
      </c>
      <c r="M361" s="330">
        <f>2000+'táj.2.'!M361</f>
        <v>2000</v>
      </c>
      <c r="N361" s="330">
        <f>0+'táj.2.'!N361</f>
        <v>0</v>
      </c>
      <c r="O361" s="330">
        <f>0+'táj.2.'!O361</f>
        <v>0</v>
      </c>
      <c r="P361" s="330">
        <f>0+'táj.2.'!P361</f>
        <v>0</v>
      </c>
      <c r="Q361" s="330">
        <f t="shared" si="20"/>
        <v>2000</v>
      </c>
      <c r="W361" s="371"/>
    </row>
    <row r="362" spans="1:23" ht="21" customHeight="1">
      <c r="A362" s="346"/>
      <c r="B362" s="346"/>
      <c r="C362" s="144" t="s">
        <v>563</v>
      </c>
      <c r="D362" s="510" t="s">
        <v>785</v>
      </c>
      <c r="E362" s="681"/>
      <c r="F362" s="23">
        <v>155432</v>
      </c>
      <c r="G362" s="330">
        <f>0+'táj.2.'!G362</f>
        <v>0</v>
      </c>
      <c r="H362" s="330">
        <f>0+'táj.2.'!H362</f>
        <v>0</v>
      </c>
      <c r="I362" s="330">
        <f>0+'táj.2.'!I362</f>
        <v>0</v>
      </c>
      <c r="J362" s="330">
        <f>0+'táj.2.'!J362</f>
        <v>0</v>
      </c>
      <c r="K362" s="330">
        <f>0+'táj.2.'!K362</f>
        <v>0</v>
      </c>
      <c r="L362" s="330">
        <f>0+'táj.2.'!L362</f>
        <v>0</v>
      </c>
      <c r="M362" s="330">
        <f>4000+'táj.2.'!M362</f>
        <v>4000</v>
      </c>
      <c r="N362" s="330">
        <f>0+'táj.2.'!N362</f>
        <v>0</v>
      </c>
      <c r="O362" s="330">
        <f>0+'táj.2.'!O362</f>
        <v>0</v>
      </c>
      <c r="P362" s="330">
        <f>0+'táj.2.'!P362</f>
        <v>0</v>
      </c>
      <c r="Q362" s="330">
        <f t="shared" si="20"/>
        <v>4000</v>
      </c>
      <c r="W362" s="371"/>
    </row>
    <row r="363" spans="1:23" ht="12.75" customHeight="1">
      <c r="A363" s="346"/>
      <c r="B363" s="346"/>
      <c r="C363" s="144" t="s">
        <v>564</v>
      </c>
      <c r="D363" s="510" t="s">
        <v>786</v>
      </c>
      <c r="E363" s="681"/>
      <c r="F363" s="23">
        <v>155435</v>
      </c>
      <c r="G363" s="330">
        <f>0+'táj.2.'!G363</f>
        <v>0</v>
      </c>
      <c r="H363" s="330">
        <f>0+'táj.2.'!H363</f>
        <v>0</v>
      </c>
      <c r="I363" s="330">
        <f>0+'táj.2.'!I363</f>
        <v>0</v>
      </c>
      <c r="J363" s="330">
        <f>0+'táj.2.'!J363</f>
        <v>0</v>
      </c>
      <c r="K363" s="330">
        <f>0+'táj.2.'!K363</f>
        <v>0</v>
      </c>
      <c r="L363" s="330">
        <f>0+'táj.2.'!L363</f>
        <v>0</v>
      </c>
      <c r="M363" s="330">
        <f>1400+'táj.2.'!M363</f>
        <v>1400</v>
      </c>
      <c r="N363" s="330">
        <f>0+'táj.2.'!N363</f>
        <v>0</v>
      </c>
      <c r="O363" s="330">
        <f>0+'táj.2.'!O363</f>
        <v>0</v>
      </c>
      <c r="P363" s="330">
        <f>0+'táj.2.'!P363</f>
        <v>0</v>
      </c>
      <c r="Q363" s="330">
        <f t="shared" si="20"/>
        <v>1400</v>
      </c>
      <c r="W363" s="371"/>
    </row>
    <row r="364" spans="1:23" ht="20.25" customHeight="1">
      <c r="A364" s="346"/>
      <c r="B364" s="346"/>
      <c r="C364" s="144" t="s">
        <v>565</v>
      </c>
      <c r="D364" s="510" t="s">
        <v>787</v>
      </c>
      <c r="E364" s="681"/>
      <c r="F364" s="23">
        <v>154423</v>
      </c>
      <c r="G364" s="330">
        <f>0+'táj.2.'!G364</f>
        <v>0</v>
      </c>
      <c r="H364" s="330">
        <f>0+'táj.2.'!H364</f>
        <v>0</v>
      </c>
      <c r="I364" s="330">
        <f>0+'táj.2.'!I364</f>
        <v>0</v>
      </c>
      <c r="J364" s="330">
        <f>0+'táj.2.'!J364</f>
        <v>0</v>
      </c>
      <c r="K364" s="330">
        <f>0+'táj.2.'!K364</f>
        <v>0</v>
      </c>
      <c r="L364" s="330">
        <f>0+'táj.2.'!L364</f>
        <v>0</v>
      </c>
      <c r="M364" s="330">
        <f>1500+'táj.2.'!M364</f>
        <v>1500</v>
      </c>
      <c r="N364" s="330">
        <f>0+'táj.2.'!N364</f>
        <v>0</v>
      </c>
      <c r="O364" s="330">
        <f>0+'táj.2.'!O364</f>
        <v>0</v>
      </c>
      <c r="P364" s="330">
        <f>0+'táj.2.'!P364</f>
        <v>0</v>
      </c>
      <c r="Q364" s="330">
        <f t="shared" si="20"/>
        <v>1500</v>
      </c>
      <c r="W364" s="371"/>
    </row>
    <row r="365" spans="1:23" ht="21" customHeight="1">
      <c r="A365" s="346"/>
      <c r="B365" s="346"/>
      <c r="C365" s="144" t="s">
        <v>566</v>
      </c>
      <c r="D365" s="510" t="s">
        <v>788</v>
      </c>
      <c r="E365" s="681"/>
      <c r="F365" s="23">
        <v>154424</v>
      </c>
      <c r="G365" s="330">
        <f>0+'táj.2.'!G365</f>
        <v>0</v>
      </c>
      <c r="H365" s="330">
        <f>0+'táj.2.'!H365</f>
        <v>0</v>
      </c>
      <c r="I365" s="330">
        <f>0+'táj.2.'!I365</f>
        <v>0</v>
      </c>
      <c r="J365" s="330">
        <f>0+'táj.2.'!J365</f>
        <v>0</v>
      </c>
      <c r="K365" s="330">
        <f>0+'táj.2.'!K365</f>
        <v>0</v>
      </c>
      <c r="L365" s="330">
        <f>0+'táj.2.'!L365</f>
        <v>0</v>
      </c>
      <c r="M365" s="330">
        <f>4000+'táj.2.'!M365</f>
        <v>4000</v>
      </c>
      <c r="N365" s="330">
        <f>0+'táj.2.'!N365</f>
        <v>0</v>
      </c>
      <c r="O365" s="330">
        <f>0+'táj.2.'!O365</f>
        <v>0</v>
      </c>
      <c r="P365" s="330">
        <f>0+'táj.2.'!P365</f>
        <v>0</v>
      </c>
      <c r="Q365" s="330">
        <f t="shared" si="20"/>
        <v>4000</v>
      </c>
      <c r="W365" s="371"/>
    </row>
    <row r="366" spans="1:23" ht="21" customHeight="1">
      <c r="A366" s="346"/>
      <c r="B366" s="346"/>
      <c r="C366" s="144" t="s">
        <v>567</v>
      </c>
      <c r="D366" s="510" t="s">
        <v>789</v>
      </c>
      <c r="E366" s="681"/>
      <c r="F366" s="23">
        <v>154425</v>
      </c>
      <c r="G366" s="330">
        <f>0+'táj.2.'!G366</f>
        <v>0</v>
      </c>
      <c r="H366" s="330">
        <f>0+'táj.2.'!H366</f>
        <v>0</v>
      </c>
      <c r="I366" s="330">
        <f>0+'táj.2.'!I366</f>
        <v>0</v>
      </c>
      <c r="J366" s="330">
        <f>0+'táj.2.'!J366</f>
        <v>0</v>
      </c>
      <c r="K366" s="330">
        <f>0+'táj.2.'!K366</f>
        <v>0</v>
      </c>
      <c r="L366" s="330">
        <f>0+'táj.2.'!L366</f>
        <v>0</v>
      </c>
      <c r="M366" s="330">
        <f>1500+'táj.2.'!M366</f>
        <v>1500</v>
      </c>
      <c r="N366" s="330">
        <f>0+'táj.2.'!N366</f>
        <v>0</v>
      </c>
      <c r="O366" s="330">
        <f>0+'táj.2.'!O366</f>
        <v>0</v>
      </c>
      <c r="P366" s="330">
        <f>0+'táj.2.'!P366</f>
        <v>0</v>
      </c>
      <c r="Q366" s="330">
        <f t="shared" si="20"/>
        <v>1500</v>
      </c>
      <c r="W366" s="371"/>
    </row>
    <row r="367" spans="1:23" ht="12.75" customHeight="1">
      <c r="A367" s="346"/>
      <c r="B367" s="346"/>
      <c r="C367" s="144" t="s">
        <v>568</v>
      </c>
      <c r="D367" s="510" t="s">
        <v>790</v>
      </c>
      <c r="E367" s="681"/>
      <c r="F367" s="23">
        <v>154426</v>
      </c>
      <c r="G367" s="330">
        <f>0+'táj.2.'!G367</f>
        <v>0</v>
      </c>
      <c r="H367" s="330">
        <f>0+'táj.2.'!H367</f>
        <v>0</v>
      </c>
      <c r="I367" s="330">
        <f>0+'táj.2.'!I367</f>
        <v>0</v>
      </c>
      <c r="J367" s="330">
        <f>0+'táj.2.'!J367</f>
        <v>0</v>
      </c>
      <c r="K367" s="330">
        <f>0+'táj.2.'!K367</f>
        <v>0</v>
      </c>
      <c r="L367" s="330">
        <f>0+'táj.2.'!L367</f>
        <v>0</v>
      </c>
      <c r="M367" s="330">
        <f>1000+'táj.2.'!M367</f>
        <v>1000</v>
      </c>
      <c r="N367" s="330">
        <f>0+'táj.2.'!N367</f>
        <v>0</v>
      </c>
      <c r="O367" s="330">
        <f>0+'táj.2.'!O367</f>
        <v>0</v>
      </c>
      <c r="P367" s="330">
        <f>0+'táj.2.'!P367</f>
        <v>0</v>
      </c>
      <c r="Q367" s="330">
        <f t="shared" si="20"/>
        <v>1000</v>
      </c>
      <c r="W367" s="371"/>
    </row>
    <row r="368" spans="1:23" ht="12.75" customHeight="1">
      <c r="A368" s="346"/>
      <c r="B368" s="346"/>
      <c r="C368" s="144" t="s">
        <v>569</v>
      </c>
      <c r="D368" s="510" t="s">
        <v>791</v>
      </c>
      <c r="E368" s="681"/>
      <c r="F368" s="23">
        <v>154427</v>
      </c>
      <c r="G368" s="330">
        <f>0+'táj.2.'!G368</f>
        <v>0</v>
      </c>
      <c r="H368" s="330">
        <f>0+'táj.2.'!H368</f>
        <v>0</v>
      </c>
      <c r="I368" s="330">
        <f>0+'táj.2.'!I368</f>
        <v>0</v>
      </c>
      <c r="J368" s="330">
        <f>0+'táj.2.'!J368</f>
        <v>0</v>
      </c>
      <c r="K368" s="330">
        <f>0+'táj.2.'!K368</f>
        <v>0</v>
      </c>
      <c r="L368" s="330">
        <f>0+'táj.2.'!L368</f>
        <v>0</v>
      </c>
      <c r="M368" s="330">
        <f>1500+'táj.2.'!M368</f>
        <v>1500</v>
      </c>
      <c r="N368" s="330">
        <f>0+'táj.2.'!N368</f>
        <v>0</v>
      </c>
      <c r="O368" s="330">
        <f>0+'táj.2.'!O368</f>
        <v>0</v>
      </c>
      <c r="P368" s="330">
        <f>0+'táj.2.'!P368</f>
        <v>0</v>
      </c>
      <c r="Q368" s="330">
        <f t="shared" si="20"/>
        <v>1500</v>
      </c>
      <c r="W368" s="371"/>
    </row>
    <row r="369" spans="1:23" ht="12.75" customHeight="1">
      <c r="A369" s="346"/>
      <c r="B369" s="346"/>
      <c r="C369" s="144" t="s">
        <v>54</v>
      </c>
      <c r="D369" s="510" t="s">
        <v>792</v>
      </c>
      <c r="E369" s="681"/>
      <c r="F369" s="23">
        <v>154428</v>
      </c>
      <c r="G369" s="330">
        <f>0+'táj.2.'!G369</f>
        <v>0</v>
      </c>
      <c r="H369" s="330">
        <f>0+'táj.2.'!H369</f>
        <v>0</v>
      </c>
      <c r="I369" s="330">
        <f>0+'táj.2.'!I369</f>
        <v>0</v>
      </c>
      <c r="J369" s="330">
        <f>0+'táj.2.'!J369</f>
        <v>0</v>
      </c>
      <c r="K369" s="330">
        <f>0+'táj.2.'!K369</f>
        <v>0</v>
      </c>
      <c r="L369" s="330">
        <f>0+'táj.2.'!L369</f>
        <v>0</v>
      </c>
      <c r="M369" s="330">
        <f>500+'táj.2.'!M369</f>
        <v>500</v>
      </c>
      <c r="N369" s="330">
        <f>0+'táj.2.'!N369</f>
        <v>0</v>
      </c>
      <c r="O369" s="330">
        <f>0+'táj.2.'!O369</f>
        <v>0</v>
      </c>
      <c r="P369" s="330">
        <f>0+'táj.2.'!P369</f>
        <v>0</v>
      </c>
      <c r="Q369" s="330">
        <f t="shared" si="20"/>
        <v>500</v>
      </c>
      <c r="W369" s="371"/>
    </row>
    <row r="370" spans="1:17" ht="12.75" customHeight="1">
      <c r="A370" s="346"/>
      <c r="B370" s="346"/>
      <c r="C370" s="346"/>
      <c r="D370" s="24" t="s">
        <v>286</v>
      </c>
      <c r="E370" s="681"/>
      <c r="F370" s="23"/>
      <c r="G370" s="330"/>
      <c r="H370" s="329"/>
      <c r="I370" s="329"/>
      <c r="J370" s="329"/>
      <c r="K370" s="329"/>
      <c r="L370" s="330"/>
      <c r="M370" s="330"/>
      <c r="N370" s="330"/>
      <c r="O370" s="329"/>
      <c r="P370" s="329"/>
      <c r="Q370" s="330"/>
    </row>
    <row r="371" spans="1:17" ht="17.25" customHeight="1">
      <c r="A371" s="346"/>
      <c r="B371" s="346"/>
      <c r="C371" s="144" t="s">
        <v>523</v>
      </c>
      <c r="D371" s="372" t="s">
        <v>359</v>
      </c>
      <c r="E371" s="681"/>
      <c r="F371" s="23">
        <v>152406</v>
      </c>
      <c r="G371" s="330">
        <f>0+'táj.2.'!G371</f>
        <v>0</v>
      </c>
      <c r="H371" s="330">
        <f>0+'táj.2.'!H371</f>
        <v>0</v>
      </c>
      <c r="I371" s="330">
        <f>0+'táj.2.'!I371</f>
        <v>0</v>
      </c>
      <c r="J371" s="330">
        <f>0+'táj.2.'!J371</f>
        <v>0</v>
      </c>
      <c r="K371" s="330">
        <f>0+'táj.2.'!K371</f>
        <v>0</v>
      </c>
      <c r="L371" s="330">
        <f>5001+'táj.2.'!L371</f>
        <v>5001</v>
      </c>
      <c r="M371" s="330">
        <f>0+'táj.2.'!M371</f>
        <v>0</v>
      </c>
      <c r="N371" s="330">
        <f>0+'táj.2.'!N371</f>
        <v>0</v>
      </c>
      <c r="O371" s="330">
        <f>0+'táj.2.'!O371</f>
        <v>0</v>
      </c>
      <c r="P371" s="330">
        <f>0+'táj.2.'!P371</f>
        <v>0</v>
      </c>
      <c r="Q371" s="330">
        <f aca="true" t="shared" si="21" ref="Q371:Q385">SUM(G371:P371)</f>
        <v>5001</v>
      </c>
    </row>
    <row r="372" spans="1:17" ht="25.5" customHeight="1">
      <c r="A372" s="346"/>
      <c r="B372" s="346"/>
      <c r="C372" s="144" t="s">
        <v>524</v>
      </c>
      <c r="D372" s="372" t="s">
        <v>699</v>
      </c>
      <c r="E372" s="681"/>
      <c r="F372" s="23">
        <v>152405</v>
      </c>
      <c r="G372" s="330">
        <f>0+'táj.2.'!G372</f>
        <v>0</v>
      </c>
      <c r="H372" s="330">
        <f>0+'táj.2.'!H372</f>
        <v>0</v>
      </c>
      <c r="I372" s="330">
        <f>0+'táj.2.'!I372</f>
        <v>0</v>
      </c>
      <c r="J372" s="330">
        <f>0+'táj.2.'!J372</f>
        <v>0</v>
      </c>
      <c r="K372" s="330">
        <f>0+'táj.2.'!K372</f>
        <v>0</v>
      </c>
      <c r="L372" s="330">
        <f>16376+'táj.2.'!L372</f>
        <v>16376</v>
      </c>
      <c r="M372" s="330">
        <f>0+'táj.2.'!M372</f>
        <v>0</v>
      </c>
      <c r="N372" s="330">
        <f>0+'táj.2.'!N372</f>
        <v>0</v>
      </c>
      <c r="O372" s="330">
        <f>0+'táj.2.'!O372</f>
        <v>0</v>
      </c>
      <c r="P372" s="330">
        <f>0+'táj.2.'!P372</f>
        <v>0</v>
      </c>
      <c r="Q372" s="330">
        <f t="shared" si="21"/>
        <v>16376</v>
      </c>
    </row>
    <row r="373" spans="1:17" ht="12.75" customHeight="1">
      <c r="A373" s="346"/>
      <c r="B373" s="346"/>
      <c r="C373" s="144" t="s">
        <v>525</v>
      </c>
      <c r="D373" s="100" t="s">
        <v>728</v>
      </c>
      <c r="E373" s="681"/>
      <c r="F373" s="23">
        <v>152442</v>
      </c>
      <c r="G373" s="330">
        <f>0+'táj.2.'!G373</f>
        <v>0</v>
      </c>
      <c r="H373" s="330">
        <f>0+'táj.2.'!H373</f>
        <v>0</v>
      </c>
      <c r="I373" s="330">
        <f>0+'táj.2.'!I373</f>
        <v>0</v>
      </c>
      <c r="J373" s="330">
        <f>0+'táj.2.'!J373</f>
        <v>0</v>
      </c>
      <c r="K373" s="330">
        <f>0+'táj.2.'!K373</f>
        <v>0</v>
      </c>
      <c r="L373" s="330">
        <f>1000+'táj.2.'!L373</f>
        <v>1000</v>
      </c>
      <c r="M373" s="330">
        <f>0+'táj.2.'!M373</f>
        <v>0</v>
      </c>
      <c r="N373" s="330">
        <f>0+'táj.2.'!N373</f>
        <v>0</v>
      </c>
      <c r="O373" s="330">
        <f>0+'táj.2.'!O373</f>
        <v>0</v>
      </c>
      <c r="P373" s="330">
        <f>0+'táj.2.'!P373</f>
        <v>0</v>
      </c>
      <c r="Q373" s="330">
        <f t="shared" si="21"/>
        <v>1000</v>
      </c>
    </row>
    <row r="374" spans="1:17" ht="12.75" customHeight="1">
      <c r="A374" s="346"/>
      <c r="B374" s="346"/>
      <c r="C374" s="144" t="s">
        <v>526</v>
      </c>
      <c r="D374" s="100" t="s">
        <v>977</v>
      </c>
      <c r="E374" s="681"/>
      <c r="F374" s="23">
        <v>152401</v>
      </c>
      <c r="G374" s="330">
        <f>0+'táj.2.'!G374</f>
        <v>0</v>
      </c>
      <c r="H374" s="330">
        <f>0+'táj.2.'!H374</f>
        <v>0</v>
      </c>
      <c r="I374" s="330">
        <f>0+'táj.2.'!I374</f>
        <v>0</v>
      </c>
      <c r="J374" s="330">
        <f>0+'táj.2.'!J374</f>
        <v>0</v>
      </c>
      <c r="K374" s="330">
        <f>0+'táj.2.'!K374</f>
        <v>0</v>
      </c>
      <c r="L374" s="330">
        <f>5507+'táj.2.'!L374</f>
        <v>5507</v>
      </c>
      <c r="M374" s="330">
        <f>0+'táj.2.'!M374</f>
        <v>0</v>
      </c>
      <c r="N374" s="330">
        <f>0+'táj.2.'!N374</f>
        <v>0</v>
      </c>
      <c r="O374" s="330">
        <f>0+'táj.2.'!O374</f>
        <v>0</v>
      </c>
      <c r="P374" s="330">
        <f>0+'táj.2.'!P374</f>
        <v>0</v>
      </c>
      <c r="Q374" s="330">
        <f t="shared" si="21"/>
        <v>5507</v>
      </c>
    </row>
    <row r="375" spans="1:17" ht="12.75" customHeight="1">
      <c r="A375" s="346"/>
      <c r="B375" s="346"/>
      <c r="C375" s="144" t="s">
        <v>527</v>
      </c>
      <c r="D375" s="100" t="s">
        <v>700</v>
      </c>
      <c r="E375" s="681"/>
      <c r="F375" s="23">
        <v>152431</v>
      </c>
      <c r="G375" s="330">
        <f>0+'táj.2.'!G375</f>
        <v>0</v>
      </c>
      <c r="H375" s="330">
        <f>0+'táj.2.'!H375</f>
        <v>0</v>
      </c>
      <c r="I375" s="330">
        <f>0+'táj.2.'!I375</f>
        <v>0</v>
      </c>
      <c r="J375" s="330">
        <f>0+'táj.2.'!J375</f>
        <v>0</v>
      </c>
      <c r="K375" s="330">
        <f>0+'táj.2.'!K375</f>
        <v>0</v>
      </c>
      <c r="L375" s="330">
        <f>1570+'táj.2.'!L375</f>
        <v>1570</v>
      </c>
      <c r="M375" s="330">
        <f>0+'táj.2.'!M375</f>
        <v>0</v>
      </c>
      <c r="N375" s="330">
        <f>0+'táj.2.'!N375</f>
        <v>0</v>
      </c>
      <c r="O375" s="330">
        <f>0+'táj.2.'!O375</f>
        <v>0</v>
      </c>
      <c r="P375" s="330">
        <f>0+'táj.2.'!P375</f>
        <v>0</v>
      </c>
      <c r="Q375" s="330">
        <f t="shared" si="21"/>
        <v>1570</v>
      </c>
    </row>
    <row r="376" spans="1:17" ht="12.75" customHeight="1">
      <c r="A376" s="346"/>
      <c r="B376" s="346"/>
      <c r="C376" s="144" t="s">
        <v>528</v>
      </c>
      <c r="D376" s="100" t="s">
        <v>51</v>
      </c>
      <c r="E376" s="681"/>
      <c r="F376" s="23">
        <v>154463</v>
      </c>
      <c r="G376" s="330">
        <f>0+'táj.2.'!G376</f>
        <v>0</v>
      </c>
      <c r="H376" s="330">
        <f>0+'táj.2.'!H376</f>
        <v>0</v>
      </c>
      <c r="I376" s="330">
        <f>0+'táj.2.'!I376</f>
        <v>0</v>
      </c>
      <c r="J376" s="330">
        <f>0+'táj.2.'!J376</f>
        <v>0</v>
      </c>
      <c r="K376" s="330">
        <f>0+'táj.2.'!K376</f>
        <v>0</v>
      </c>
      <c r="L376" s="330">
        <f>0+'táj.2.'!L376</f>
        <v>0</v>
      </c>
      <c r="M376" s="330">
        <f>18061+'táj.2.'!M376</f>
        <v>18061</v>
      </c>
      <c r="N376" s="330">
        <f>0+'táj.2.'!N376</f>
        <v>0</v>
      </c>
      <c r="O376" s="330">
        <f>0+'táj.2.'!O376</f>
        <v>0</v>
      </c>
      <c r="P376" s="330">
        <f>0+'táj.2.'!P376</f>
        <v>0</v>
      </c>
      <c r="Q376" s="330">
        <f t="shared" si="21"/>
        <v>18061</v>
      </c>
    </row>
    <row r="377" spans="1:17" ht="12.75" customHeight="1">
      <c r="A377" s="346"/>
      <c r="B377" s="346"/>
      <c r="C377" s="144" t="s">
        <v>529</v>
      </c>
      <c r="D377" s="100" t="s">
        <v>52</v>
      </c>
      <c r="E377" s="681"/>
      <c r="F377" s="23">
        <v>154482</v>
      </c>
      <c r="G377" s="330">
        <f>0+'táj.2.'!G377</f>
        <v>0</v>
      </c>
      <c r="H377" s="330">
        <f>0+'táj.2.'!H377</f>
        <v>0</v>
      </c>
      <c r="I377" s="330">
        <f>0+'táj.2.'!I377</f>
        <v>0</v>
      </c>
      <c r="J377" s="330">
        <f>0+'táj.2.'!J377</f>
        <v>0</v>
      </c>
      <c r="K377" s="330">
        <f>0+'táj.2.'!K377</f>
        <v>0</v>
      </c>
      <c r="L377" s="330">
        <f>0+'táj.2.'!L377</f>
        <v>0</v>
      </c>
      <c r="M377" s="330">
        <f>18967+'táj.2.'!M377</f>
        <v>18967</v>
      </c>
      <c r="N377" s="330">
        <f>0+'táj.2.'!N377</f>
        <v>0</v>
      </c>
      <c r="O377" s="330">
        <f>0+'táj.2.'!O377</f>
        <v>0</v>
      </c>
      <c r="P377" s="330">
        <f>0+'táj.2.'!P377</f>
        <v>0</v>
      </c>
      <c r="Q377" s="330">
        <f t="shared" si="21"/>
        <v>18967</v>
      </c>
    </row>
    <row r="378" spans="1:17" ht="12.75" customHeight="1">
      <c r="A378" s="346"/>
      <c r="B378" s="346"/>
      <c r="C378" s="144" t="s">
        <v>793</v>
      </c>
      <c r="D378" s="100" t="s">
        <v>644</v>
      </c>
      <c r="E378" s="681"/>
      <c r="F378" s="23">
        <v>154420</v>
      </c>
      <c r="G378" s="330">
        <f>0+'táj.2.'!G378</f>
        <v>0</v>
      </c>
      <c r="H378" s="330">
        <f>0+'táj.2.'!H378</f>
        <v>0</v>
      </c>
      <c r="I378" s="330">
        <f>0+'táj.2.'!I378</f>
        <v>0</v>
      </c>
      <c r="J378" s="330">
        <f>0+'táj.2.'!J378</f>
        <v>0</v>
      </c>
      <c r="K378" s="330">
        <f>0+'táj.2.'!K378</f>
        <v>0</v>
      </c>
      <c r="L378" s="330">
        <f>0+'táj.2.'!L378</f>
        <v>0</v>
      </c>
      <c r="M378" s="330">
        <f>3998+'táj.2.'!M378</f>
        <v>3998</v>
      </c>
      <c r="N378" s="330">
        <f>0+'táj.2.'!N378</f>
        <v>0</v>
      </c>
      <c r="O378" s="330">
        <f>0+'táj.2.'!O378</f>
        <v>0</v>
      </c>
      <c r="P378" s="330">
        <f>0+'táj.2.'!P378</f>
        <v>0</v>
      </c>
      <c r="Q378" s="330">
        <f t="shared" si="21"/>
        <v>3998</v>
      </c>
    </row>
    <row r="379" spans="1:17" ht="12.75" customHeight="1">
      <c r="A379" s="346"/>
      <c r="B379" s="346"/>
      <c r="C379" s="144" t="s">
        <v>794</v>
      </c>
      <c r="D379" s="100" t="s">
        <v>55</v>
      </c>
      <c r="E379" s="681"/>
      <c r="F379" s="23">
        <v>155423</v>
      </c>
      <c r="G379" s="330">
        <f>0+'táj.2.'!G379</f>
        <v>0</v>
      </c>
      <c r="H379" s="330">
        <f>0+'táj.2.'!H379</f>
        <v>0</v>
      </c>
      <c r="I379" s="330">
        <f>0+'táj.2.'!I379</f>
        <v>0</v>
      </c>
      <c r="J379" s="330">
        <f>0+'táj.2.'!J379</f>
        <v>0</v>
      </c>
      <c r="K379" s="330">
        <f>0+'táj.2.'!K379</f>
        <v>0</v>
      </c>
      <c r="L379" s="330">
        <f>0+'táj.2.'!L379</f>
        <v>0</v>
      </c>
      <c r="M379" s="330">
        <f>6702+'táj.2.'!M379</f>
        <v>6702</v>
      </c>
      <c r="N379" s="330">
        <f>0+'táj.2.'!N379</f>
        <v>0</v>
      </c>
      <c r="O379" s="330">
        <f>0+'táj.2.'!O379</f>
        <v>0</v>
      </c>
      <c r="P379" s="330">
        <f>0+'táj.2.'!P379</f>
        <v>0</v>
      </c>
      <c r="Q379" s="330">
        <f t="shared" si="21"/>
        <v>6702</v>
      </c>
    </row>
    <row r="380" spans="1:17" ht="12.75" customHeight="1">
      <c r="A380" s="346"/>
      <c r="B380" s="346"/>
      <c r="C380" s="144" t="s">
        <v>795</v>
      </c>
      <c r="D380" s="100" t="s">
        <v>56</v>
      </c>
      <c r="E380" s="681"/>
      <c r="F380" s="23">
        <v>155425</v>
      </c>
      <c r="G380" s="330">
        <f>0+'táj.2.'!G380</f>
        <v>0</v>
      </c>
      <c r="H380" s="330">
        <f>0+'táj.2.'!H380</f>
        <v>0</v>
      </c>
      <c r="I380" s="330">
        <f>0+'táj.2.'!I380</f>
        <v>0</v>
      </c>
      <c r="J380" s="330">
        <f>0+'táj.2.'!J380</f>
        <v>0</v>
      </c>
      <c r="K380" s="330">
        <f>0+'táj.2.'!K380</f>
        <v>0</v>
      </c>
      <c r="L380" s="330">
        <f>0+'táj.2.'!L380</f>
        <v>0</v>
      </c>
      <c r="M380" s="330">
        <f>3114+'táj.2.'!M380</f>
        <v>3114</v>
      </c>
      <c r="N380" s="330">
        <f>0+'táj.2.'!N380</f>
        <v>0</v>
      </c>
      <c r="O380" s="330">
        <f>0+'táj.2.'!O380</f>
        <v>0</v>
      </c>
      <c r="P380" s="330">
        <f>0+'táj.2.'!P380</f>
        <v>0</v>
      </c>
      <c r="Q380" s="330">
        <f t="shared" si="21"/>
        <v>3114</v>
      </c>
    </row>
    <row r="381" spans="1:17" ht="23.25" customHeight="1">
      <c r="A381" s="346"/>
      <c r="B381" s="346"/>
      <c r="C381" s="144" t="s">
        <v>796</v>
      </c>
      <c r="D381" s="511" t="s">
        <v>57</v>
      </c>
      <c r="E381" s="681"/>
      <c r="F381" s="23">
        <v>155431</v>
      </c>
      <c r="G381" s="330">
        <f>0+'táj.2.'!G381</f>
        <v>0</v>
      </c>
      <c r="H381" s="330">
        <f>0+'táj.2.'!H381</f>
        <v>0</v>
      </c>
      <c r="I381" s="330">
        <f>0+'táj.2.'!I381</f>
        <v>0</v>
      </c>
      <c r="J381" s="330">
        <f>0+'táj.2.'!J381</f>
        <v>0</v>
      </c>
      <c r="K381" s="330">
        <f>0+'táj.2.'!K381</f>
        <v>0</v>
      </c>
      <c r="L381" s="330">
        <f>0+'táj.2.'!L381</f>
        <v>0</v>
      </c>
      <c r="M381" s="330">
        <f>2188+'táj.2.'!M381</f>
        <v>2188</v>
      </c>
      <c r="N381" s="330">
        <f>0+'táj.2.'!N381</f>
        <v>0</v>
      </c>
      <c r="O381" s="330">
        <f>0+'táj.2.'!O381</f>
        <v>0</v>
      </c>
      <c r="P381" s="330">
        <f>0+'táj.2.'!P381</f>
        <v>0</v>
      </c>
      <c r="Q381" s="330">
        <f t="shared" si="21"/>
        <v>2188</v>
      </c>
    </row>
    <row r="382" spans="1:17" ht="25.5" customHeight="1">
      <c r="A382" s="346"/>
      <c r="B382" s="346"/>
      <c r="C382" s="144" t="s">
        <v>797</v>
      </c>
      <c r="D382" s="374" t="s">
        <v>798</v>
      </c>
      <c r="E382" s="681"/>
      <c r="F382" s="23">
        <v>155432</v>
      </c>
      <c r="G382" s="330">
        <f>0+'táj.2.'!G382</f>
        <v>0</v>
      </c>
      <c r="H382" s="330">
        <f>0+'táj.2.'!H382</f>
        <v>0</v>
      </c>
      <c r="I382" s="330">
        <f>0+'táj.2.'!I382</f>
        <v>0</v>
      </c>
      <c r="J382" s="330">
        <f>0+'táj.2.'!J382</f>
        <v>0</v>
      </c>
      <c r="K382" s="330">
        <f>0+'táj.2.'!K382</f>
        <v>0</v>
      </c>
      <c r="L382" s="330">
        <f>0+'táj.2.'!L382</f>
        <v>0</v>
      </c>
      <c r="M382" s="330">
        <f>1969+'táj.2.'!M382</f>
        <v>1969</v>
      </c>
      <c r="N382" s="330">
        <f>0+'táj.2.'!N382</f>
        <v>0</v>
      </c>
      <c r="O382" s="330">
        <f>0+'táj.2.'!O382</f>
        <v>0</v>
      </c>
      <c r="P382" s="330">
        <f>0+'táj.2.'!P382</f>
        <v>0</v>
      </c>
      <c r="Q382" s="330">
        <f t="shared" si="21"/>
        <v>1969</v>
      </c>
    </row>
    <row r="383" spans="1:17" ht="12.75" customHeight="1">
      <c r="A383" s="346"/>
      <c r="B383" s="346"/>
      <c r="C383" s="144" t="s">
        <v>799</v>
      </c>
      <c r="D383" s="375" t="s">
        <v>58</v>
      </c>
      <c r="E383" s="681"/>
      <c r="F383" s="23">
        <v>155433</v>
      </c>
      <c r="G383" s="330">
        <f>0+'táj.2.'!G383</f>
        <v>0</v>
      </c>
      <c r="H383" s="330">
        <f>0+'táj.2.'!H383</f>
        <v>0</v>
      </c>
      <c r="I383" s="330">
        <f>0+'táj.2.'!I383</f>
        <v>0</v>
      </c>
      <c r="J383" s="330">
        <f>0+'táj.2.'!J383</f>
        <v>0</v>
      </c>
      <c r="K383" s="330">
        <f>0+'táj.2.'!K383</f>
        <v>0</v>
      </c>
      <c r="L383" s="330">
        <f>0+'táj.2.'!L383</f>
        <v>0</v>
      </c>
      <c r="M383" s="330">
        <f>7725+'táj.2.'!M383</f>
        <v>7725</v>
      </c>
      <c r="N383" s="330">
        <f>0+'táj.2.'!N383</f>
        <v>0</v>
      </c>
      <c r="O383" s="330">
        <f>0+'táj.2.'!O383</f>
        <v>0</v>
      </c>
      <c r="P383" s="330">
        <f>0+'táj.2.'!P383</f>
        <v>0</v>
      </c>
      <c r="Q383" s="330">
        <f t="shared" si="21"/>
        <v>7725</v>
      </c>
    </row>
    <row r="384" spans="1:17" ht="12.75" customHeight="1">
      <c r="A384" s="346"/>
      <c r="B384" s="346"/>
      <c r="C384" s="144" t="s">
        <v>800</v>
      </c>
      <c r="D384" s="100" t="s">
        <v>801</v>
      </c>
      <c r="E384" s="681"/>
      <c r="F384" s="23">
        <v>154500</v>
      </c>
      <c r="G384" s="330">
        <f>0+'táj.2.'!G384</f>
        <v>0</v>
      </c>
      <c r="H384" s="330">
        <f>0+'táj.2.'!H384</f>
        <v>0</v>
      </c>
      <c r="I384" s="330">
        <f>0+'táj.2.'!I384</f>
        <v>0</v>
      </c>
      <c r="J384" s="330">
        <f>0+'táj.2.'!J384</f>
        <v>0</v>
      </c>
      <c r="K384" s="330">
        <f>0+'táj.2.'!K384</f>
        <v>0</v>
      </c>
      <c r="L384" s="330">
        <f>0+'táj.2.'!L384</f>
        <v>0</v>
      </c>
      <c r="M384" s="330">
        <f>1500+'táj.2.'!M384</f>
        <v>1500</v>
      </c>
      <c r="N384" s="330">
        <f>0+'táj.2.'!N384</f>
        <v>0</v>
      </c>
      <c r="O384" s="330">
        <f>0+'táj.2.'!O384</f>
        <v>0</v>
      </c>
      <c r="P384" s="330">
        <f>0+'táj.2.'!P384</f>
        <v>0</v>
      </c>
      <c r="Q384" s="330">
        <f t="shared" si="21"/>
        <v>1500</v>
      </c>
    </row>
    <row r="385" spans="1:17" ht="27" customHeight="1">
      <c r="A385" s="346"/>
      <c r="B385" s="346"/>
      <c r="C385" s="144" t="s">
        <v>802</v>
      </c>
      <c r="D385" s="161" t="s">
        <v>699</v>
      </c>
      <c r="E385" s="681"/>
      <c r="F385" s="23">
        <v>152405</v>
      </c>
      <c r="G385" s="330">
        <f>0+'táj.2.'!G385</f>
        <v>0</v>
      </c>
      <c r="H385" s="330">
        <f>0+'táj.2.'!H385</f>
        <v>0</v>
      </c>
      <c r="I385" s="330">
        <f>0+'táj.2.'!I385</f>
        <v>0</v>
      </c>
      <c r="J385" s="330">
        <f>0+'táj.2.'!J385</f>
        <v>0</v>
      </c>
      <c r="K385" s="330">
        <f>0+'táj.2.'!K385</f>
        <v>0</v>
      </c>
      <c r="L385" s="330">
        <f>0+'táj.2.'!L385</f>
        <v>0</v>
      </c>
      <c r="M385" s="330">
        <f>2413+'táj.2.'!M385</f>
        <v>2413</v>
      </c>
      <c r="N385" s="330">
        <f>0+'táj.2.'!N385</f>
        <v>0</v>
      </c>
      <c r="O385" s="330">
        <f>0+'táj.2.'!O385</f>
        <v>0</v>
      </c>
      <c r="P385" s="330">
        <f>0+'táj.2.'!P385</f>
        <v>0</v>
      </c>
      <c r="Q385" s="330">
        <f t="shared" si="21"/>
        <v>2413</v>
      </c>
    </row>
    <row r="386" spans="1:17" ht="12.75" customHeight="1">
      <c r="A386" s="346"/>
      <c r="B386" s="346"/>
      <c r="C386" s="346" t="s">
        <v>599</v>
      </c>
      <c r="D386" s="497" t="s">
        <v>550</v>
      </c>
      <c r="E386" s="681"/>
      <c r="F386" s="23"/>
      <c r="G386" s="330"/>
      <c r="H386" s="329"/>
      <c r="I386" s="329"/>
      <c r="J386" s="329"/>
      <c r="K386" s="329"/>
      <c r="L386" s="330"/>
      <c r="M386" s="330"/>
      <c r="N386" s="330"/>
      <c r="O386" s="329"/>
      <c r="P386" s="329"/>
      <c r="Q386" s="330"/>
    </row>
    <row r="387" spans="1:17" ht="12.75" customHeight="1">
      <c r="A387" s="346"/>
      <c r="B387" s="346"/>
      <c r="C387" s="144" t="s">
        <v>620</v>
      </c>
      <c r="D387" s="24" t="s">
        <v>720</v>
      </c>
      <c r="E387" s="681"/>
      <c r="F387" s="23">
        <v>152908</v>
      </c>
      <c r="G387" s="330">
        <f>0+'táj.2.'!G387</f>
        <v>0</v>
      </c>
      <c r="H387" s="330">
        <f>0+'táj.2.'!H387</f>
        <v>0</v>
      </c>
      <c r="I387" s="330">
        <f>0+'táj.2.'!I387</f>
        <v>0</v>
      </c>
      <c r="J387" s="330">
        <f>0+'táj.2.'!J387</f>
        <v>0</v>
      </c>
      <c r="K387" s="330">
        <f>0+'táj.2.'!K387</f>
        <v>0</v>
      </c>
      <c r="L387" s="330">
        <f>9000+'táj.2.'!L387</f>
        <v>9000</v>
      </c>
      <c r="M387" s="330">
        <f>0+'táj.2.'!M387</f>
        <v>0</v>
      </c>
      <c r="N387" s="330">
        <f>0+'táj.2.'!N387</f>
        <v>0</v>
      </c>
      <c r="O387" s="330">
        <f>0+'táj.2.'!O387</f>
        <v>0</v>
      </c>
      <c r="P387" s="330">
        <f>0+'táj.2.'!P387</f>
        <v>0</v>
      </c>
      <c r="Q387" s="330">
        <f aca="true" t="shared" si="22" ref="Q387:Q401">SUM(G387:P387)</f>
        <v>9000</v>
      </c>
    </row>
    <row r="388" spans="1:23" ht="12.75" customHeight="1">
      <c r="A388" s="346"/>
      <c r="B388" s="346"/>
      <c r="C388" s="144" t="s">
        <v>621</v>
      </c>
      <c r="D388" s="347" t="s">
        <v>803</v>
      </c>
      <c r="E388" s="681"/>
      <c r="F388" s="23">
        <v>162921</v>
      </c>
      <c r="G388" s="330">
        <f>0+'táj.2.'!G388</f>
        <v>0</v>
      </c>
      <c r="H388" s="330">
        <f>0+'táj.2.'!H388</f>
        <v>0</v>
      </c>
      <c r="I388" s="330">
        <f>0+'táj.2.'!I388</f>
        <v>0</v>
      </c>
      <c r="J388" s="330">
        <f>0+'táj.2.'!J388</f>
        <v>0</v>
      </c>
      <c r="K388" s="330">
        <f>0+'táj.2.'!K388</f>
        <v>0</v>
      </c>
      <c r="L388" s="330">
        <f>1000+'táj.2.'!L388</f>
        <v>1000</v>
      </c>
      <c r="M388" s="330">
        <f>0+'táj.2.'!M388</f>
        <v>0</v>
      </c>
      <c r="N388" s="330">
        <f>0+'táj.2.'!N388</f>
        <v>0</v>
      </c>
      <c r="O388" s="330">
        <f>0+'táj.2.'!O388</f>
        <v>0</v>
      </c>
      <c r="P388" s="330">
        <f>0+'táj.2.'!P388</f>
        <v>0</v>
      </c>
      <c r="Q388" s="330">
        <f t="shared" si="22"/>
        <v>1000</v>
      </c>
      <c r="W388" s="330"/>
    </row>
    <row r="389" spans="1:23" ht="12.75" customHeight="1">
      <c r="A389" s="346"/>
      <c r="B389" s="346"/>
      <c r="C389" s="144" t="s">
        <v>622</v>
      </c>
      <c r="D389" s="347" t="s">
        <v>804</v>
      </c>
      <c r="E389" s="681"/>
      <c r="F389" s="23">
        <v>152924</v>
      </c>
      <c r="G389" s="330">
        <f>0+'táj.2.'!G389</f>
        <v>0</v>
      </c>
      <c r="H389" s="330">
        <f>0+'táj.2.'!H389</f>
        <v>0</v>
      </c>
      <c r="I389" s="330">
        <f>0+'táj.2.'!I389</f>
        <v>0</v>
      </c>
      <c r="J389" s="330">
        <f>0+'táj.2.'!J389</f>
        <v>0</v>
      </c>
      <c r="K389" s="330">
        <f>0+'táj.2.'!K389</f>
        <v>0</v>
      </c>
      <c r="L389" s="330">
        <f>1000+'táj.2.'!L389</f>
        <v>1000</v>
      </c>
      <c r="M389" s="330">
        <f>0+'táj.2.'!M389</f>
        <v>0</v>
      </c>
      <c r="N389" s="330">
        <f>0+'táj.2.'!N389</f>
        <v>0</v>
      </c>
      <c r="O389" s="330">
        <f>0+'táj.2.'!O389</f>
        <v>0</v>
      </c>
      <c r="P389" s="330">
        <f>0+'táj.2.'!P389</f>
        <v>0</v>
      </c>
      <c r="Q389" s="330">
        <f t="shared" si="22"/>
        <v>1000</v>
      </c>
      <c r="W389" s="330"/>
    </row>
    <row r="390" spans="1:23" ht="12.75" customHeight="1">
      <c r="A390" s="346"/>
      <c r="B390" s="346"/>
      <c r="C390" s="144" t="s">
        <v>623</v>
      </c>
      <c r="D390" s="347" t="s">
        <v>805</v>
      </c>
      <c r="E390" s="681"/>
      <c r="F390" s="23">
        <v>152925</v>
      </c>
      <c r="G390" s="330">
        <f>0+'táj.2.'!G390</f>
        <v>0</v>
      </c>
      <c r="H390" s="330">
        <f>0+'táj.2.'!H390</f>
        <v>0</v>
      </c>
      <c r="I390" s="330">
        <f>0+'táj.2.'!I390</f>
        <v>0</v>
      </c>
      <c r="J390" s="330">
        <f>0+'táj.2.'!J390</f>
        <v>0</v>
      </c>
      <c r="K390" s="330">
        <f>0+'táj.2.'!K390</f>
        <v>0</v>
      </c>
      <c r="L390" s="330">
        <f>0+'táj.2.'!L390</f>
        <v>0</v>
      </c>
      <c r="M390" s="330">
        <f>0+'táj.2.'!M390</f>
        <v>0</v>
      </c>
      <c r="N390" s="330">
        <f>1000+'táj.2.'!N390</f>
        <v>1000</v>
      </c>
      <c r="O390" s="330">
        <f>0+'táj.2.'!O390</f>
        <v>0</v>
      </c>
      <c r="P390" s="330">
        <f>0+'táj.2.'!P390</f>
        <v>0</v>
      </c>
      <c r="Q390" s="330">
        <f t="shared" si="22"/>
        <v>1000</v>
      </c>
      <c r="W390" s="330"/>
    </row>
    <row r="391" spans="1:23" ht="12.75" customHeight="1">
      <c r="A391" s="346"/>
      <c r="B391" s="346"/>
      <c r="C391" s="144" t="s">
        <v>702</v>
      </c>
      <c r="D391" s="347" t="s">
        <v>806</v>
      </c>
      <c r="E391" s="681"/>
      <c r="F391" s="23">
        <v>152926</v>
      </c>
      <c r="G391" s="330">
        <f>0+'táj.2.'!G391</f>
        <v>0</v>
      </c>
      <c r="H391" s="330">
        <f>0+'táj.2.'!H391</f>
        <v>0</v>
      </c>
      <c r="I391" s="330">
        <f>0+'táj.2.'!I391</f>
        <v>0</v>
      </c>
      <c r="J391" s="330">
        <f>0+'táj.2.'!J391</f>
        <v>0</v>
      </c>
      <c r="K391" s="330">
        <f>0+'táj.2.'!K391</f>
        <v>0</v>
      </c>
      <c r="L391" s="330">
        <f>1000+'táj.2.'!L391</f>
        <v>1000</v>
      </c>
      <c r="M391" s="330">
        <f>0+'táj.2.'!M391</f>
        <v>0</v>
      </c>
      <c r="N391" s="330">
        <f>0+'táj.2.'!N391</f>
        <v>0</v>
      </c>
      <c r="O391" s="330">
        <f>0+'táj.2.'!O391</f>
        <v>0</v>
      </c>
      <c r="P391" s="330">
        <f>0+'táj.2.'!P391</f>
        <v>0</v>
      </c>
      <c r="Q391" s="330">
        <f t="shared" si="22"/>
        <v>1000</v>
      </c>
      <c r="W391" s="330"/>
    </row>
    <row r="392" spans="1:23" ht="12.75" customHeight="1">
      <c r="A392" s="346"/>
      <c r="B392" s="346"/>
      <c r="C392" s="144" t="s">
        <v>703</v>
      </c>
      <c r="D392" s="347" t="s">
        <v>1076</v>
      </c>
      <c r="E392" s="681"/>
      <c r="F392" s="23">
        <v>152505</v>
      </c>
      <c r="G392" s="330">
        <f>0+'táj.2.'!G392</f>
        <v>0</v>
      </c>
      <c r="H392" s="330">
        <f>0+'táj.2.'!H392</f>
        <v>0</v>
      </c>
      <c r="I392" s="330">
        <f>0+'táj.2.'!I392</f>
        <v>0</v>
      </c>
      <c r="J392" s="330">
        <f>0+'táj.2.'!J392</f>
        <v>0</v>
      </c>
      <c r="K392" s="330">
        <f>0+'táj.2.'!K392</f>
        <v>0</v>
      </c>
      <c r="L392" s="330">
        <f>400+'táj.2.'!L392</f>
        <v>400</v>
      </c>
      <c r="M392" s="330">
        <f>0+'táj.2.'!M392</f>
        <v>0</v>
      </c>
      <c r="N392" s="330">
        <f>0+'táj.2.'!N392</f>
        <v>0</v>
      </c>
      <c r="O392" s="330">
        <f>0+'táj.2.'!O392</f>
        <v>0</v>
      </c>
      <c r="P392" s="330">
        <f>0+'táj.2.'!P392</f>
        <v>0</v>
      </c>
      <c r="Q392" s="330">
        <f t="shared" si="22"/>
        <v>400</v>
      </c>
      <c r="W392" s="330"/>
    </row>
    <row r="393" spans="1:23" ht="12.75" customHeight="1">
      <c r="A393" s="346"/>
      <c r="B393" s="346"/>
      <c r="C393" s="144" t="s">
        <v>704</v>
      </c>
      <c r="D393" s="347" t="s">
        <v>808</v>
      </c>
      <c r="E393" s="681"/>
      <c r="F393" s="23">
        <v>152909</v>
      </c>
      <c r="G393" s="330">
        <f>0+'táj.2.'!G393</f>
        <v>0</v>
      </c>
      <c r="H393" s="330">
        <f>0+'táj.2.'!H393</f>
        <v>0</v>
      </c>
      <c r="I393" s="330">
        <f>0+'táj.2.'!I393</f>
        <v>0</v>
      </c>
      <c r="J393" s="330">
        <f>0+'táj.2.'!J393</f>
        <v>0</v>
      </c>
      <c r="K393" s="330">
        <f>0+'táj.2.'!K393</f>
        <v>0</v>
      </c>
      <c r="L393" s="330">
        <f>1000+'táj.2.'!L393</f>
        <v>1000</v>
      </c>
      <c r="M393" s="330">
        <f>0+'táj.2.'!M393</f>
        <v>0</v>
      </c>
      <c r="N393" s="330">
        <f>0+'táj.2.'!N393</f>
        <v>0</v>
      </c>
      <c r="O393" s="330">
        <f>0+'táj.2.'!O393</f>
        <v>0</v>
      </c>
      <c r="P393" s="330">
        <f>0+'táj.2.'!P393</f>
        <v>0</v>
      </c>
      <c r="Q393" s="330">
        <f t="shared" si="22"/>
        <v>1000</v>
      </c>
      <c r="W393" s="330"/>
    </row>
    <row r="394" spans="1:23" ht="12.75" customHeight="1">
      <c r="A394" s="346"/>
      <c r="B394" s="346"/>
      <c r="C394" s="144" t="s">
        <v>705</v>
      </c>
      <c r="D394" s="347" t="s">
        <v>809</v>
      </c>
      <c r="E394" s="681"/>
      <c r="F394" s="23">
        <v>152927</v>
      </c>
      <c r="G394" s="330">
        <f>0+'táj.2.'!G394</f>
        <v>0</v>
      </c>
      <c r="H394" s="330">
        <f>0+'táj.2.'!H394</f>
        <v>0</v>
      </c>
      <c r="I394" s="330">
        <f>0+'táj.2.'!I394</f>
        <v>0</v>
      </c>
      <c r="J394" s="330">
        <f>0+'táj.2.'!J394</f>
        <v>0</v>
      </c>
      <c r="K394" s="330">
        <f>0+'táj.2.'!K394</f>
        <v>0</v>
      </c>
      <c r="L394" s="330">
        <f>500+'táj.2.'!L394</f>
        <v>500</v>
      </c>
      <c r="M394" s="330">
        <f>0+'táj.2.'!M394</f>
        <v>0</v>
      </c>
      <c r="N394" s="330">
        <f>0+'táj.2.'!N394</f>
        <v>0</v>
      </c>
      <c r="O394" s="330">
        <f>0+'táj.2.'!O394</f>
        <v>0</v>
      </c>
      <c r="P394" s="330">
        <f>0+'táj.2.'!P394</f>
        <v>0</v>
      </c>
      <c r="Q394" s="330">
        <f t="shared" si="22"/>
        <v>500</v>
      </c>
      <c r="W394" s="330"/>
    </row>
    <row r="395" spans="1:23" ht="27.75" customHeight="1">
      <c r="A395" s="346"/>
      <c r="B395" s="346"/>
      <c r="C395" s="144" t="s">
        <v>707</v>
      </c>
      <c r="D395" s="347" t="s">
        <v>810</v>
      </c>
      <c r="E395" s="681"/>
      <c r="F395" s="23">
        <v>152502</v>
      </c>
      <c r="G395" s="330">
        <f>0+'táj.2.'!G395</f>
        <v>0</v>
      </c>
      <c r="H395" s="330">
        <f>0+'táj.2.'!H395</f>
        <v>0</v>
      </c>
      <c r="I395" s="330">
        <f>0+'táj.2.'!I395</f>
        <v>0</v>
      </c>
      <c r="J395" s="330">
        <f>0+'táj.2.'!J395</f>
        <v>0</v>
      </c>
      <c r="K395" s="330">
        <f>0+'táj.2.'!K395</f>
        <v>0</v>
      </c>
      <c r="L395" s="330">
        <f>500+'táj.2.'!L395</f>
        <v>500</v>
      </c>
      <c r="M395" s="330">
        <f>0+'táj.2.'!M395</f>
        <v>0</v>
      </c>
      <c r="N395" s="330">
        <f>0+'táj.2.'!N395</f>
        <v>0</v>
      </c>
      <c r="O395" s="330">
        <f>0+'táj.2.'!O395</f>
        <v>0</v>
      </c>
      <c r="P395" s="330">
        <f>0+'táj.2.'!P395</f>
        <v>0</v>
      </c>
      <c r="Q395" s="330">
        <f t="shared" si="22"/>
        <v>500</v>
      </c>
      <c r="W395" s="330"/>
    </row>
    <row r="396" spans="1:23" ht="26.25" customHeight="1">
      <c r="A396" s="346"/>
      <c r="B396" s="346"/>
      <c r="C396" s="144" t="s">
        <v>711</v>
      </c>
      <c r="D396" s="513" t="s">
        <v>811</v>
      </c>
      <c r="E396" s="681"/>
      <c r="F396" s="23">
        <v>152503</v>
      </c>
      <c r="G396" s="330">
        <f>0+'táj.2.'!G396</f>
        <v>0</v>
      </c>
      <c r="H396" s="330">
        <f>0+'táj.2.'!H396</f>
        <v>0</v>
      </c>
      <c r="I396" s="330">
        <f>0+'táj.2.'!I396</f>
        <v>0</v>
      </c>
      <c r="J396" s="330">
        <f>0+'táj.2.'!J396</f>
        <v>0</v>
      </c>
      <c r="K396" s="330">
        <f>0+'táj.2.'!K396</f>
        <v>0</v>
      </c>
      <c r="L396" s="330">
        <f>500+'táj.2.'!L396</f>
        <v>500</v>
      </c>
      <c r="M396" s="330">
        <f>0+'táj.2.'!M396</f>
        <v>0</v>
      </c>
      <c r="N396" s="330">
        <f>0+'táj.2.'!N396</f>
        <v>0</v>
      </c>
      <c r="O396" s="330">
        <f>0+'táj.2.'!O396</f>
        <v>0</v>
      </c>
      <c r="P396" s="330">
        <f>0+'táj.2.'!P396</f>
        <v>0</v>
      </c>
      <c r="Q396" s="330">
        <f t="shared" si="22"/>
        <v>500</v>
      </c>
      <c r="W396" s="330"/>
    </row>
    <row r="397" spans="1:17" ht="18" customHeight="1">
      <c r="A397" s="346"/>
      <c r="B397" s="346"/>
      <c r="C397" s="144" t="s">
        <v>712</v>
      </c>
      <c r="D397" s="157" t="s">
        <v>812</v>
      </c>
      <c r="E397" s="681"/>
      <c r="F397" s="23">
        <v>154504</v>
      </c>
      <c r="G397" s="330">
        <f>0+'táj.2.'!G397</f>
        <v>0</v>
      </c>
      <c r="H397" s="330">
        <f>0+'táj.2.'!H397</f>
        <v>0</v>
      </c>
      <c r="I397" s="330">
        <f>0+'táj.2.'!I397</f>
        <v>0</v>
      </c>
      <c r="J397" s="330">
        <f>0+'táj.2.'!J397</f>
        <v>0</v>
      </c>
      <c r="K397" s="330">
        <f>0+'táj.2.'!K397</f>
        <v>0</v>
      </c>
      <c r="L397" s="330">
        <f>0+'táj.2.'!L397</f>
        <v>0</v>
      </c>
      <c r="M397" s="330">
        <f>3000+'táj.2.'!M397</f>
        <v>3000</v>
      </c>
      <c r="N397" s="330">
        <f>0+'táj.2.'!N397</f>
        <v>0</v>
      </c>
      <c r="O397" s="330">
        <f>0+'táj.2.'!O397</f>
        <v>0</v>
      </c>
      <c r="P397" s="330">
        <f>0+'táj.2.'!P397</f>
        <v>0</v>
      </c>
      <c r="Q397" s="330">
        <f t="shared" si="22"/>
        <v>3000</v>
      </c>
    </row>
    <row r="398" spans="1:17" ht="15.75" customHeight="1">
      <c r="A398" s="346"/>
      <c r="B398" s="346"/>
      <c r="C398" s="144" t="s">
        <v>713</v>
      </c>
      <c r="D398" s="350" t="s">
        <v>813</v>
      </c>
      <c r="E398" s="681"/>
      <c r="F398" s="23">
        <v>154511</v>
      </c>
      <c r="G398" s="330">
        <f>0+'táj.2.'!G398</f>
        <v>0</v>
      </c>
      <c r="H398" s="330">
        <f>0+'táj.2.'!H398</f>
        <v>0</v>
      </c>
      <c r="I398" s="330">
        <f>0+'táj.2.'!I398</f>
        <v>0</v>
      </c>
      <c r="J398" s="330">
        <f>0+'táj.2.'!J398</f>
        <v>0</v>
      </c>
      <c r="K398" s="330">
        <f>0+'táj.2.'!K398</f>
        <v>0</v>
      </c>
      <c r="L398" s="330">
        <f>0+'táj.2.'!L398</f>
        <v>0</v>
      </c>
      <c r="M398" s="330">
        <f>3000+'táj.2.'!M398</f>
        <v>3000</v>
      </c>
      <c r="N398" s="330">
        <f>0+'táj.2.'!N398</f>
        <v>0</v>
      </c>
      <c r="O398" s="330">
        <f>0+'táj.2.'!O398</f>
        <v>0</v>
      </c>
      <c r="P398" s="330">
        <f>0+'táj.2.'!P398</f>
        <v>0</v>
      </c>
      <c r="Q398" s="330">
        <f t="shared" si="22"/>
        <v>3000</v>
      </c>
    </row>
    <row r="399" spans="1:17" ht="16.5" customHeight="1">
      <c r="A399" s="346"/>
      <c r="B399" s="346"/>
      <c r="C399" s="144" t="s">
        <v>714</v>
      </c>
      <c r="D399" s="508" t="s">
        <v>814</v>
      </c>
      <c r="E399" s="681"/>
      <c r="F399" s="23">
        <v>154901</v>
      </c>
      <c r="G399" s="330">
        <f>0+'táj.2.'!G399</f>
        <v>0</v>
      </c>
      <c r="H399" s="330">
        <f>0+'táj.2.'!H399</f>
        <v>0</v>
      </c>
      <c r="I399" s="330">
        <f>0+'táj.2.'!I399</f>
        <v>0</v>
      </c>
      <c r="J399" s="330">
        <f>0+'táj.2.'!J399</f>
        <v>0</v>
      </c>
      <c r="K399" s="330">
        <f>0+'táj.2.'!K399</f>
        <v>0</v>
      </c>
      <c r="L399" s="330">
        <f>0+'táj.2.'!L399</f>
        <v>0</v>
      </c>
      <c r="M399" s="330">
        <f>1500+'táj.2.'!M399</f>
        <v>1500</v>
      </c>
      <c r="N399" s="330">
        <f>0+'táj.2.'!N399</f>
        <v>0</v>
      </c>
      <c r="O399" s="330">
        <f>0+'táj.2.'!O399</f>
        <v>0</v>
      </c>
      <c r="P399" s="330">
        <f>0+'táj.2.'!P399</f>
        <v>0</v>
      </c>
      <c r="Q399" s="330">
        <f t="shared" si="22"/>
        <v>1500</v>
      </c>
    </row>
    <row r="400" spans="1:17" ht="17.25" customHeight="1">
      <c r="A400" s="346"/>
      <c r="B400" s="346"/>
      <c r="C400" s="144" t="s">
        <v>715</v>
      </c>
      <c r="D400" s="347" t="s">
        <v>815</v>
      </c>
      <c r="E400" s="681"/>
      <c r="F400" s="23">
        <v>152523</v>
      </c>
      <c r="G400" s="330">
        <f>0+'táj.2.'!G400</f>
        <v>0</v>
      </c>
      <c r="H400" s="330">
        <f>0+'táj.2.'!H400</f>
        <v>0</v>
      </c>
      <c r="I400" s="330">
        <f>0+'táj.2.'!I400</f>
        <v>0</v>
      </c>
      <c r="J400" s="330">
        <f>0+'táj.2.'!J400</f>
        <v>0</v>
      </c>
      <c r="K400" s="330">
        <f>0+'táj.2.'!K400</f>
        <v>0</v>
      </c>
      <c r="L400" s="330">
        <f>0+'táj.2.'!L400</f>
        <v>0</v>
      </c>
      <c r="M400" s="330">
        <f>600+'táj.2.'!M400</f>
        <v>600</v>
      </c>
      <c r="N400" s="330">
        <f>0+'táj.2.'!N400</f>
        <v>0</v>
      </c>
      <c r="O400" s="330">
        <f>0+'táj.2.'!O400</f>
        <v>0</v>
      </c>
      <c r="P400" s="330">
        <f>0+'táj.2.'!P400</f>
        <v>0</v>
      </c>
      <c r="Q400" s="330">
        <f t="shared" si="22"/>
        <v>600</v>
      </c>
    </row>
    <row r="401" spans="1:17" ht="20.25" customHeight="1">
      <c r="A401" s="346"/>
      <c r="B401" s="346"/>
      <c r="C401" s="144" t="s">
        <v>717</v>
      </c>
      <c r="D401" s="347" t="s">
        <v>816</v>
      </c>
      <c r="E401" s="681"/>
      <c r="F401" s="23">
        <v>154505</v>
      </c>
      <c r="G401" s="330">
        <f>0+'táj.2.'!G401</f>
        <v>0</v>
      </c>
      <c r="H401" s="330">
        <f>0+'táj.2.'!H401</f>
        <v>0</v>
      </c>
      <c r="I401" s="330">
        <f>0+'táj.2.'!I401</f>
        <v>0</v>
      </c>
      <c r="J401" s="330">
        <f>0+'táj.2.'!J401</f>
        <v>0</v>
      </c>
      <c r="K401" s="330">
        <f>0+'táj.2.'!K401</f>
        <v>0</v>
      </c>
      <c r="L401" s="330">
        <f>0+'táj.2.'!L401</f>
        <v>0</v>
      </c>
      <c r="M401" s="330">
        <f>500+'táj.2.'!M401</f>
        <v>500</v>
      </c>
      <c r="N401" s="330">
        <f>0+'táj.2.'!N401</f>
        <v>0</v>
      </c>
      <c r="O401" s="330">
        <f>0+'táj.2.'!O401</f>
        <v>0</v>
      </c>
      <c r="P401" s="330">
        <f>0+'táj.2.'!P401</f>
        <v>0</v>
      </c>
      <c r="Q401" s="330">
        <f t="shared" si="22"/>
        <v>500</v>
      </c>
    </row>
    <row r="402" spans="1:17" ht="12.75" customHeight="1">
      <c r="A402" s="346"/>
      <c r="B402" s="346"/>
      <c r="C402" s="346"/>
      <c r="D402" s="24" t="s">
        <v>286</v>
      </c>
      <c r="E402" s="681"/>
      <c r="F402" s="23"/>
      <c r="G402" s="330"/>
      <c r="H402" s="329"/>
      <c r="I402" s="329"/>
      <c r="J402" s="329"/>
      <c r="K402" s="329"/>
      <c r="L402" s="330"/>
      <c r="M402" s="330"/>
      <c r="N402" s="330"/>
      <c r="O402" s="329"/>
      <c r="P402" s="329"/>
      <c r="Q402" s="330"/>
    </row>
    <row r="403" spans="1:17" ht="12.75" customHeight="1">
      <c r="A403" s="346"/>
      <c r="B403" s="346"/>
      <c r="C403" s="144" t="s">
        <v>680</v>
      </c>
      <c r="D403" s="342" t="s">
        <v>701</v>
      </c>
      <c r="E403" s="681"/>
      <c r="F403" s="23">
        <v>152504</v>
      </c>
      <c r="G403" s="330">
        <f>0+'táj.2.'!G403</f>
        <v>0</v>
      </c>
      <c r="H403" s="330">
        <f>0+'táj.2.'!H403</f>
        <v>0</v>
      </c>
      <c r="I403" s="330">
        <f>0+'táj.2.'!I403</f>
        <v>0</v>
      </c>
      <c r="J403" s="330">
        <f>0+'táj.2.'!J403</f>
        <v>0</v>
      </c>
      <c r="K403" s="330">
        <f>0+'táj.2.'!K403</f>
        <v>0</v>
      </c>
      <c r="L403" s="330">
        <f>494+'táj.2.'!L403</f>
        <v>494</v>
      </c>
      <c r="M403" s="330">
        <f>0+'táj.2.'!M403</f>
        <v>0</v>
      </c>
      <c r="N403" s="330">
        <f>0+'táj.2.'!N403</f>
        <v>0</v>
      </c>
      <c r="O403" s="330">
        <f>0+'táj.2.'!O403</f>
        <v>0</v>
      </c>
      <c r="P403" s="330">
        <f>0+'táj.2.'!P403</f>
        <v>0</v>
      </c>
      <c r="Q403" s="330">
        <f aca="true" t="shared" si="23" ref="Q403:Q413">SUM(G403:P403)</f>
        <v>494</v>
      </c>
    </row>
    <row r="404" spans="1:17" ht="25.5" customHeight="1">
      <c r="A404" s="346"/>
      <c r="B404" s="346"/>
      <c r="C404" s="144" t="s">
        <v>681</v>
      </c>
      <c r="D404" s="162" t="s">
        <v>706</v>
      </c>
      <c r="E404" s="681"/>
      <c r="F404" s="23">
        <v>152524</v>
      </c>
      <c r="G404" s="330">
        <f>0+'táj.2.'!G404</f>
        <v>0</v>
      </c>
      <c r="H404" s="330">
        <f>0+'táj.2.'!H404</f>
        <v>0</v>
      </c>
      <c r="I404" s="330">
        <f>0+'táj.2.'!I404</f>
        <v>0</v>
      </c>
      <c r="J404" s="330">
        <f>0+'táj.2.'!J404</f>
        <v>0</v>
      </c>
      <c r="K404" s="330">
        <f>0+'táj.2.'!K404</f>
        <v>0</v>
      </c>
      <c r="L404" s="330">
        <f>1000+'táj.2.'!L404</f>
        <v>1000</v>
      </c>
      <c r="M404" s="330">
        <f>0+'táj.2.'!M404</f>
        <v>0</v>
      </c>
      <c r="N404" s="330">
        <f>0+'táj.2.'!N404</f>
        <v>0</v>
      </c>
      <c r="O404" s="330">
        <f>0+'táj.2.'!O404</f>
        <v>0</v>
      </c>
      <c r="P404" s="330">
        <f>0+'táj.2.'!P404</f>
        <v>0</v>
      </c>
      <c r="Q404" s="330">
        <f t="shared" si="23"/>
        <v>1000</v>
      </c>
    </row>
    <row r="405" spans="1:17" ht="12.75" customHeight="1">
      <c r="A405" s="346"/>
      <c r="B405" s="346"/>
      <c r="C405" s="144" t="s">
        <v>682</v>
      </c>
      <c r="D405" s="100" t="s">
        <v>716</v>
      </c>
      <c r="E405" s="681"/>
      <c r="F405" s="23">
        <v>152529</v>
      </c>
      <c r="G405" s="330">
        <f>0+'táj.2.'!G405</f>
        <v>0</v>
      </c>
      <c r="H405" s="330">
        <f>0+'táj.2.'!H405</f>
        <v>0</v>
      </c>
      <c r="I405" s="330">
        <f>0+'táj.2.'!I405</f>
        <v>0</v>
      </c>
      <c r="J405" s="330">
        <f>0+'táj.2.'!J405</f>
        <v>0</v>
      </c>
      <c r="K405" s="330">
        <f>0+'táj.2.'!K405</f>
        <v>0</v>
      </c>
      <c r="L405" s="330">
        <f>2947+'táj.2.'!L405</f>
        <v>2947</v>
      </c>
      <c r="M405" s="330">
        <f>0+'táj.2.'!M405</f>
        <v>0</v>
      </c>
      <c r="N405" s="330">
        <f>0+'táj.2.'!N405</f>
        <v>0</v>
      </c>
      <c r="O405" s="330">
        <f>0+'táj.2.'!O405</f>
        <v>0</v>
      </c>
      <c r="P405" s="330">
        <f>0+'táj.2.'!P405</f>
        <v>0</v>
      </c>
      <c r="Q405" s="330">
        <f t="shared" si="23"/>
        <v>2947</v>
      </c>
    </row>
    <row r="406" spans="1:17" ht="25.5" customHeight="1">
      <c r="A406" s="346"/>
      <c r="B406" s="346"/>
      <c r="C406" s="144" t="s">
        <v>683</v>
      </c>
      <c r="D406" s="490" t="s">
        <v>718</v>
      </c>
      <c r="E406" s="681"/>
      <c r="F406" s="23">
        <v>152531</v>
      </c>
      <c r="G406" s="330">
        <f>0+'táj.2.'!G406</f>
        <v>0</v>
      </c>
      <c r="H406" s="330">
        <f>0+'táj.2.'!H406</f>
        <v>0</v>
      </c>
      <c r="I406" s="330">
        <f>0+'táj.2.'!I406</f>
        <v>0</v>
      </c>
      <c r="J406" s="330">
        <f>0+'táj.2.'!J406</f>
        <v>0</v>
      </c>
      <c r="K406" s="330">
        <f>0+'táj.2.'!K406</f>
        <v>0</v>
      </c>
      <c r="L406" s="330">
        <f>345+'táj.2.'!L406</f>
        <v>345</v>
      </c>
      <c r="M406" s="330">
        <f>0+'táj.2.'!M406</f>
        <v>0</v>
      </c>
      <c r="N406" s="330">
        <f>0+'táj.2.'!N406</f>
        <v>0</v>
      </c>
      <c r="O406" s="330">
        <f>0+'táj.2.'!O406</f>
        <v>0</v>
      </c>
      <c r="P406" s="330">
        <f>0+'táj.2.'!P406</f>
        <v>0</v>
      </c>
      <c r="Q406" s="330">
        <f t="shared" si="23"/>
        <v>345</v>
      </c>
    </row>
    <row r="407" spans="1:17" ht="24.75" customHeight="1">
      <c r="A407" s="346"/>
      <c r="B407" s="346"/>
      <c r="C407" s="144" t="s">
        <v>684</v>
      </c>
      <c r="D407" s="491" t="s">
        <v>719</v>
      </c>
      <c r="E407" s="681"/>
      <c r="F407" s="23">
        <v>152532</v>
      </c>
      <c r="G407" s="330">
        <f>0+'táj.2.'!G407</f>
        <v>0</v>
      </c>
      <c r="H407" s="330">
        <f>0+'táj.2.'!H407</f>
        <v>0</v>
      </c>
      <c r="I407" s="330">
        <f>0+'táj.2.'!I407</f>
        <v>0</v>
      </c>
      <c r="J407" s="330">
        <f>0+'táj.2.'!J407</f>
        <v>0</v>
      </c>
      <c r="K407" s="330">
        <f>0+'táj.2.'!K407</f>
        <v>0</v>
      </c>
      <c r="L407" s="330">
        <f>3000+'táj.2.'!L407</f>
        <v>3000</v>
      </c>
      <c r="M407" s="330">
        <f>0+'táj.2.'!M407</f>
        <v>0</v>
      </c>
      <c r="N407" s="330">
        <f>0+'táj.2.'!N407</f>
        <v>0</v>
      </c>
      <c r="O407" s="330">
        <f>0+'táj.2.'!O407</f>
        <v>0</v>
      </c>
      <c r="P407" s="330">
        <f>0+'táj.2.'!P407</f>
        <v>0</v>
      </c>
      <c r="Q407" s="330">
        <f t="shared" si="23"/>
        <v>3000</v>
      </c>
    </row>
    <row r="408" spans="1:17" ht="24.75" customHeight="1">
      <c r="A408" s="346"/>
      <c r="B408" s="346"/>
      <c r="C408" s="144" t="s">
        <v>817</v>
      </c>
      <c r="D408" s="161" t="s">
        <v>721</v>
      </c>
      <c r="E408" s="681"/>
      <c r="F408" s="23">
        <v>152534</v>
      </c>
      <c r="G408" s="330">
        <f>0+'táj.2.'!G408</f>
        <v>0</v>
      </c>
      <c r="H408" s="330">
        <f>0+'táj.2.'!H408</f>
        <v>0</v>
      </c>
      <c r="I408" s="330">
        <f>0+'táj.2.'!I408</f>
        <v>0</v>
      </c>
      <c r="J408" s="330">
        <f>0+'táj.2.'!J408</f>
        <v>0</v>
      </c>
      <c r="K408" s="330">
        <f>0+'táj.2.'!K408</f>
        <v>0</v>
      </c>
      <c r="L408" s="330">
        <f>500+'táj.2.'!L408</f>
        <v>500</v>
      </c>
      <c r="M408" s="330">
        <f>0+'táj.2.'!M408</f>
        <v>0</v>
      </c>
      <c r="N408" s="330">
        <f>0+'táj.2.'!N408</f>
        <v>0</v>
      </c>
      <c r="O408" s="330">
        <f>0+'táj.2.'!O408</f>
        <v>0</v>
      </c>
      <c r="P408" s="330">
        <f>0+'táj.2.'!P408</f>
        <v>0</v>
      </c>
      <c r="Q408" s="330">
        <f t="shared" si="23"/>
        <v>500</v>
      </c>
    </row>
    <row r="409" spans="1:17" ht="24.75" customHeight="1">
      <c r="A409" s="346"/>
      <c r="B409" s="346"/>
      <c r="C409" s="144" t="s">
        <v>818</v>
      </c>
      <c r="D409" s="492" t="s">
        <v>352</v>
      </c>
      <c r="E409" s="681"/>
      <c r="F409" s="23">
        <v>152908</v>
      </c>
      <c r="G409" s="330">
        <f>0+'táj.2.'!G409</f>
        <v>0</v>
      </c>
      <c r="H409" s="330">
        <f>0+'táj.2.'!H409</f>
        <v>0</v>
      </c>
      <c r="I409" s="330">
        <f>0+'táj.2.'!I409</f>
        <v>0</v>
      </c>
      <c r="J409" s="330">
        <f>0+'táj.2.'!J409</f>
        <v>0</v>
      </c>
      <c r="K409" s="330">
        <f>0+'táj.2.'!K409</f>
        <v>0</v>
      </c>
      <c r="L409" s="330">
        <f>0+'táj.2.'!L409</f>
        <v>0</v>
      </c>
      <c r="M409" s="330">
        <f>2880+'táj.2.'!M409</f>
        <v>2880</v>
      </c>
      <c r="N409" s="330">
        <f>0+'táj.2.'!N409</f>
        <v>0</v>
      </c>
      <c r="O409" s="330">
        <f>0+'táj.2.'!O409</f>
        <v>0</v>
      </c>
      <c r="P409" s="330">
        <f>0+'táj.2.'!P409</f>
        <v>0</v>
      </c>
      <c r="Q409" s="330">
        <f t="shared" si="23"/>
        <v>2880</v>
      </c>
    </row>
    <row r="410" spans="1:17" ht="15.75" customHeight="1">
      <c r="A410" s="346"/>
      <c r="B410" s="346"/>
      <c r="C410" s="144" t="s">
        <v>819</v>
      </c>
      <c r="D410" s="123" t="s">
        <v>570</v>
      </c>
      <c r="E410" s="681"/>
      <c r="F410" s="23">
        <v>154503</v>
      </c>
      <c r="G410" s="330">
        <f>0+'táj.2.'!G410</f>
        <v>0</v>
      </c>
      <c r="H410" s="330">
        <f>0+'táj.2.'!H410</f>
        <v>0</v>
      </c>
      <c r="I410" s="330">
        <f>0+'táj.2.'!I410</f>
        <v>0</v>
      </c>
      <c r="J410" s="330">
        <f>0+'táj.2.'!J410</f>
        <v>0</v>
      </c>
      <c r="K410" s="330">
        <f>1000+'táj.2.'!K410</f>
        <v>1000</v>
      </c>
      <c r="L410" s="330">
        <f>0+'táj.2.'!L410</f>
        <v>0</v>
      </c>
      <c r="M410" s="330">
        <f>0+'táj.2.'!M410</f>
        <v>0</v>
      </c>
      <c r="N410" s="330">
        <f>0+'táj.2.'!N410</f>
        <v>0</v>
      </c>
      <c r="O410" s="330">
        <f>0+'táj.2.'!O410</f>
        <v>0</v>
      </c>
      <c r="P410" s="330">
        <f>0+'táj.2.'!P410</f>
        <v>0</v>
      </c>
      <c r="Q410" s="330">
        <f t="shared" si="23"/>
        <v>1000</v>
      </c>
    </row>
    <row r="411" spans="1:17" ht="14.25" customHeight="1">
      <c r="A411" s="346"/>
      <c r="B411" s="346"/>
      <c r="C411" s="144" t="s">
        <v>820</v>
      </c>
      <c r="D411" s="495" t="s">
        <v>821</v>
      </c>
      <c r="E411" s="681"/>
      <c r="F411" s="23">
        <v>154508</v>
      </c>
      <c r="G411" s="330">
        <f>0+'táj.2.'!G411</f>
        <v>0</v>
      </c>
      <c r="H411" s="330">
        <f>0+'táj.2.'!H411</f>
        <v>0</v>
      </c>
      <c r="I411" s="330">
        <f>0+'táj.2.'!I411</f>
        <v>0</v>
      </c>
      <c r="J411" s="330">
        <f>0+'táj.2.'!J411</f>
        <v>0</v>
      </c>
      <c r="K411" s="330">
        <f>0+'táj.2.'!K411</f>
        <v>0</v>
      </c>
      <c r="L411" s="330">
        <f>0+'táj.2.'!L411</f>
        <v>0</v>
      </c>
      <c r="M411" s="330">
        <f>500+'táj.2.'!M411</f>
        <v>500</v>
      </c>
      <c r="N411" s="330">
        <f>0+'táj.2.'!N411</f>
        <v>0</v>
      </c>
      <c r="O411" s="330">
        <f>0+'táj.2.'!O411</f>
        <v>0</v>
      </c>
      <c r="P411" s="330">
        <f>0+'táj.2.'!P411</f>
        <v>0</v>
      </c>
      <c r="Q411" s="330">
        <f t="shared" si="23"/>
        <v>500</v>
      </c>
    </row>
    <row r="412" spans="1:17" ht="14.25" customHeight="1">
      <c r="A412" s="346"/>
      <c r="B412" s="346"/>
      <c r="C412" s="144" t="s">
        <v>822</v>
      </c>
      <c r="D412" s="493" t="s">
        <v>1067</v>
      </c>
      <c r="E412" s="681"/>
      <c r="F412" s="23">
        <v>152501</v>
      </c>
      <c r="G412" s="330">
        <f>0+'táj.2.'!G412</f>
        <v>0</v>
      </c>
      <c r="H412" s="330">
        <f>0+'táj.2.'!H412</f>
        <v>0</v>
      </c>
      <c r="I412" s="330">
        <f>0+'táj.2.'!I412</f>
        <v>0</v>
      </c>
      <c r="J412" s="330">
        <f>0+'táj.2.'!J412</f>
        <v>0</v>
      </c>
      <c r="K412" s="330">
        <f>0+'táj.2.'!K412</f>
        <v>0</v>
      </c>
      <c r="L412" s="330">
        <f>198+'táj.2.'!L412</f>
        <v>198</v>
      </c>
      <c r="M412" s="330">
        <f>0+'táj.2.'!M412</f>
        <v>0</v>
      </c>
      <c r="N412" s="330">
        <f>0+'táj.2.'!N412</f>
        <v>0</v>
      </c>
      <c r="O412" s="330">
        <f>0+'táj.2.'!O412</f>
        <v>0</v>
      </c>
      <c r="P412" s="330">
        <f>0+'táj.2.'!P412</f>
        <v>0</v>
      </c>
      <c r="Q412" s="25">
        <f t="shared" si="23"/>
        <v>198</v>
      </c>
    </row>
    <row r="413" spans="1:17" ht="14.25" customHeight="1">
      <c r="A413" s="346"/>
      <c r="B413" s="346"/>
      <c r="C413" s="144" t="s">
        <v>823</v>
      </c>
      <c r="D413" s="494" t="s">
        <v>486</v>
      </c>
      <c r="E413" s="681"/>
      <c r="F413" s="23">
        <v>162514</v>
      </c>
      <c r="G413" s="330">
        <f>0+'táj.2.'!G413</f>
        <v>0</v>
      </c>
      <c r="H413" s="330">
        <f>0+'táj.2.'!H413</f>
        <v>0</v>
      </c>
      <c r="I413" s="330">
        <f>0+'táj.2.'!I413</f>
        <v>0</v>
      </c>
      <c r="J413" s="330">
        <f>0+'táj.2.'!J413</f>
        <v>0</v>
      </c>
      <c r="K413" s="330">
        <f>0+'táj.2.'!K413</f>
        <v>0</v>
      </c>
      <c r="L413" s="330">
        <f>6000+'táj.2.'!L413</f>
        <v>6000</v>
      </c>
      <c r="M413" s="330">
        <f>0+'táj.2.'!M413</f>
        <v>0</v>
      </c>
      <c r="N413" s="330">
        <f>0+'táj.2.'!N413</f>
        <v>0</v>
      </c>
      <c r="O413" s="330">
        <f>0+'táj.2.'!O413</f>
        <v>0</v>
      </c>
      <c r="P413" s="330">
        <f>0+'táj.2.'!P413</f>
        <v>0</v>
      </c>
      <c r="Q413" s="25">
        <f t="shared" si="23"/>
        <v>6000</v>
      </c>
    </row>
    <row r="414" spans="1:17" ht="16.5" customHeight="1">
      <c r="A414" s="346"/>
      <c r="B414" s="346"/>
      <c r="C414" s="378" t="s">
        <v>824</v>
      </c>
      <c r="D414" s="500" t="s">
        <v>537</v>
      </c>
      <c r="E414" s="681"/>
      <c r="F414" s="23"/>
      <c r="G414" s="330"/>
      <c r="H414" s="329"/>
      <c r="I414" s="329"/>
      <c r="J414" s="329"/>
      <c r="K414" s="329"/>
      <c r="L414" s="330"/>
      <c r="M414" s="330"/>
      <c r="N414" s="330"/>
      <c r="O414" s="329"/>
      <c r="P414" s="329"/>
      <c r="Q414" s="330"/>
    </row>
    <row r="415" spans="1:17" ht="24.75" customHeight="1">
      <c r="A415" s="346"/>
      <c r="B415" s="346"/>
      <c r="C415" s="144" t="s">
        <v>825</v>
      </c>
      <c r="D415" s="508" t="s">
        <v>826</v>
      </c>
      <c r="E415" s="681"/>
      <c r="F415" s="23">
        <v>152915</v>
      </c>
      <c r="G415" s="330">
        <f>0+'táj.2.'!G415</f>
        <v>0</v>
      </c>
      <c r="H415" s="330">
        <f>0+'táj.2.'!H415</f>
        <v>0</v>
      </c>
      <c r="I415" s="330">
        <f>0+'táj.2.'!I415</f>
        <v>0</v>
      </c>
      <c r="J415" s="330">
        <f>0+'táj.2.'!J415</f>
        <v>0</v>
      </c>
      <c r="K415" s="330">
        <f>0+'táj.2.'!K415</f>
        <v>0</v>
      </c>
      <c r="L415" s="330">
        <f>2000+'táj.2.'!L415</f>
        <v>2000</v>
      </c>
      <c r="M415" s="330">
        <f>0+'táj.2.'!M415</f>
        <v>0</v>
      </c>
      <c r="N415" s="330">
        <f>0+'táj.2.'!N415</f>
        <v>0</v>
      </c>
      <c r="O415" s="330">
        <f>0+'táj.2.'!O415</f>
        <v>0</v>
      </c>
      <c r="P415" s="330">
        <f>0+'táj.2.'!P415</f>
        <v>0</v>
      </c>
      <c r="Q415" s="330">
        <f>SUM(L415:P415)</f>
        <v>2000</v>
      </c>
    </row>
    <row r="416" spans="1:17" ht="12.75" customHeight="1">
      <c r="A416" s="346"/>
      <c r="B416" s="346"/>
      <c r="C416" s="346" t="s">
        <v>628</v>
      </c>
      <c r="D416" s="497" t="s">
        <v>629</v>
      </c>
      <c r="E416" s="681"/>
      <c r="F416" s="23"/>
      <c r="G416" s="330"/>
      <c r="H416" s="329"/>
      <c r="I416" s="329"/>
      <c r="J416" s="329"/>
      <c r="K416" s="329"/>
      <c r="L416" s="330"/>
      <c r="M416" s="330"/>
      <c r="N416" s="330"/>
      <c r="O416" s="329"/>
      <c r="P416" s="329"/>
      <c r="Q416" s="330"/>
    </row>
    <row r="417" spans="1:17" ht="12.75" customHeight="1">
      <c r="A417" s="346"/>
      <c r="B417" s="346"/>
      <c r="C417" s="346"/>
      <c r="D417" s="100" t="s">
        <v>363</v>
      </c>
      <c r="E417" s="681"/>
      <c r="F417" s="23">
        <v>154811</v>
      </c>
      <c r="G417" s="330"/>
      <c r="H417" s="329"/>
      <c r="I417" s="329"/>
      <c r="J417" s="329"/>
      <c r="K417" s="329"/>
      <c r="L417" s="330"/>
      <c r="M417" s="330"/>
      <c r="N417" s="330">
        <f>1000+'táj.2.'!N417</f>
        <v>1000</v>
      </c>
      <c r="O417" s="329"/>
      <c r="P417" s="329"/>
      <c r="Q417" s="330">
        <f>SUM(G417:P417)</f>
        <v>1000</v>
      </c>
    </row>
    <row r="418" spans="1:17" ht="12.75" customHeight="1">
      <c r="A418" s="346"/>
      <c r="B418" s="346"/>
      <c r="C418" s="346"/>
      <c r="D418" s="24" t="s">
        <v>286</v>
      </c>
      <c r="E418" s="681"/>
      <c r="F418" s="23"/>
      <c r="G418" s="330"/>
      <c r="H418" s="329"/>
      <c r="I418" s="329"/>
      <c r="J418" s="329"/>
      <c r="K418" s="329"/>
      <c r="L418" s="330"/>
      <c r="M418" s="330"/>
      <c r="N418" s="330"/>
      <c r="O418" s="329"/>
      <c r="P418" s="329"/>
      <c r="Q418" s="330"/>
    </row>
    <row r="419" spans="1:17" ht="12.75" customHeight="1">
      <c r="A419" s="346"/>
      <c r="B419" s="346"/>
      <c r="C419" s="144" t="s">
        <v>1091</v>
      </c>
      <c r="D419" s="100" t="s">
        <v>722</v>
      </c>
      <c r="E419" s="681"/>
      <c r="F419" s="23">
        <v>152801</v>
      </c>
      <c r="G419" s="330">
        <f>0+'táj.2.'!G419</f>
        <v>0</v>
      </c>
      <c r="H419" s="330">
        <f>0+'táj.2.'!H419</f>
        <v>0</v>
      </c>
      <c r="I419" s="330">
        <f>0+'táj.2.'!I419</f>
        <v>0</v>
      </c>
      <c r="J419" s="330">
        <f>0+'táj.2.'!J419</f>
        <v>0</v>
      </c>
      <c r="K419" s="330">
        <f>0+'táj.2.'!K419</f>
        <v>0</v>
      </c>
      <c r="L419" s="330">
        <f>8560+'táj.2.'!L419</f>
        <v>8560</v>
      </c>
      <c r="M419" s="330">
        <f>0+'táj.2.'!M419</f>
        <v>0</v>
      </c>
      <c r="N419" s="330">
        <f>0+'táj.2.'!N419</f>
        <v>0</v>
      </c>
      <c r="O419" s="330">
        <f>0+'táj.2.'!O419</f>
        <v>0</v>
      </c>
      <c r="P419" s="330">
        <f>0+'táj.2.'!P419</f>
        <v>0</v>
      </c>
      <c r="Q419" s="330">
        <f aca="true" t="shared" si="24" ref="Q419:Q424">SUM(G419:P419)</f>
        <v>8560</v>
      </c>
    </row>
    <row r="420" spans="1:17" ht="25.5" customHeight="1">
      <c r="A420" s="346"/>
      <c r="B420" s="346"/>
      <c r="C420" s="144" t="s">
        <v>827</v>
      </c>
      <c r="D420" s="501" t="s">
        <v>353</v>
      </c>
      <c r="E420" s="681"/>
      <c r="F420" s="23">
        <v>154805</v>
      </c>
      <c r="G420" s="330">
        <f>0+'táj.2.'!G420</f>
        <v>0</v>
      </c>
      <c r="H420" s="330">
        <f>0+'táj.2.'!H420</f>
        <v>0</v>
      </c>
      <c r="I420" s="330">
        <f>0+'táj.2.'!I420</f>
        <v>0</v>
      </c>
      <c r="J420" s="330">
        <f>0+'táj.2.'!J420</f>
        <v>0</v>
      </c>
      <c r="K420" s="330">
        <f>0+'táj.2.'!K420</f>
        <v>0</v>
      </c>
      <c r="L420" s="330">
        <f>0+'táj.2.'!L420</f>
        <v>0</v>
      </c>
      <c r="M420" s="330">
        <f>1000+'táj.2.'!M420</f>
        <v>1000</v>
      </c>
      <c r="N420" s="330">
        <f>0+'táj.2.'!N420</f>
        <v>0</v>
      </c>
      <c r="O420" s="330">
        <f>0+'táj.2.'!O420</f>
        <v>0</v>
      </c>
      <c r="P420" s="330">
        <f>0+'táj.2.'!P420</f>
        <v>0</v>
      </c>
      <c r="Q420" s="330">
        <f t="shared" si="24"/>
        <v>1000</v>
      </c>
    </row>
    <row r="421" spans="1:17" ht="12.75" customHeight="1">
      <c r="A421" s="346"/>
      <c r="B421" s="346"/>
      <c r="C421" s="144" t="s">
        <v>828</v>
      </c>
      <c r="D421" s="501" t="s">
        <v>354</v>
      </c>
      <c r="E421" s="681"/>
      <c r="F421" s="23">
        <v>154806</v>
      </c>
      <c r="G421" s="330">
        <f>0+'táj.2.'!G421</f>
        <v>0</v>
      </c>
      <c r="H421" s="330">
        <f>0+'táj.2.'!H421</f>
        <v>0</v>
      </c>
      <c r="I421" s="330">
        <f>0+'táj.2.'!I421</f>
        <v>0</v>
      </c>
      <c r="J421" s="330">
        <f>0+'táj.2.'!J421</f>
        <v>0</v>
      </c>
      <c r="K421" s="330">
        <f>0+'táj.2.'!K421</f>
        <v>0</v>
      </c>
      <c r="L421" s="330">
        <f>0+'táj.2.'!L421</f>
        <v>0</v>
      </c>
      <c r="M421" s="330">
        <f>3000+'táj.2.'!M421</f>
        <v>3000</v>
      </c>
      <c r="N421" s="330">
        <f>0+'táj.2.'!N421</f>
        <v>0</v>
      </c>
      <c r="O421" s="330">
        <f>0+'táj.2.'!O421</f>
        <v>0</v>
      </c>
      <c r="P421" s="330">
        <f>0+'táj.2.'!P421</f>
        <v>0</v>
      </c>
      <c r="Q421" s="330">
        <f t="shared" si="24"/>
        <v>3000</v>
      </c>
    </row>
    <row r="422" spans="1:17" ht="12.75" customHeight="1">
      <c r="A422" s="346"/>
      <c r="B422" s="346"/>
      <c r="C422" s="144" t="s">
        <v>829</v>
      </c>
      <c r="D422" s="501" t="s">
        <v>355</v>
      </c>
      <c r="E422" s="681"/>
      <c r="F422" s="23">
        <v>154807</v>
      </c>
      <c r="G422" s="330">
        <f>0+'táj.2.'!G422</f>
        <v>0</v>
      </c>
      <c r="H422" s="330">
        <f>0+'táj.2.'!H422</f>
        <v>0</v>
      </c>
      <c r="I422" s="330">
        <f>0+'táj.2.'!I422</f>
        <v>0</v>
      </c>
      <c r="J422" s="330">
        <f>0+'táj.2.'!J422</f>
        <v>0</v>
      </c>
      <c r="K422" s="330">
        <f>0+'táj.2.'!K422</f>
        <v>0</v>
      </c>
      <c r="L422" s="330">
        <f>0+'táj.2.'!L422</f>
        <v>0</v>
      </c>
      <c r="M422" s="330">
        <f>4000+'táj.2.'!M422</f>
        <v>4000</v>
      </c>
      <c r="N422" s="330">
        <f>0+'táj.2.'!N422</f>
        <v>0</v>
      </c>
      <c r="O422" s="330">
        <f>0+'táj.2.'!O422</f>
        <v>0</v>
      </c>
      <c r="P422" s="330">
        <f>0+'táj.2.'!P422</f>
        <v>0</v>
      </c>
      <c r="Q422" s="330">
        <f t="shared" si="24"/>
        <v>4000</v>
      </c>
    </row>
    <row r="423" spans="1:17" ht="12.75" customHeight="1">
      <c r="A423" s="346"/>
      <c r="B423" s="346"/>
      <c r="C423" s="144" t="s">
        <v>830</v>
      </c>
      <c r="D423" s="501" t="s">
        <v>831</v>
      </c>
      <c r="E423" s="681"/>
      <c r="F423" s="23">
        <v>154809</v>
      </c>
      <c r="G423" s="330">
        <f>0+'táj.2.'!G423</f>
        <v>0</v>
      </c>
      <c r="H423" s="330">
        <f>0+'táj.2.'!H423</f>
        <v>0</v>
      </c>
      <c r="I423" s="330">
        <f>0+'táj.2.'!I423</f>
        <v>0</v>
      </c>
      <c r="J423" s="330">
        <f>0+'táj.2.'!J423</f>
        <v>0</v>
      </c>
      <c r="K423" s="330">
        <f>0+'táj.2.'!K423</f>
        <v>0</v>
      </c>
      <c r="L423" s="330">
        <f>0+'táj.2.'!L423</f>
        <v>0</v>
      </c>
      <c r="M423" s="330">
        <f>1557+'táj.2.'!M423</f>
        <v>1557</v>
      </c>
      <c r="N423" s="330">
        <f>0+'táj.2.'!N423</f>
        <v>0</v>
      </c>
      <c r="O423" s="330">
        <f>0+'táj.2.'!O423</f>
        <v>0</v>
      </c>
      <c r="P423" s="330">
        <f>0+'táj.2.'!P423</f>
        <v>0</v>
      </c>
      <c r="Q423" s="330">
        <f t="shared" si="24"/>
        <v>1557</v>
      </c>
    </row>
    <row r="424" spans="1:17" ht="24.75" customHeight="1">
      <c r="A424" s="346"/>
      <c r="B424" s="346"/>
      <c r="C424" s="144" t="s">
        <v>832</v>
      </c>
      <c r="D424" s="512" t="s">
        <v>450</v>
      </c>
      <c r="E424" s="681"/>
      <c r="F424" s="23">
        <v>152805</v>
      </c>
      <c r="G424" s="330">
        <f>0+'táj.2.'!G424</f>
        <v>0</v>
      </c>
      <c r="H424" s="330">
        <f>0+'táj.2.'!H424</f>
        <v>0</v>
      </c>
      <c r="I424" s="330">
        <f>0+'táj.2.'!I424</f>
        <v>0</v>
      </c>
      <c r="J424" s="330">
        <f>0+'táj.2.'!J424</f>
        <v>0</v>
      </c>
      <c r="K424" s="330">
        <f>0+'táj.2.'!K424</f>
        <v>0</v>
      </c>
      <c r="L424" s="330">
        <f>3098+'táj.2.'!L424</f>
        <v>3098</v>
      </c>
      <c r="M424" s="330">
        <f>0+'táj.2.'!M424</f>
        <v>0</v>
      </c>
      <c r="N424" s="330">
        <f>0+'táj.2.'!N424</f>
        <v>0</v>
      </c>
      <c r="O424" s="330">
        <f>0+'táj.2.'!O424</f>
        <v>0</v>
      </c>
      <c r="P424" s="330">
        <f>0+'táj.2.'!P424</f>
        <v>0</v>
      </c>
      <c r="Q424" s="25">
        <f t="shared" si="24"/>
        <v>3098</v>
      </c>
    </row>
    <row r="425" spans="1:17" ht="12.75" customHeight="1">
      <c r="A425" s="346"/>
      <c r="B425" s="346"/>
      <c r="C425" s="346" t="s">
        <v>630</v>
      </c>
      <c r="D425" s="497" t="s">
        <v>631</v>
      </c>
      <c r="E425" s="681"/>
      <c r="F425" s="23"/>
      <c r="G425" s="330"/>
      <c r="H425" s="329"/>
      <c r="I425" s="329"/>
      <c r="J425" s="329"/>
      <c r="K425" s="329"/>
      <c r="L425" s="330"/>
      <c r="M425" s="330"/>
      <c r="N425" s="330"/>
      <c r="O425" s="329"/>
      <c r="P425" s="329"/>
      <c r="Q425" s="330"/>
    </row>
    <row r="426" spans="1:17" ht="12.75" customHeight="1">
      <c r="A426" s="346"/>
      <c r="B426" s="346"/>
      <c r="C426" s="144" t="s">
        <v>632</v>
      </c>
      <c r="D426" s="347" t="s">
        <v>833</v>
      </c>
      <c r="E426" s="681"/>
      <c r="F426" s="23">
        <v>152928</v>
      </c>
      <c r="G426" s="330">
        <f>0+'táj.2.'!G426</f>
        <v>0</v>
      </c>
      <c r="H426" s="330">
        <f>0+'táj.2.'!H426</f>
        <v>0</v>
      </c>
      <c r="I426" s="330">
        <f>0+'táj.2.'!I426</f>
        <v>0</v>
      </c>
      <c r="J426" s="330">
        <f>0+'táj.2.'!J426</f>
        <v>0</v>
      </c>
      <c r="K426" s="330">
        <f>0+'táj.2.'!K426</f>
        <v>0</v>
      </c>
      <c r="L426" s="330">
        <f>0+'táj.2.'!L426</f>
        <v>0</v>
      </c>
      <c r="M426" s="330">
        <f>0+'táj.2.'!M426</f>
        <v>0</v>
      </c>
      <c r="N426" s="330">
        <f>1000+'táj.2.'!N426</f>
        <v>1000</v>
      </c>
      <c r="O426" s="330">
        <f>0+'táj.2.'!O426</f>
        <v>0</v>
      </c>
      <c r="P426" s="330">
        <f>0+'táj.2.'!P426</f>
        <v>0</v>
      </c>
      <c r="Q426" s="330">
        <f>SUM(G426:P426)</f>
        <v>1000</v>
      </c>
    </row>
    <row r="427" spans="1:17" ht="12.75" customHeight="1">
      <c r="A427" s="346"/>
      <c r="B427" s="346"/>
      <c r="C427" s="346"/>
      <c r="D427" s="100" t="s">
        <v>286</v>
      </c>
      <c r="E427" s="681"/>
      <c r="F427" s="23"/>
      <c r="G427" s="330"/>
      <c r="H427" s="329"/>
      <c r="I427" s="329"/>
      <c r="J427" s="329"/>
      <c r="K427" s="329"/>
      <c r="L427" s="330"/>
      <c r="M427" s="330"/>
      <c r="N427" s="330"/>
      <c r="O427" s="329"/>
      <c r="P427" s="329"/>
      <c r="Q427" s="330"/>
    </row>
    <row r="428" spans="1:17" ht="12.75" customHeight="1">
      <c r="A428" s="346"/>
      <c r="B428" s="346"/>
      <c r="C428" s="144" t="s">
        <v>538</v>
      </c>
      <c r="D428" s="100" t="s">
        <v>723</v>
      </c>
      <c r="E428" s="681"/>
      <c r="F428" s="23">
        <v>155418</v>
      </c>
      <c r="G428" s="330">
        <f>0+'táj.2.'!G428</f>
        <v>0</v>
      </c>
      <c r="H428" s="330">
        <f>0+'táj.2.'!H428</f>
        <v>0</v>
      </c>
      <c r="I428" s="330">
        <f>0+'táj.2.'!I428</f>
        <v>0</v>
      </c>
      <c r="J428" s="330">
        <f>0+'táj.2.'!J428</f>
        <v>0</v>
      </c>
      <c r="K428" s="330">
        <f>0+'táj.2.'!K428</f>
        <v>0</v>
      </c>
      <c r="L428" s="330">
        <f>2000+'táj.2.'!L428</f>
        <v>2000</v>
      </c>
      <c r="M428" s="330">
        <f>0+'táj.2.'!M428</f>
        <v>0</v>
      </c>
      <c r="N428" s="330">
        <f>0+'táj.2.'!N428</f>
        <v>0</v>
      </c>
      <c r="O428" s="330">
        <f>0+'táj.2.'!O428</f>
        <v>0</v>
      </c>
      <c r="P428" s="330">
        <f>0+'táj.2.'!P428</f>
        <v>0</v>
      </c>
      <c r="Q428" s="330">
        <f>SUM(G428:P428)</f>
        <v>2000</v>
      </c>
    </row>
    <row r="429" spans="1:17" ht="12.75" customHeight="1">
      <c r="A429" s="346"/>
      <c r="B429" s="346"/>
      <c r="C429" s="144" t="s">
        <v>489</v>
      </c>
      <c r="D429" s="502" t="s">
        <v>542</v>
      </c>
      <c r="E429" s="681"/>
      <c r="F429" s="23">
        <v>154912</v>
      </c>
      <c r="G429" s="330">
        <f>0+'táj.2.'!G429</f>
        <v>0</v>
      </c>
      <c r="H429" s="330">
        <f>0+'táj.2.'!H429</f>
        <v>0</v>
      </c>
      <c r="I429" s="330">
        <f>0+'táj.2.'!I429</f>
        <v>0</v>
      </c>
      <c r="J429" s="330">
        <f>0+'táj.2.'!J429</f>
        <v>0</v>
      </c>
      <c r="K429" s="330">
        <f>0+'táj.2.'!K429</f>
        <v>0</v>
      </c>
      <c r="L429" s="330">
        <f>0+'táj.2.'!L429</f>
        <v>0</v>
      </c>
      <c r="M429" s="330">
        <f>0+'táj.2.'!M429</f>
        <v>0</v>
      </c>
      <c r="N429" s="330">
        <f>4000+'táj.2.'!N429</f>
        <v>4000</v>
      </c>
      <c r="O429" s="330">
        <f>0+'táj.2.'!O429</f>
        <v>0</v>
      </c>
      <c r="P429" s="330">
        <f>0+'táj.2.'!P429</f>
        <v>0</v>
      </c>
      <c r="Q429" s="330">
        <f>SUM(G429:P429)</f>
        <v>4000</v>
      </c>
    </row>
    <row r="430" spans="1:17" ht="38.25" customHeight="1">
      <c r="A430" s="346"/>
      <c r="B430" s="346"/>
      <c r="C430" s="144" t="s">
        <v>724</v>
      </c>
      <c r="D430" s="126" t="s">
        <v>544</v>
      </c>
      <c r="E430" s="681"/>
      <c r="F430" s="23">
        <v>174903</v>
      </c>
      <c r="G430" s="330">
        <f>0+'táj.2.'!G430</f>
        <v>0</v>
      </c>
      <c r="H430" s="330">
        <f>0+'táj.2.'!H430</f>
        <v>0</v>
      </c>
      <c r="I430" s="330">
        <f>0+'táj.2.'!I430</f>
        <v>0</v>
      </c>
      <c r="J430" s="330">
        <f>0+'táj.2.'!J430</f>
        <v>0</v>
      </c>
      <c r="K430" s="330">
        <f>0+'táj.2.'!K430</f>
        <v>0</v>
      </c>
      <c r="L430" s="330">
        <f>0+'táj.2.'!L430</f>
        <v>0</v>
      </c>
      <c r="M430" s="330">
        <f>0+'táj.2.'!M430</f>
        <v>0</v>
      </c>
      <c r="N430" s="330">
        <f>8966+'táj.2.'!N430</f>
        <v>8966</v>
      </c>
      <c r="O430" s="330">
        <f>0+'táj.2.'!O430</f>
        <v>0</v>
      </c>
      <c r="P430" s="330">
        <f>0+'táj.2.'!P430</f>
        <v>0</v>
      </c>
      <c r="Q430" s="330">
        <f>SUM(G430:P430)</f>
        <v>8966</v>
      </c>
    </row>
    <row r="431" spans="1:17" ht="13.5" customHeight="1">
      <c r="A431" s="17"/>
      <c r="B431" s="17"/>
      <c r="C431" s="300"/>
      <c r="D431" s="18" t="s">
        <v>462</v>
      </c>
      <c r="E431" s="669"/>
      <c r="F431" s="17"/>
      <c r="G431" s="19">
        <f aca="true" t="shared" si="25" ref="G431:Q431">SUM(G289:G430)</f>
        <v>1500</v>
      </c>
      <c r="H431" s="19">
        <f t="shared" si="25"/>
        <v>400</v>
      </c>
      <c r="I431" s="19">
        <f t="shared" si="25"/>
        <v>1334463</v>
      </c>
      <c r="J431" s="19">
        <f t="shared" si="25"/>
        <v>0</v>
      </c>
      <c r="K431" s="19">
        <f t="shared" si="25"/>
        <v>39093</v>
      </c>
      <c r="L431" s="19">
        <f t="shared" si="25"/>
        <v>217722</v>
      </c>
      <c r="M431" s="19">
        <f t="shared" si="25"/>
        <v>474954</v>
      </c>
      <c r="N431" s="19">
        <f t="shared" si="25"/>
        <v>644383</v>
      </c>
      <c r="O431" s="19">
        <f t="shared" si="25"/>
        <v>0</v>
      </c>
      <c r="P431" s="19">
        <f t="shared" si="25"/>
        <v>0</v>
      </c>
      <c r="Q431" s="19">
        <f t="shared" si="25"/>
        <v>2712515</v>
      </c>
    </row>
    <row r="432" spans="1:17" ht="13.5" customHeight="1">
      <c r="A432" s="23">
        <v>1</v>
      </c>
      <c r="B432" s="23">
        <v>16</v>
      </c>
      <c r="C432" s="342"/>
      <c r="D432" s="382" t="s">
        <v>834</v>
      </c>
      <c r="E432" s="681"/>
      <c r="F432" s="23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ht="13.5" customHeight="1">
      <c r="A433" s="23"/>
      <c r="B433" s="23"/>
      <c r="C433" s="342"/>
      <c r="D433" s="383" t="s">
        <v>410</v>
      </c>
      <c r="E433" s="681"/>
      <c r="F433" s="23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1:17" ht="13.5" customHeight="1">
      <c r="A434" s="23"/>
      <c r="B434" s="23"/>
      <c r="C434" s="342"/>
      <c r="D434" s="353" t="s">
        <v>835</v>
      </c>
      <c r="E434" s="681">
        <v>2</v>
      </c>
      <c r="F434" s="23">
        <v>161903</v>
      </c>
      <c r="G434" s="25">
        <f>0+'táj.2.'!G434</f>
        <v>0</v>
      </c>
      <c r="H434" s="25">
        <f>0+'táj.2.'!H434</f>
        <v>0</v>
      </c>
      <c r="I434" s="25">
        <f>10000+'táj.2.'!I434</f>
        <v>10000</v>
      </c>
      <c r="J434" s="25">
        <f>0+'táj.2.'!J434</f>
        <v>0</v>
      </c>
      <c r="K434" s="25">
        <f>0+'táj.2.'!K434</f>
        <v>0</v>
      </c>
      <c r="L434" s="25">
        <f>0+'táj.2.'!L434</f>
        <v>0</v>
      </c>
      <c r="M434" s="25">
        <f>0+'táj.2.'!M434</f>
        <v>0</v>
      </c>
      <c r="N434" s="25">
        <f>0+'táj.2.'!N434</f>
        <v>0</v>
      </c>
      <c r="O434" s="25">
        <f>0+'táj.2.'!O434</f>
        <v>0</v>
      </c>
      <c r="P434" s="25">
        <f>0+'táj.2.'!P434</f>
        <v>0</v>
      </c>
      <c r="Q434" s="25">
        <f>SUM(I434:P434)</f>
        <v>10000</v>
      </c>
    </row>
    <row r="435" spans="1:17" ht="24" customHeight="1">
      <c r="A435" s="23"/>
      <c r="B435" s="23"/>
      <c r="C435" s="342"/>
      <c r="D435" s="158" t="s">
        <v>836</v>
      </c>
      <c r="E435" s="681">
        <v>2</v>
      </c>
      <c r="F435" s="23">
        <v>161904</v>
      </c>
      <c r="G435" s="25">
        <f>0+'táj.2.'!G435</f>
        <v>0</v>
      </c>
      <c r="H435" s="25">
        <f>0+'táj.2.'!H435</f>
        <v>0</v>
      </c>
      <c r="I435" s="25">
        <f>17500+'táj.2.'!I435</f>
        <v>17500</v>
      </c>
      <c r="J435" s="25">
        <f>0+'táj.2.'!J435</f>
        <v>0</v>
      </c>
      <c r="K435" s="25">
        <f>0+'táj.2.'!K435</f>
        <v>0</v>
      </c>
      <c r="L435" s="25">
        <f>0+'táj.2.'!L435</f>
        <v>0</v>
      </c>
      <c r="M435" s="25">
        <f>0+'táj.2.'!M435</f>
        <v>0</v>
      </c>
      <c r="N435" s="25">
        <f>0+'táj.2.'!N435</f>
        <v>0</v>
      </c>
      <c r="O435" s="25">
        <f>0+'táj.2.'!O435</f>
        <v>0</v>
      </c>
      <c r="P435" s="25">
        <f>0+'táj.2.'!P435</f>
        <v>0</v>
      </c>
      <c r="Q435" s="25">
        <f>SUM(I435:P435)</f>
        <v>17500</v>
      </c>
    </row>
    <row r="436" spans="1:17" ht="13.5" customHeight="1">
      <c r="A436" s="23"/>
      <c r="B436" s="23"/>
      <c r="C436" s="342"/>
      <c r="D436" s="384" t="s">
        <v>837</v>
      </c>
      <c r="E436" s="681">
        <v>2</v>
      </c>
      <c r="F436" s="23">
        <v>171911</v>
      </c>
      <c r="G436" s="25">
        <f>0+'táj.2.'!G436</f>
        <v>0</v>
      </c>
      <c r="H436" s="25">
        <f>0+'táj.2.'!H436</f>
        <v>0</v>
      </c>
      <c r="I436" s="25">
        <f>250+'táj.2.'!I436</f>
        <v>250</v>
      </c>
      <c r="J436" s="25">
        <f>0+'táj.2.'!J436</f>
        <v>0</v>
      </c>
      <c r="K436" s="25">
        <f>0+'táj.2.'!K436</f>
        <v>0</v>
      </c>
      <c r="L436" s="25">
        <f>0+'táj.2.'!L436</f>
        <v>0</v>
      </c>
      <c r="M436" s="25">
        <f>0+'táj.2.'!M436</f>
        <v>0</v>
      </c>
      <c r="N436" s="25">
        <f>0+'táj.2.'!N436</f>
        <v>0</v>
      </c>
      <c r="O436" s="25">
        <f>0+'táj.2.'!O436</f>
        <v>0</v>
      </c>
      <c r="P436" s="25">
        <f>0+'táj.2.'!P436</f>
        <v>0</v>
      </c>
      <c r="Q436" s="25">
        <f>SUM(I436:P436)</f>
        <v>250</v>
      </c>
    </row>
    <row r="437" spans="1:17" ht="21.75" customHeight="1">
      <c r="A437" s="23"/>
      <c r="B437" s="23"/>
      <c r="C437" s="342"/>
      <c r="D437" s="617" t="s">
        <v>732</v>
      </c>
      <c r="E437" s="681">
        <v>2</v>
      </c>
      <c r="F437" s="23">
        <v>161905</v>
      </c>
      <c r="G437" s="25">
        <f>0+'táj.2.'!G437</f>
        <v>0</v>
      </c>
      <c r="H437" s="25">
        <f>0+'táj.2.'!H437</f>
        <v>0</v>
      </c>
      <c r="I437" s="25">
        <f>0+'táj.2.'!I437</f>
        <v>60000</v>
      </c>
      <c r="J437" s="25">
        <f>0+'táj.2.'!J437</f>
        <v>0</v>
      </c>
      <c r="K437" s="25">
        <f>0+'táj.2.'!K437</f>
        <v>0</v>
      </c>
      <c r="L437" s="25">
        <f>0+'táj.2.'!L437</f>
        <v>0</v>
      </c>
      <c r="M437" s="25">
        <f>0+'táj.2.'!M437</f>
        <v>0</v>
      </c>
      <c r="N437" s="25">
        <f>0+'táj.2.'!N437</f>
        <v>0</v>
      </c>
      <c r="O437" s="25">
        <f>0+'táj.2.'!O437</f>
        <v>0</v>
      </c>
      <c r="P437" s="25">
        <f>0+'táj.2.'!P437</f>
        <v>0</v>
      </c>
      <c r="Q437" s="25">
        <f>0+'táj.2.'!Q437</f>
        <v>60000</v>
      </c>
    </row>
    <row r="438" spans="1:17" ht="13.5" customHeight="1">
      <c r="A438" s="97"/>
      <c r="B438" s="97"/>
      <c r="C438" s="385"/>
      <c r="D438" s="345" t="s">
        <v>838</v>
      </c>
      <c r="E438" s="683"/>
      <c r="F438" s="97"/>
      <c r="G438" s="339"/>
      <c r="H438" s="339"/>
      <c r="I438" s="339">
        <f>SUM(I434:I437)</f>
        <v>87750</v>
      </c>
      <c r="J438" s="339">
        <f aca="true" t="shared" si="26" ref="J438:Q438">SUM(J434:J437)</f>
        <v>0</v>
      </c>
      <c r="K438" s="339">
        <f t="shared" si="26"/>
        <v>0</v>
      </c>
      <c r="L438" s="339">
        <f t="shared" si="26"/>
        <v>0</v>
      </c>
      <c r="M438" s="339">
        <f t="shared" si="26"/>
        <v>0</v>
      </c>
      <c r="N438" s="339">
        <f t="shared" si="26"/>
        <v>0</v>
      </c>
      <c r="O438" s="339">
        <f t="shared" si="26"/>
        <v>0</v>
      </c>
      <c r="P438" s="339">
        <f t="shared" si="26"/>
        <v>0</v>
      </c>
      <c r="Q438" s="339">
        <f t="shared" si="26"/>
        <v>87750</v>
      </c>
    </row>
    <row r="439" spans="1:17" ht="12.75" customHeight="1">
      <c r="A439" s="23"/>
      <c r="B439" s="23"/>
      <c r="C439" s="342"/>
      <c r="D439" s="99" t="s">
        <v>839</v>
      </c>
      <c r="E439" s="681"/>
      <c r="F439" s="23"/>
      <c r="G439" s="25"/>
      <c r="H439" s="24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1:17" ht="12.75" customHeight="1">
      <c r="A440" s="23"/>
      <c r="B440" s="23"/>
      <c r="C440" s="386" t="s">
        <v>548</v>
      </c>
      <c r="D440" s="121" t="s">
        <v>494</v>
      </c>
      <c r="E440" s="690"/>
      <c r="F440" s="23"/>
      <c r="G440" s="388"/>
      <c r="H440" s="389"/>
      <c r="I440" s="388"/>
      <c r="J440" s="388"/>
      <c r="K440" s="388"/>
      <c r="L440" s="390"/>
      <c r="M440" s="388"/>
      <c r="N440" s="388"/>
      <c r="O440" s="388"/>
      <c r="P440" s="388"/>
      <c r="Q440" s="388"/>
    </row>
    <row r="441" spans="1:17" ht="25.5" customHeight="1">
      <c r="A441" s="23"/>
      <c r="B441" s="23"/>
      <c r="C441" s="391" t="s">
        <v>592</v>
      </c>
      <c r="D441" s="392" t="s">
        <v>840</v>
      </c>
      <c r="E441" s="681"/>
      <c r="F441" s="23">
        <v>162112</v>
      </c>
      <c r="G441" s="25">
        <f>0+'táj.2.'!G441</f>
        <v>0</v>
      </c>
      <c r="H441" s="25">
        <f>0+'táj.2.'!H441</f>
        <v>0</v>
      </c>
      <c r="I441" s="25">
        <f>0+'táj.2.'!I441</f>
        <v>0</v>
      </c>
      <c r="J441" s="25">
        <f>0+'táj.2.'!J441</f>
        <v>0</v>
      </c>
      <c r="K441" s="25">
        <f>0+'táj.2.'!K441</f>
        <v>0</v>
      </c>
      <c r="L441" s="25">
        <f>5000+'táj.2.'!L441</f>
        <v>5000</v>
      </c>
      <c r="M441" s="25">
        <f>0+'táj.2.'!M441</f>
        <v>0</v>
      </c>
      <c r="N441" s="25">
        <f>0+'táj.2.'!N441</f>
        <v>0</v>
      </c>
      <c r="O441" s="25">
        <f>0+'táj.2.'!O441</f>
        <v>0</v>
      </c>
      <c r="P441" s="25">
        <f>0+'táj.2.'!P441</f>
        <v>0</v>
      </c>
      <c r="Q441" s="25">
        <f aca="true" t="shared" si="27" ref="Q441:Q446">SUM(G441:P441)</f>
        <v>5000</v>
      </c>
    </row>
    <row r="442" spans="1:17" ht="12.75" customHeight="1">
      <c r="A442" s="23"/>
      <c r="B442" s="23"/>
      <c r="C442" s="391" t="s">
        <v>593</v>
      </c>
      <c r="D442" s="392" t="s">
        <v>841</v>
      </c>
      <c r="E442" s="681"/>
      <c r="F442" s="23">
        <v>162107</v>
      </c>
      <c r="G442" s="25">
        <f>0+'táj.2.'!G442</f>
        <v>0</v>
      </c>
      <c r="H442" s="25">
        <f>0+'táj.2.'!H442</f>
        <v>0</v>
      </c>
      <c r="I442" s="25">
        <f>0+'táj.2.'!I442</f>
        <v>0</v>
      </c>
      <c r="J442" s="25">
        <f>0+'táj.2.'!J442</f>
        <v>0</v>
      </c>
      <c r="K442" s="25">
        <f>0+'táj.2.'!K442</f>
        <v>0</v>
      </c>
      <c r="L442" s="25">
        <f>10000+'táj.2.'!L442</f>
        <v>10000</v>
      </c>
      <c r="M442" s="25">
        <f>0+'táj.2.'!M442</f>
        <v>0</v>
      </c>
      <c r="N442" s="25">
        <f>0+'táj.2.'!N442</f>
        <v>0</v>
      </c>
      <c r="O442" s="25">
        <f>0+'táj.2.'!O442</f>
        <v>0</v>
      </c>
      <c r="P442" s="25">
        <f>0+'táj.2.'!P442</f>
        <v>0</v>
      </c>
      <c r="Q442" s="25">
        <f t="shared" si="27"/>
        <v>10000</v>
      </c>
    </row>
    <row r="443" spans="1:17" ht="12.75" customHeight="1">
      <c r="A443" s="23"/>
      <c r="B443" s="23"/>
      <c r="C443" s="391" t="s">
        <v>594</v>
      </c>
      <c r="D443" s="392" t="s">
        <v>842</v>
      </c>
      <c r="E443" s="681"/>
      <c r="F443" s="23">
        <v>162408</v>
      </c>
      <c r="G443" s="25">
        <f>0+'táj.2.'!G443</f>
        <v>0</v>
      </c>
      <c r="H443" s="25">
        <f>0+'táj.2.'!H443</f>
        <v>0</v>
      </c>
      <c r="I443" s="25">
        <f>0+'táj.2.'!I443</f>
        <v>0</v>
      </c>
      <c r="J443" s="25">
        <f>0+'táj.2.'!J443</f>
        <v>0</v>
      </c>
      <c r="K443" s="25">
        <f>0+'táj.2.'!K443</f>
        <v>0</v>
      </c>
      <c r="L443" s="25">
        <f>15000+'táj.2.'!L443</f>
        <v>15000</v>
      </c>
      <c r="M443" s="25">
        <f>0+'táj.2.'!M443</f>
        <v>0</v>
      </c>
      <c r="N443" s="25">
        <f>0+'táj.2.'!N443</f>
        <v>0</v>
      </c>
      <c r="O443" s="25">
        <f>0+'táj.2.'!O443</f>
        <v>0</v>
      </c>
      <c r="P443" s="25">
        <f>0+'táj.2.'!P443</f>
        <v>0</v>
      </c>
      <c r="Q443" s="25">
        <f t="shared" si="27"/>
        <v>15000</v>
      </c>
    </row>
    <row r="444" spans="1:17" ht="29.25" customHeight="1">
      <c r="A444" s="23"/>
      <c r="B444" s="23"/>
      <c r="C444" s="391" t="s">
        <v>581</v>
      </c>
      <c r="D444" s="392" t="s">
        <v>843</v>
      </c>
      <c r="E444" s="691"/>
      <c r="F444" s="23">
        <v>162709</v>
      </c>
      <c r="G444" s="25">
        <f>0+'táj.2.'!G444</f>
        <v>0</v>
      </c>
      <c r="H444" s="25">
        <f>0+'táj.2.'!H444</f>
        <v>0</v>
      </c>
      <c r="I444" s="25">
        <f>0+'táj.2.'!I444</f>
        <v>0</v>
      </c>
      <c r="J444" s="25">
        <f>0+'táj.2.'!J444</f>
        <v>0</v>
      </c>
      <c r="K444" s="25">
        <f>0+'táj.2.'!K444</f>
        <v>0</v>
      </c>
      <c r="L444" s="25">
        <f>1000+'táj.2.'!L444</f>
        <v>1000</v>
      </c>
      <c r="M444" s="25">
        <f>0+'táj.2.'!M444</f>
        <v>0</v>
      </c>
      <c r="N444" s="25">
        <f>0+'táj.2.'!N444</f>
        <v>0</v>
      </c>
      <c r="O444" s="25">
        <f>0+'táj.2.'!O444</f>
        <v>0</v>
      </c>
      <c r="P444" s="25">
        <f>0+'táj.2.'!P444</f>
        <v>0</v>
      </c>
      <c r="Q444" s="25">
        <f t="shared" si="27"/>
        <v>1000</v>
      </c>
    </row>
    <row r="445" spans="1:17" ht="12.75" customHeight="1">
      <c r="A445" s="23"/>
      <c r="B445" s="23"/>
      <c r="C445" s="391" t="s">
        <v>582</v>
      </c>
      <c r="D445" s="392" t="s">
        <v>844</v>
      </c>
      <c r="E445" s="691"/>
      <c r="F445" s="23">
        <v>162110</v>
      </c>
      <c r="G445" s="25">
        <f>0+'táj.2.'!G445</f>
        <v>0</v>
      </c>
      <c r="H445" s="25">
        <f>0+'táj.2.'!H445</f>
        <v>0</v>
      </c>
      <c r="I445" s="25">
        <f>0+'táj.2.'!I445</f>
        <v>0</v>
      </c>
      <c r="J445" s="25">
        <f>0+'táj.2.'!J445</f>
        <v>0</v>
      </c>
      <c r="K445" s="25">
        <f>0+'táj.2.'!K445</f>
        <v>0</v>
      </c>
      <c r="L445" s="25">
        <f>500+'táj.2.'!L445</f>
        <v>500</v>
      </c>
      <c r="M445" s="25">
        <f>0+'táj.2.'!M445</f>
        <v>0</v>
      </c>
      <c r="N445" s="25">
        <f>0+'táj.2.'!N445</f>
        <v>0</v>
      </c>
      <c r="O445" s="25">
        <f>0+'táj.2.'!O445</f>
        <v>0</v>
      </c>
      <c r="P445" s="25">
        <f>0+'táj.2.'!P445</f>
        <v>0</v>
      </c>
      <c r="Q445" s="25">
        <f t="shared" si="27"/>
        <v>500</v>
      </c>
    </row>
    <row r="446" spans="1:17" ht="27" customHeight="1">
      <c r="A446" s="23"/>
      <c r="B446" s="23"/>
      <c r="C446" s="391" t="s">
        <v>365</v>
      </c>
      <c r="D446" s="392" t="s">
        <v>845</v>
      </c>
      <c r="E446" s="691"/>
      <c r="F446" s="23">
        <v>163311</v>
      </c>
      <c r="G446" s="25">
        <f>0+'táj.2.'!G446</f>
        <v>0</v>
      </c>
      <c r="H446" s="25">
        <f>0+'táj.2.'!H446</f>
        <v>0</v>
      </c>
      <c r="I446" s="25">
        <f>0+'táj.2.'!I446</f>
        <v>0</v>
      </c>
      <c r="J446" s="25">
        <f>0+'táj.2.'!J446</f>
        <v>0</v>
      </c>
      <c r="K446" s="25">
        <f>0+'táj.2.'!K446</f>
        <v>0</v>
      </c>
      <c r="L446" s="25">
        <f>17920+'táj.2.'!L446</f>
        <v>17920</v>
      </c>
      <c r="M446" s="25">
        <f>0+'táj.2.'!M446</f>
        <v>0</v>
      </c>
      <c r="N446" s="25">
        <f>0+'táj.2.'!N446</f>
        <v>0</v>
      </c>
      <c r="O446" s="25">
        <f>0+'táj.2.'!O446</f>
        <v>0</v>
      </c>
      <c r="P446" s="25">
        <f>0+'táj.2.'!P446</f>
        <v>0</v>
      </c>
      <c r="Q446" s="25">
        <f t="shared" si="27"/>
        <v>17920</v>
      </c>
    </row>
    <row r="447" spans="1:17" ht="12.75" customHeight="1">
      <c r="A447" s="23"/>
      <c r="B447" s="23"/>
      <c r="C447" s="395"/>
      <c r="D447" s="396" t="s">
        <v>286</v>
      </c>
      <c r="E447" s="681"/>
      <c r="F447" s="23"/>
      <c r="G447" s="25"/>
      <c r="H447" s="245"/>
      <c r="I447" s="25"/>
      <c r="J447" s="25"/>
      <c r="K447" s="25"/>
      <c r="L447" s="15"/>
      <c r="M447" s="25"/>
      <c r="N447" s="25"/>
      <c r="O447" s="25"/>
      <c r="P447" s="25"/>
      <c r="Q447" s="25"/>
    </row>
    <row r="448" spans="1:17" ht="25.5" customHeight="1">
      <c r="A448" s="23"/>
      <c r="B448" s="23"/>
      <c r="C448" s="397" t="s">
        <v>492</v>
      </c>
      <c r="D448" s="398" t="s">
        <v>991</v>
      </c>
      <c r="E448" s="692"/>
      <c r="F448" s="23">
        <v>162162</v>
      </c>
      <c r="G448" s="25">
        <f>0+'táj.2.'!G448</f>
        <v>0</v>
      </c>
      <c r="H448" s="25">
        <f>0+'táj.2.'!H448</f>
        <v>0</v>
      </c>
      <c r="I448" s="25">
        <f>0+'táj.2.'!I448</f>
        <v>0</v>
      </c>
      <c r="J448" s="25">
        <f>0+'táj.2.'!J448</f>
        <v>0</v>
      </c>
      <c r="K448" s="25">
        <f>0+'táj.2.'!K448</f>
        <v>0</v>
      </c>
      <c r="L448" s="25">
        <f>11400+'táj.2.'!L448</f>
        <v>11400</v>
      </c>
      <c r="M448" s="25">
        <f>0+'táj.2.'!M448</f>
        <v>0</v>
      </c>
      <c r="N448" s="25">
        <f>0+'táj.2.'!N448</f>
        <v>0</v>
      </c>
      <c r="O448" s="25">
        <f>0+'táj.2.'!O448</f>
        <v>0</v>
      </c>
      <c r="P448" s="25">
        <f>0+'táj.2.'!P448</f>
        <v>0</v>
      </c>
      <c r="Q448" s="129">
        <f aca="true" t="shared" si="28" ref="Q448:Q456">SUM(G448:P448)</f>
        <v>11400</v>
      </c>
    </row>
    <row r="449" spans="1:17" ht="25.5" customHeight="1">
      <c r="A449" s="23"/>
      <c r="B449" s="23"/>
      <c r="C449" s="402" t="s">
        <v>520</v>
      </c>
      <c r="D449" s="111" t="s">
        <v>1063</v>
      </c>
      <c r="E449" s="681"/>
      <c r="F449" s="23">
        <v>162160</v>
      </c>
      <c r="G449" s="25">
        <f>0+'táj.2.'!G449</f>
        <v>0</v>
      </c>
      <c r="H449" s="25">
        <f>0+'táj.2.'!H449</f>
        <v>0</v>
      </c>
      <c r="I449" s="25">
        <f>0+'táj.2.'!I449</f>
        <v>0</v>
      </c>
      <c r="J449" s="25">
        <f>0+'táj.2.'!J449</f>
        <v>0</v>
      </c>
      <c r="K449" s="25">
        <f>0+'táj.2.'!K449</f>
        <v>0</v>
      </c>
      <c r="L449" s="25">
        <f>32086+'táj.2.'!L449</f>
        <v>32086</v>
      </c>
      <c r="M449" s="25">
        <f>0+'táj.2.'!M449</f>
        <v>0</v>
      </c>
      <c r="N449" s="25">
        <f>0+'táj.2.'!N449</f>
        <v>0</v>
      </c>
      <c r="O449" s="25">
        <f>0+'táj.2.'!O449</f>
        <v>0</v>
      </c>
      <c r="P449" s="25">
        <f>0+'táj.2.'!P449</f>
        <v>0</v>
      </c>
      <c r="Q449" s="25">
        <f t="shared" si="28"/>
        <v>32086</v>
      </c>
    </row>
    <row r="450" spans="1:17" ht="26.25" customHeight="1">
      <c r="A450" s="23"/>
      <c r="B450" s="23"/>
      <c r="C450" s="402" t="s">
        <v>521</v>
      </c>
      <c r="D450" s="105" t="s">
        <v>1064</v>
      </c>
      <c r="E450" s="681"/>
      <c r="F450" s="23">
        <v>152113</v>
      </c>
      <c r="G450" s="25">
        <f>0+'táj.2.'!G450</f>
        <v>0</v>
      </c>
      <c r="H450" s="25">
        <f>0+'táj.2.'!H450</f>
        <v>0</v>
      </c>
      <c r="I450" s="25">
        <f>0+'táj.2.'!I450</f>
        <v>0</v>
      </c>
      <c r="J450" s="25">
        <f>0+'táj.2.'!J450</f>
        <v>0</v>
      </c>
      <c r="K450" s="25">
        <f>0+'táj.2.'!K450</f>
        <v>0</v>
      </c>
      <c r="L450" s="25">
        <f>1507+'táj.2.'!L450</f>
        <v>1507</v>
      </c>
      <c r="M450" s="25">
        <f>0+'táj.2.'!M450</f>
        <v>0</v>
      </c>
      <c r="N450" s="25">
        <f>0+'táj.2.'!N450</f>
        <v>0</v>
      </c>
      <c r="O450" s="25">
        <f>0+'táj.2.'!O450</f>
        <v>0</v>
      </c>
      <c r="P450" s="25">
        <f>0+'táj.2.'!P450</f>
        <v>0</v>
      </c>
      <c r="Q450" s="25">
        <f t="shared" si="28"/>
        <v>1507</v>
      </c>
    </row>
    <row r="451" spans="1:17" ht="12.75" customHeight="1">
      <c r="A451" s="23"/>
      <c r="B451" s="23"/>
      <c r="C451" s="402" t="s">
        <v>522</v>
      </c>
      <c r="D451" s="105" t="s">
        <v>846</v>
      </c>
      <c r="E451" s="681"/>
      <c r="F451" s="23">
        <v>162164</v>
      </c>
      <c r="G451" s="25">
        <f>0+'táj.2.'!G451</f>
        <v>0</v>
      </c>
      <c r="H451" s="25">
        <f>0+'táj.2.'!H451</f>
        <v>0</v>
      </c>
      <c r="I451" s="25">
        <f>0+'táj.2.'!I451</f>
        <v>0</v>
      </c>
      <c r="J451" s="25">
        <f>0+'táj.2.'!J451</f>
        <v>0</v>
      </c>
      <c r="K451" s="25">
        <f>0+'táj.2.'!K451</f>
        <v>0</v>
      </c>
      <c r="L451" s="25">
        <f>846+'táj.2.'!L451</f>
        <v>846</v>
      </c>
      <c r="M451" s="25">
        <f>0+'táj.2.'!M451</f>
        <v>0</v>
      </c>
      <c r="N451" s="25">
        <f>0+'táj.2.'!N451</f>
        <v>0</v>
      </c>
      <c r="O451" s="25">
        <f>0+'táj.2.'!O451</f>
        <v>0</v>
      </c>
      <c r="P451" s="25">
        <f>0+'táj.2.'!P451</f>
        <v>0</v>
      </c>
      <c r="Q451" s="25">
        <f t="shared" si="28"/>
        <v>846</v>
      </c>
    </row>
    <row r="452" spans="1:17" ht="12.75" customHeight="1">
      <c r="A452" s="23"/>
      <c r="B452" s="23"/>
      <c r="C452" s="403" t="s">
        <v>595</v>
      </c>
      <c r="D452" s="404" t="s">
        <v>358</v>
      </c>
      <c r="E452" s="681"/>
      <c r="F452" s="23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1:17" ht="12.75" customHeight="1">
      <c r="A453" s="23"/>
      <c r="B453" s="23"/>
      <c r="C453" s="405" t="s">
        <v>596</v>
      </c>
      <c r="D453" s="323" t="s">
        <v>847</v>
      </c>
      <c r="E453" s="681"/>
      <c r="F453" s="23">
        <v>162207</v>
      </c>
      <c r="G453" s="25">
        <f>0+'táj.2.'!G453</f>
        <v>0</v>
      </c>
      <c r="H453" s="25">
        <f>0+'táj.2.'!H453</f>
        <v>0</v>
      </c>
      <c r="I453" s="25">
        <f>0+'táj.2.'!I453</f>
        <v>0</v>
      </c>
      <c r="J453" s="25">
        <f>0+'táj.2.'!J453</f>
        <v>0</v>
      </c>
      <c r="K453" s="25">
        <f>0+'táj.2.'!K453</f>
        <v>0</v>
      </c>
      <c r="L453" s="25">
        <f>18000+'táj.2.'!L453</f>
        <v>18000</v>
      </c>
      <c r="M453" s="25">
        <f>0+'táj.2.'!M453</f>
        <v>0</v>
      </c>
      <c r="N453" s="25">
        <f>0+'táj.2.'!N453</f>
        <v>0</v>
      </c>
      <c r="O453" s="25">
        <f>0+'táj.2.'!O453</f>
        <v>0</v>
      </c>
      <c r="P453" s="25">
        <f>0+'táj.2.'!P453</f>
        <v>0</v>
      </c>
      <c r="Q453" s="25">
        <f t="shared" si="28"/>
        <v>18000</v>
      </c>
    </row>
    <row r="454" spans="1:17" ht="12.75" customHeight="1">
      <c r="A454" s="23"/>
      <c r="B454" s="23"/>
      <c r="C454" s="405" t="s">
        <v>473</v>
      </c>
      <c r="D454" s="323" t="s">
        <v>848</v>
      </c>
      <c r="E454" s="681"/>
      <c r="F454" s="23">
        <v>162206</v>
      </c>
      <c r="G454" s="25">
        <f>0+'táj.2.'!G454</f>
        <v>0</v>
      </c>
      <c r="H454" s="25">
        <f>0+'táj.2.'!H454</f>
        <v>0</v>
      </c>
      <c r="I454" s="25">
        <f>0+'táj.2.'!I454</f>
        <v>0</v>
      </c>
      <c r="J454" s="25">
        <f>0+'táj.2.'!J454</f>
        <v>0</v>
      </c>
      <c r="K454" s="25">
        <f>0+'táj.2.'!K454</f>
        <v>0</v>
      </c>
      <c r="L454" s="25">
        <f>6000+'táj.2.'!L454</f>
        <v>6000</v>
      </c>
      <c r="M454" s="25">
        <f>0+'táj.2.'!M454</f>
        <v>0</v>
      </c>
      <c r="N454" s="25">
        <f>0+'táj.2.'!N454</f>
        <v>0</v>
      </c>
      <c r="O454" s="25">
        <f>0+'táj.2.'!O454</f>
        <v>0</v>
      </c>
      <c r="P454" s="25">
        <f>0+'táj.2.'!P454</f>
        <v>0</v>
      </c>
      <c r="Q454" s="25">
        <f t="shared" si="28"/>
        <v>6000</v>
      </c>
    </row>
    <row r="455" spans="1:17" ht="12.75" customHeight="1">
      <c r="A455" s="23"/>
      <c r="B455" s="23"/>
      <c r="C455" s="405"/>
      <c r="D455" s="396" t="s">
        <v>286</v>
      </c>
      <c r="E455" s="681"/>
      <c r="F455" s="23"/>
      <c r="G455" s="25">
        <f>0+'táj.2.'!G455</f>
        <v>0</v>
      </c>
      <c r="H455" s="245"/>
      <c r="I455" s="25"/>
      <c r="J455" s="25"/>
      <c r="K455" s="25"/>
      <c r="L455" s="15"/>
      <c r="M455" s="25"/>
      <c r="N455" s="25"/>
      <c r="O455" s="25"/>
      <c r="P455" s="25"/>
      <c r="Q455" s="25"/>
    </row>
    <row r="456" spans="1:17" ht="38.25" customHeight="1">
      <c r="A456" s="23"/>
      <c r="B456" s="23"/>
      <c r="C456" s="405" t="s">
        <v>742</v>
      </c>
      <c r="D456" s="114" t="s">
        <v>849</v>
      </c>
      <c r="E456" s="681"/>
      <c r="F456" s="23">
        <v>162204</v>
      </c>
      <c r="G456" s="25">
        <f>0+'táj.2.'!G456</f>
        <v>0</v>
      </c>
      <c r="H456" s="25">
        <f>0+'táj.2.'!H456</f>
        <v>0</v>
      </c>
      <c r="I456" s="25">
        <f>0+'táj.2.'!I456</f>
        <v>0</v>
      </c>
      <c r="J456" s="25">
        <f>0+'táj.2.'!J456</f>
        <v>0</v>
      </c>
      <c r="K456" s="25">
        <f>0+'táj.2.'!K456</f>
        <v>0</v>
      </c>
      <c r="L456" s="25">
        <f>346+'táj.2.'!L456</f>
        <v>346</v>
      </c>
      <c r="M456" s="25">
        <f>0+'táj.2.'!M456</f>
        <v>0</v>
      </c>
      <c r="N456" s="25">
        <f>0+'táj.2.'!N456</f>
        <v>0</v>
      </c>
      <c r="O456" s="25">
        <f>0+'táj.2.'!O456</f>
        <v>0</v>
      </c>
      <c r="P456" s="25">
        <f>0+'táj.2.'!P456</f>
        <v>0</v>
      </c>
      <c r="Q456" s="25">
        <f t="shared" si="28"/>
        <v>346</v>
      </c>
    </row>
    <row r="457" spans="1:17" ht="12.75" customHeight="1">
      <c r="A457" s="23"/>
      <c r="B457" s="23"/>
      <c r="C457" s="378" t="s">
        <v>597</v>
      </c>
      <c r="D457" s="379" t="s">
        <v>549</v>
      </c>
      <c r="E457" s="681"/>
      <c r="F457" s="23"/>
      <c r="G457" s="25"/>
      <c r="H457" s="24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1:17" ht="12.75" customHeight="1">
      <c r="A458" s="23"/>
      <c r="B458" s="23"/>
      <c r="C458" s="378"/>
      <c r="D458" s="406" t="s">
        <v>286</v>
      </c>
      <c r="E458" s="681"/>
      <c r="F458" s="23"/>
      <c r="G458" s="25"/>
      <c r="H458" s="24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ht="26.25" customHeight="1">
      <c r="A459" s="23"/>
      <c r="B459" s="23"/>
      <c r="C459" s="405" t="s">
        <v>698</v>
      </c>
      <c r="D459" s="407" t="s">
        <v>850</v>
      </c>
      <c r="E459" s="681" t="s">
        <v>469</v>
      </c>
      <c r="F459" s="23">
        <v>162973</v>
      </c>
      <c r="G459" s="25">
        <f>0+'táj.2.'!G459</f>
        <v>0</v>
      </c>
      <c r="H459" s="25">
        <f>0+'táj.2.'!H459</f>
        <v>0</v>
      </c>
      <c r="I459" s="25">
        <f>10998+'táj.2.'!I459</f>
        <v>10998</v>
      </c>
      <c r="J459" s="25">
        <f>0+'táj.2.'!J459</f>
        <v>0</v>
      </c>
      <c r="K459" s="25">
        <f>0+'táj.2.'!K459</f>
        <v>0</v>
      </c>
      <c r="L459" s="25">
        <f>556749+'táj.2.'!L459</f>
        <v>556749</v>
      </c>
      <c r="M459" s="25">
        <f>0+'táj.2.'!M459</f>
        <v>0</v>
      </c>
      <c r="N459" s="25">
        <f>0+'táj.2.'!N459</f>
        <v>0</v>
      </c>
      <c r="O459" s="25">
        <f>0+'táj.2.'!O459</f>
        <v>0</v>
      </c>
      <c r="P459" s="25">
        <f>0+'táj.2.'!P459</f>
        <v>0</v>
      </c>
      <c r="Q459" s="25">
        <f>SUM(G459:P459)</f>
        <v>567747</v>
      </c>
    </row>
    <row r="460" spans="1:17" ht="28.5" customHeight="1">
      <c r="A460" s="23"/>
      <c r="B460" s="23"/>
      <c r="C460" s="405" t="s">
        <v>1065</v>
      </c>
      <c r="D460" s="407" t="s">
        <v>851</v>
      </c>
      <c r="E460" s="681" t="s">
        <v>469</v>
      </c>
      <c r="F460" s="23">
        <v>162974</v>
      </c>
      <c r="G460" s="25">
        <f>0+'táj.2.'!G460</f>
        <v>0</v>
      </c>
      <c r="H460" s="25">
        <f>0+'táj.2.'!H460</f>
        <v>0</v>
      </c>
      <c r="I460" s="25">
        <f>10871+'táj.2.'!I460</f>
        <v>10871</v>
      </c>
      <c r="J460" s="25">
        <f>0+'táj.2.'!J460</f>
        <v>0</v>
      </c>
      <c r="K460" s="25">
        <f>0+'táj.2.'!K460</f>
        <v>0</v>
      </c>
      <c r="L460" s="25">
        <f>560854+'táj.2.'!L460</f>
        <v>560854</v>
      </c>
      <c r="M460" s="25">
        <f>0+'táj.2.'!M460</f>
        <v>0</v>
      </c>
      <c r="N460" s="25">
        <f>0+'táj.2.'!N460</f>
        <v>0</v>
      </c>
      <c r="O460" s="25">
        <f>0+'táj.2.'!O460</f>
        <v>0</v>
      </c>
      <c r="P460" s="25">
        <f>0+'táj.2.'!P460</f>
        <v>0</v>
      </c>
      <c r="Q460" s="25">
        <f>SUM(G460:P460)</f>
        <v>571725</v>
      </c>
    </row>
    <row r="461" spans="1:17" ht="12.75" customHeight="1">
      <c r="A461" s="23"/>
      <c r="B461" s="23"/>
      <c r="C461" s="378" t="s">
        <v>598</v>
      </c>
      <c r="D461" s="379" t="s">
        <v>603</v>
      </c>
      <c r="E461" s="681"/>
      <c r="F461" s="23"/>
      <c r="G461" s="25"/>
      <c r="H461" s="24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ht="27.75" customHeight="1">
      <c r="A462" s="23"/>
      <c r="B462" s="23"/>
      <c r="C462" s="408" t="s">
        <v>604</v>
      </c>
      <c r="D462" s="323" t="s">
        <v>852</v>
      </c>
      <c r="E462" s="681"/>
      <c r="F462" s="23">
        <v>162412</v>
      </c>
      <c r="G462" s="25">
        <f>0+'táj.2.'!G462</f>
        <v>0</v>
      </c>
      <c r="H462" s="25">
        <f>0+'táj.2.'!H462</f>
        <v>0</v>
      </c>
      <c r="I462" s="25">
        <f>0+'táj.2.'!I462</f>
        <v>0</v>
      </c>
      <c r="J462" s="25">
        <f>0+'táj.2.'!J462</f>
        <v>0</v>
      </c>
      <c r="K462" s="25">
        <f>0+'táj.2.'!K462</f>
        <v>0</v>
      </c>
      <c r="L462" s="25">
        <f>79000+'táj.2.'!L462</f>
        <v>79000</v>
      </c>
      <c r="M462" s="25">
        <f>0+'táj.2.'!M462</f>
        <v>0</v>
      </c>
      <c r="N462" s="25">
        <f>0+'táj.2.'!N462</f>
        <v>0</v>
      </c>
      <c r="O462" s="25">
        <f>0+'táj.2.'!O462</f>
        <v>0</v>
      </c>
      <c r="P462" s="25">
        <f>0+'táj.2.'!P462</f>
        <v>0</v>
      </c>
      <c r="Q462" s="25">
        <f aca="true" t="shared" si="29" ref="Q462:Q470">SUM(G462:P462)</f>
        <v>79000</v>
      </c>
    </row>
    <row r="463" spans="1:17" ht="38.25" customHeight="1">
      <c r="A463" s="23"/>
      <c r="B463" s="23"/>
      <c r="C463" s="408" t="s">
        <v>605</v>
      </c>
      <c r="D463" s="323" t="s">
        <v>853</v>
      </c>
      <c r="E463" s="681"/>
      <c r="F463" s="23">
        <v>162457</v>
      </c>
      <c r="G463" s="25">
        <f>0+'táj.2.'!G463</f>
        <v>0</v>
      </c>
      <c r="H463" s="25">
        <f>0+'táj.2.'!H463</f>
        <v>0</v>
      </c>
      <c r="I463" s="25">
        <f>0+'táj.2.'!I463</f>
        <v>0</v>
      </c>
      <c r="J463" s="25">
        <f>0+'táj.2.'!J463</f>
        <v>0</v>
      </c>
      <c r="K463" s="25">
        <f>0+'táj.2.'!K463</f>
        <v>0</v>
      </c>
      <c r="L463" s="25">
        <f>6000+'táj.2.'!L463</f>
        <v>6000</v>
      </c>
      <c r="M463" s="25">
        <f>0+'táj.2.'!M463</f>
        <v>0</v>
      </c>
      <c r="N463" s="25">
        <f>0+'táj.2.'!N463</f>
        <v>0</v>
      </c>
      <c r="O463" s="25">
        <f>0+'táj.2.'!O463</f>
        <v>0</v>
      </c>
      <c r="P463" s="25">
        <f>0+'táj.2.'!P463</f>
        <v>0</v>
      </c>
      <c r="Q463" s="25">
        <f t="shared" si="29"/>
        <v>6000</v>
      </c>
    </row>
    <row r="464" spans="1:17" ht="27.75" customHeight="1">
      <c r="A464" s="23"/>
      <c r="B464" s="23"/>
      <c r="C464" s="408" t="s">
        <v>606</v>
      </c>
      <c r="D464" s="323" t="s">
        <v>854</v>
      </c>
      <c r="E464" s="681"/>
      <c r="F464" s="23">
        <v>162413</v>
      </c>
      <c r="G464" s="25">
        <f>0+'táj.2.'!G464</f>
        <v>0</v>
      </c>
      <c r="H464" s="25">
        <f>0+'táj.2.'!H464</f>
        <v>0</v>
      </c>
      <c r="I464" s="25">
        <f>0+'táj.2.'!I464</f>
        <v>0</v>
      </c>
      <c r="J464" s="25">
        <f>0+'táj.2.'!J464</f>
        <v>0</v>
      </c>
      <c r="K464" s="25">
        <f>0+'táj.2.'!K464</f>
        <v>0</v>
      </c>
      <c r="L464" s="25">
        <f>25000+'táj.2.'!L464</f>
        <v>25000</v>
      </c>
      <c r="M464" s="25">
        <f>0+'táj.2.'!M464</f>
        <v>0</v>
      </c>
      <c r="N464" s="25">
        <f>0+'táj.2.'!N464</f>
        <v>0</v>
      </c>
      <c r="O464" s="25">
        <f>0+'táj.2.'!O464</f>
        <v>0</v>
      </c>
      <c r="P464" s="25">
        <f>0+'táj.2.'!P464</f>
        <v>0</v>
      </c>
      <c r="Q464" s="25">
        <f t="shared" si="29"/>
        <v>25000</v>
      </c>
    </row>
    <row r="465" spans="1:17" ht="16.5" customHeight="1">
      <c r="A465" s="23"/>
      <c r="B465" s="23"/>
      <c r="C465" s="408" t="s">
        <v>607</v>
      </c>
      <c r="D465" s="323" t="s">
        <v>855</v>
      </c>
      <c r="E465" s="681"/>
      <c r="F465" s="23">
        <v>162414</v>
      </c>
      <c r="G465" s="25">
        <f>0+'táj.2.'!G465</f>
        <v>0</v>
      </c>
      <c r="H465" s="25">
        <f>0+'táj.2.'!H465</f>
        <v>0</v>
      </c>
      <c r="I465" s="25">
        <f>0+'táj.2.'!I465</f>
        <v>0</v>
      </c>
      <c r="J465" s="25">
        <f>0+'táj.2.'!J465</f>
        <v>0</v>
      </c>
      <c r="K465" s="25">
        <f>0+'táj.2.'!K465</f>
        <v>0</v>
      </c>
      <c r="L465" s="25">
        <f>4000+'táj.2.'!L465</f>
        <v>4000</v>
      </c>
      <c r="M465" s="25">
        <f>0+'táj.2.'!M465</f>
        <v>0</v>
      </c>
      <c r="N465" s="25">
        <f>0+'táj.2.'!N465</f>
        <v>0</v>
      </c>
      <c r="O465" s="25">
        <f>0+'táj.2.'!O465</f>
        <v>0</v>
      </c>
      <c r="P465" s="25">
        <f>0+'táj.2.'!P465</f>
        <v>0</v>
      </c>
      <c r="Q465" s="25">
        <f t="shared" si="29"/>
        <v>4000</v>
      </c>
    </row>
    <row r="466" spans="1:17" ht="15" customHeight="1">
      <c r="A466" s="23"/>
      <c r="B466" s="23"/>
      <c r="C466" s="408" t="s">
        <v>608</v>
      </c>
      <c r="D466" s="323" t="s">
        <v>856</v>
      </c>
      <c r="E466" s="681"/>
      <c r="F466" s="23">
        <v>162447</v>
      </c>
      <c r="G466" s="25">
        <f>0+'táj.2.'!G466</f>
        <v>0</v>
      </c>
      <c r="H466" s="25">
        <f>0+'táj.2.'!H466</f>
        <v>0</v>
      </c>
      <c r="I466" s="25">
        <f>0+'táj.2.'!I466</f>
        <v>0</v>
      </c>
      <c r="J466" s="25">
        <f>0+'táj.2.'!J466</f>
        <v>0</v>
      </c>
      <c r="K466" s="25">
        <f>0+'táj.2.'!K466</f>
        <v>0</v>
      </c>
      <c r="L466" s="25">
        <f>5080+'táj.2.'!L466</f>
        <v>5080</v>
      </c>
      <c r="M466" s="25">
        <f>0+'táj.2.'!M466</f>
        <v>0</v>
      </c>
      <c r="N466" s="25">
        <f>0+'táj.2.'!N466</f>
        <v>0</v>
      </c>
      <c r="O466" s="25">
        <f>0+'táj.2.'!O466</f>
        <v>0</v>
      </c>
      <c r="P466" s="25">
        <f>0+'táj.2.'!P466</f>
        <v>0</v>
      </c>
      <c r="Q466" s="25">
        <f t="shared" si="29"/>
        <v>5080</v>
      </c>
    </row>
    <row r="467" spans="1:17" ht="27.75" customHeight="1">
      <c r="A467" s="23"/>
      <c r="B467" s="23"/>
      <c r="C467" s="408" t="s">
        <v>609</v>
      </c>
      <c r="D467" s="323" t="s">
        <v>857</v>
      </c>
      <c r="E467" s="681"/>
      <c r="F467" s="23">
        <v>162458</v>
      </c>
      <c r="G467" s="25">
        <f>0+'táj.2.'!G467</f>
        <v>0</v>
      </c>
      <c r="H467" s="25">
        <f>0+'táj.2.'!H467</f>
        <v>0</v>
      </c>
      <c r="I467" s="25">
        <f>0+'táj.2.'!I467</f>
        <v>0</v>
      </c>
      <c r="J467" s="25">
        <f>0+'táj.2.'!J467</f>
        <v>0</v>
      </c>
      <c r="K467" s="25">
        <f>0+'táj.2.'!K467</f>
        <v>0</v>
      </c>
      <c r="L467" s="25">
        <f>5000+'táj.2.'!L467</f>
        <v>5000</v>
      </c>
      <c r="M467" s="25">
        <f>0+'táj.2.'!M467</f>
        <v>0</v>
      </c>
      <c r="N467" s="25">
        <f>0+'táj.2.'!N467</f>
        <v>0</v>
      </c>
      <c r="O467" s="25">
        <f>0+'táj.2.'!O467</f>
        <v>0</v>
      </c>
      <c r="P467" s="25">
        <f>0+'táj.2.'!P467</f>
        <v>0</v>
      </c>
      <c r="Q467" s="25">
        <f t="shared" si="29"/>
        <v>5000</v>
      </c>
    </row>
    <row r="468" spans="1:17" ht="12.75" customHeight="1">
      <c r="A468" s="23"/>
      <c r="B468" s="23"/>
      <c r="C468" s="408" t="s">
        <v>610</v>
      </c>
      <c r="D468" s="323" t="s">
        <v>858</v>
      </c>
      <c r="E468" s="681"/>
      <c r="F468" s="23">
        <v>162415</v>
      </c>
      <c r="G468" s="25">
        <f>0+'táj.2.'!G468</f>
        <v>0</v>
      </c>
      <c r="H468" s="25">
        <f>0+'táj.2.'!H468</f>
        <v>0</v>
      </c>
      <c r="I468" s="25">
        <f>0+'táj.2.'!I468</f>
        <v>0</v>
      </c>
      <c r="J468" s="25">
        <f>0+'táj.2.'!J468</f>
        <v>0</v>
      </c>
      <c r="K468" s="25">
        <f>0+'táj.2.'!K468</f>
        <v>0</v>
      </c>
      <c r="L468" s="25">
        <f>5000+'táj.2.'!L468</f>
        <v>5000</v>
      </c>
      <c r="M468" s="25">
        <f>0+'táj.2.'!M468</f>
        <v>0</v>
      </c>
      <c r="N468" s="25">
        <f>0+'táj.2.'!N468</f>
        <v>0</v>
      </c>
      <c r="O468" s="25">
        <f>0+'táj.2.'!O468</f>
        <v>0</v>
      </c>
      <c r="P468" s="25">
        <f>0+'táj.2.'!P468</f>
        <v>0</v>
      </c>
      <c r="Q468" s="25">
        <f t="shared" si="29"/>
        <v>5000</v>
      </c>
    </row>
    <row r="469" spans="1:17" ht="12.75" customHeight="1">
      <c r="A469" s="23"/>
      <c r="B469" s="23"/>
      <c r="C469" s="408" t="s">
        <v>612</v>
      </c>
      <c r="D469" s="323" t="s">
        <v>859</v>
      </c>
      <c r="E469" s="681"/>
      <c r="F469" s="23">
        <v>162416</v>
      </c>
      <c r="G469" s="25">
        <f>0+'táj.2.'!G469</f>
        <v>0</v>
      </c>
      <c r="H469" s="25">
        <f>0+'táj.2.'!H469</f>
        <v>0</v>
      </c>
      <c r="I469" s="25">
        <f>0+'táj.2.'!I469</f>
        <v>0</v>
      </c>
      <c r="J469" s="25">
        <f>0+'táj.2.'!J469</f>
        <v>0</v>
      </c>
      <c r="K469" s="25">
        <f>0+'táj.2.'!K469</f>
        <v>0</v>
      </c>
      <c r="L469" s="25">
        <f>1500+'táj.2.'!L469</f>
        <v>1500</v>
      </c>
      <c r="M469" s="25">
        <f>0+'táj.2.'!M469</f>
        <v>0</v>
      </c>
      <c r="N469" s="25">
        <f>0+'táj.2.'!N469</f>
        <v>0</v>
      </c>
      <c r="O469" s="25">
        <f>0+'táj.2.'!O469</f>
        <v>0</v>
      </c>
      <c r="P469" s="25">
        <f>0+'táj.2.'!P469</f>
        <v>0</v>
      </c>
      <c r="Q469" s="25">
        <f t="shared" si="29"/>
        <v>1500</v>
      </c>
    </row>
    <row r="470" spans="1:17" ht="12.75" customHeight="1">
      <c r="A470" s="23"/>
      <c r="B470" s="23"/>
      <c r="C470" s="408" t="s">
        <v>613</v>
      </c>
      <c r="D470" s="323" t="s">
        <v>860</v>
      </c>
      <c r="E470" s="681"/>
      <c r="F470" s="23">
        <v>154445</v>
      </c>
      <c r="G470" s="25">
        <f>0+'táj.2.'!G470</f>
        <v>0</v>
      </c>
      <c r="H470" s="25">
        <f>0+'táj.2.'!H470</f>
        <v>0</v>
      </c>
      <c r="I470" s="25">
        <f>0+'táj.2.'!I470</f>
        <v>0</v>
      </c>
      <c r="J470" s="25">
        <f>0+'táj.2.'!J470</f>
        <v>0</v>
      </c>
      <c r="K470" s="25">
        <f>0+'táj.2.'!K470</f>
        <v>0</v>
      </c>
      <c r="L470" s="25">
        <f>0+'táj.2.'!L470</f>
        <v>0</v>
      </c>
      <c r="M470" s="25">
        <f>5000+'táj.2.'!M470</f>
        <v>5000</v>
      </c>
      <c r="N470" s="25">
        <f>0+'táj.2.'!N470</f>
        <v>0</v>
      </c>
      <c r="O470" s="25">
        <f>0+'táj.2.'!O470</f>
        <v>0</v>
      </c>
      <c r="P470" s="25">
        <f>0+'táj.2.'!P470</f>
        <v>0</v>
      </c>
      <c r="Q470" s="25">
        <f t="shared" si="29"/>
        <v>5000</v>
      </c>
    </row>
    <row r="471" spans="1:17" ht="12.75" customHeight="1">
      <c r="A471" s="23"/>
      <c r="B471" s="23"/>
      <c r="C471" s="378"/>
      <c r="D471" s="106" t="s">
        <v>286</v>
      </c>
      <c r="E471" s="681"/>
      <c r="F471" s="23"/>
      <c r="G471" s="25"/>
      <c r="H471" s="245"/>
      <c r="I471" s="25"/>
      <c r="J471" s="25"/>
      <c r="K471" s="25"/>
      <c r="L471" s="15"/>
      <c r="M471" s="15"/>
      <c r="N471" s="25"/>
      <c r="O471" s="25"/>
      <c r="P471" s="25"/>
      <c r="Q471" s="25"/>
    </row>
    <row r="472" spans="1:17" ht="12.75" customHeight="1">
      <c r="A472" s="23"/>
      <c r="B472" s="23"/>
      <c r="C472" s="408" t="s">
        <v>523</v>
      </c>
      <c r="D472" s="323" t="s">
        <v>1066</v>
      </c>
      <c r="E472" s="681"/>
      <c r="F472" s="23">
        <v>162486</v>
      </c>
      <c r="G472" s="25">
        <f>0+'táj.2.'!G472</f>
        <v>0</v>
      </c>
      <c r="H472" s="25">
        <f>0+'táj.2.'!H472</f>
        <v>0</v>
      </c>
      <c r="I472" s="25">
        <f>0+'táj.2.'!I472</f>
        <v>0</v>
      </c>
      <c r="J472" s="25">
        <f>0+'táj.2.'!J472</f>
        <v>0</v>
      </c>
      <c r="K472" s="25">
        <f>0+'táj.2.'!K472</f>
        <v>0</v>
      </c>
      <c r="L472" s="25">
        <f>19539+'táj.2.'!L472</f>
        <v>19539</v>
      </c>
      <c r="M472" s="25">
        <f>0+'táj.2.'!M472</f>
        <v>0</v>
      </c>
      <c r="N472" s="25">
        <f>0+'táj.2.'!N472</f>
        <v>0</v>
      </c>
      <c r="O472" s="25">
        <f>0+'táj.2.'!O472</f>
        <v>0</v>
      </c>
      <c r="P472" s="25">
        <f>0+'táj.2.'!P472</f>
        <v>0</v>
      </c>
      <c r="Q472" s="25">
        <f aca="true" t="shared" si="30" ref="Q472:Q479">SUM(G472:P472)</f>
        <v>19539</v>
      </c>
    </row>
    <row r="473" spans="1:17" ht="12.75" customHeight="1">
      <c r="A473" s="23"/>
      <c r="B473" s="23"/>
      <c r="C473" s="408" t="s">
        <v>524</v>
      </c>
      <c r="D473" s="323" t="s">
        <v>451</v>
      </c>
      <c r="E473" s="681"/>
      <c r="F473" s="23">
        <v>162475</v>
      </c>
      <c r="G473" s="25">
        <f>0+'táj.2.'!G473</f>
        <v>0</v>
      </c>
      <c r="H473" s="25">
        <f>0+'táj.2.'!H473</f>
        <v>0</v>
      </c>
      <c r="I473" s="25">
        <f>0+'táj.2.'!I473</f>
        <v>0</v>
      </c>
      <c r="J473" s="25">
        <f>0+'táj.2.'!J473</f>
        <v>0</v>
      </c>
      <c r="K473" s="25">
        <f>0+'táj.2.'!K473</f>
        <v>0</v>
      </c>
      <c r="L473" s="25">
        <f>30200+'táj.2.'!L473</f>
        <v>30200</v>
      </c>
      <c r="M473" s="25">
        <f>0+'táj.2.'!M473</f>
        <v>0</v>
      </c>
      <c r="N473" s="25">
        <f>0+'táj.2.'!N473</f>
        <v>0</v>
      </c>
      <c r="O473" s="25">
        <f>0+'táj.2.'!O473</f>
        <v>0</v>
      </c>
      <c r="P473" s="25">
        <f>0+'táj.2.'!P473</f>
        <v>0</v>
      </c>
      <c r="Q473" s="25">
        <f t="shared" si="30"/>
        <v>30200</v>
      </c>
    </row>
    <row r="474" spans="1:17" ht="12.75" customHeight="1">
      <c r="A474" s="23"/>
      <c r="B474" s="23"/>
      <c r="C474" s="408" t="s">
        <v>525</v>
      </c>
      <c r="D474" s="409" t="s">
        <v>861</v>
      </c>
      <c r="E474" s="681"/>
      <c r="F474" s="23">
        <v>164406</v>
      </c>
      <c r="G474" s="25">
        <f>0+'táj.2.'!G474</f>
        <v>0</v>
      </c>
      <c r="H474" s="25">
        <f>0+'táj.2.'!H474</f>
        <v>0</v>
      </c>
      <c r="I474" s="25">
        <f>0+'táj.2.'!I474</f>
        <v>0</v>
      </c>
      <c r="J474" s="25">
        <f>0+'táj.2.'!J474</f>
        <v>0</v>
      </c>
      <c r="K474" s="25">
        <f>0+'táj.2.'!K474</f>
        <v>0</v>
      </c>
      <c r="L474" s="25">
        <f>0+'táj.2.'!L474</f>
        <v>0</v>
      </c>
      <c r="M474" s="25">
        <f>2000+'táj.2.'!M474</f>
        <v>2000</v>
      </c>
      <c r="N474" s="25">
        <f>0+'táj.2.'!N474</f>
        <v>0</v>
      </c>
      <c r="O474" s="25">
        <f>0+'táj.2.'!O474</f>
        <v>0</v>
      </c>
      <c r="P474" s="25">
        <f>0+'táj.2.'!P474</f>
        <v>0</v>
      </c>
      <c r="Q474" s="25">
        <f t="shared" si="30"/>
        <v>2000</v>
      </c>
    </row>
    <row r="475" spans="1:17" ht="12.75" customHeight="1">
      <c r="A475" s="23"/>
      <c r="B475" s="23"/>
      <c r="C475" s="408" t="s">
        <v>526</v>
      </c>
      <c r="D475" s="376" t="s">
        <v>458</v>
      </c>
      <c r="E475" s="681"/>
      <c r="F475" s="23">
        <v>154472</v>
      </c>
      <c r="G475" s="25">
        <f>0+'táj.2.'!G475</f>
        <v>0</v>
      </c>
      <c r="H475" s="25">
        <f>0+'táj.2.'!H475</f>
        <v>0</v>
      </c>
      <c r="I475" s="25">
        <f>0+'táj.2.'!I475</f>
        <v>0</v>
      </c>
      <c r="J475" s="25">
        <f>0+'táj.2.'!J475</f>
        <v>0</v>
      </c>
      <c r="K475" s="25">
        <f>0+'táj.2.'!K475</f>
        <v>0</v>
      </c>
      <c r="L475" s="25">
        <f>0+'táj.2.'!L475</f>
        <v>0</v>
      </c>
      <c r="M475" s="25">
        <f>1765+'táj.2.'!M475</f>
        <v>1765</v>
      </c>
      <c r="N475" s="25">
        <f>0+'táj.2.'!N475</f>
        <v>0</v>
      </c>
      <c r="O475" s="25">
        <f>0+'táj.2.'!O475</f>
        <v>0</v>
      </c>
      <c r="P475" s="25">
        <f>0+'táj.2.'!P475</f>
        <v>0</v>
      </c>
      <c r="Q475" s="330">
        <f t="shared" si="30"/>
        <v>1765</v>
      </c>
    </row>
    <row r="476" spans="1:17" ht="12.75" customHeight="1">
      <c r="A476" s="23"/>
      <c r="B476" s="23"/>
      <c r="C476" s="378" t="s">
        <v>599</v>
      </c>
      <c r="D476" s="28" t="s">
        <v>550</v>
      </c>
      <c r="E476" s="681"/>
      <c r="F476" s="23"/>
      <c r="G476" s="25"/>
      <c r="H476" s="245"/>
      <c r="I476" s="25"/>
      <c r="J476" s="25"/>
      <c r="K476" s="25"/>
      <c r="L476" s="15"/>
      <c r="M476" s="15"/>
      <c r="N476" s="25"/>
      <c r="O476" s="25"/>
      <c r="P476" s="25"/>
      <c r="Q476" s="25"/>
    </row>
    <row r="477" spans="1:17" ht="12.75" customHeight="1">
      <c r="A477" s="23"/>
      <c r="B477" s="23"/>
      <c r="C477" s="408" t="s">
        <v>620</v>
      </c>
      <c r="D477" s="124" t="s">
        <v>862</v>
      </c>
      <c r="E477" s="681"/>
      <c r="F477" s="23">
        <v>162501</v>
      </c>
      <c r="G477" s="25">
        <f>0+'táj.2.'!G477</f>
        <v>0</v>
      </c>
      <c r="H477" s="25">
        <f>0+'táj.2.'!H477</f>
        <v>0</v>
      </c>
      <c r="I477" s="25">
        <f>0+'táj.2.'!I477</f>
        <v>0</v>
      </c>
      <c r="J477" s="25">
        <f>0+'táj.2.'!J477</f>
        <v>0</v>
      </c>
      <c r="K477" s="25">
        <f>0+'táj.2.'!K477</f>
        <v>0</v>
      </c>
      <c r="L477" s="25">
        <f>3000+'táj.2.'!L477</f>
        <v>3000</v>
      </c>
      <c r="M477" s="25">
        <f>0+'táj.2.'!M477</f>
        <v>0</v>
      </c>
      <c r="N477" s="25">
        <f>0+'táj.2.'!N477</f>
        <v>0</v>
      </c>
      <c r="O477" s="25">
        <f>0+'táj.2.'!O477</f>
        <v>0</v>
      </c>
      <c r="P477" s="25">
        <f>0+'táj.2.'!P477</f>
        <v>0</v>
      </c>
      <c r="Q477" s="25">
        <f t="shared" si="30"/>
        <v>3000</v>
      </c>
    </row>
    <row r="478" spans="1:17" ht="12.75" customHeight="1">
      <c r="A478" s="23"/>
      <c r="B478" s="23"/>
      <c r="C478" s="378"/>
      <c r="D478" s="406" t="s">
        <v>286</v>
      </c>
      <c r="E478" s="681"/>
      <c r="F478" s="23"/>
      <c r="G478" s="25"/>
      <c r="H478" s="245"/>
      <c r="I478" s="25"/>
      <c r="J478" s="25"/>
      <c r="K478" s="25"/>
      <c r="L478" s="15"/>
      <c r="M478" s="15"/>
      <c r="N478" s="25"/>
      <c r="O478" s="25"/>
      <c r="P478" s="25"/>
      <c r="Q478" s="25"/>
    </row>
    <row r="479" spans="1:17" ht="29.25" customHeight="1">
      <c r="A479" s="23"/>
      <c r="B479" s="23"/>
      <c r="C479" s="408" t="s">
        <v>680</v>
      </c>
      <c r="D479" s="410" t="s">
        <v>356</v>
      </c>
      <c r="E479" s="681"/>
      <c r="F479" s="23">
        <v>164501</v>
      </c>
      <c r="G479" s="25">
        <f>0+'táj.2.'!G479</f>
        <v>0</v>
      </c>
      <c r="H479" s="25">
        <f>0+'táj.2.'!H479</f>
        <v>0</v>
      </c>
      <c r="I479" s="25">
        <f>0+'táj.2.'!I479</f>
        <v>0</v>
      </c>
      <c r="J479" s="25">
        <f>0+'táj.2.'!J479</f>
        <v>0</v>
      </c>
      <c r="K479" s="25">
        <f>0+'táj.2.'!K479</f>
        <v>0</v>
      </c>
      <c r="L479" s="25">
        <f>0+'táj.2.'!L479</f>
        <v>0</v>
      </c>
      <c r="M479" s="25">
        <f>3000+'táj.2.'!M479</f>
        <v>3000</v>
      </c>
      <c r="N479" s="25">
        <f>0+'táj.2.'!N479</f>
        <v>0</v>
      </c>
      <c r="O479" s="25">
        <f>0+'táj.2.'!O479</f>
        <v>0</v>
      </c>
      <c r="P479" s="25">
        <f>0+'táj.2.'!P479</f>
        <v>0</v>
      </c>
      <c r="Q479" s="25">
        <f t="shared" si="30"/>
        <v>3000</v>
      </c>
    </row>
    <row r="480" spans="1:17" ht="12.75" customHeight="1">
      <c r="A480" s="23"/>
      <c r="B480" s="23"/>
      <c r="C480" s="378" t="s">
        <v>600</v>
      </c>
      <c r="D480" s="379" t="s">
        <v>863</v>
      </c>
      <c r="E480" s="681"/>
      <c r="F480" s="23"/>
      <c r="G480" s="25"/>
      <c r="H480" s="245"/>
      <c r="I480" s="25"/>
      <c r="J480" s="25"/>
      <c r="K480" s="25"/>
      <c r="L480" s="15"/>
      <c r="M480" s="15"/>
      <c r="N480" s="25"/>
      <c r="O480" s="25"/>
      <c r="P480" s="25"/>
      <c r="Q480" s="25"/>
    </row>
    <row r="481" spans="1:17" ht="12.75" customHeight="1">
      <c r="A481" s="23"/>
      <c r="B481" s="23"/>
      <c r="C481" s="408" t="s">
        <v>625</v>
      </c>
      <c r="D481" s="377" t="s">
        <v>530</v>
      </c>
      <c r="E481" s="681"/>
      <c r="F481" s="23">
        <v>162601</v>
      </c>
      <c r="G481" s="25">
        <f>0+'táj.2.'!G481</f>
        <v>0</v>
      </c>
      <c r="H481" s="25">
        <f>0+'táj.2.'!H481</f>
        <v>0</v>
      </c>
      <c r="I481" s="25">
        <f>0+'táj.2.'!I481</f>
        <v>0</v>
      </c>
      <c r="J481" s="25">
        <f>0+'táj.2.'!J481</f>
        <v>0</v>
      </c>
      <c r="K481" s="25">
        <f>0+'táj.2.'!K481</f>
        <v>0</v>
      </c>
      <c r="L481" s="25">
        <f>5000+'táj.2.'!L481</f>
        <v>5000</v>
      </c>
      <c r="M481" s="25">
        <f>0+'táj.2.'!M481</f>
        <v>0</v>
      </c>
      <c r="N481" s="25">
        <f>0+'táj.2.'!N481</f>
        <v>0</v>
      </c>
      <c r="O481" s="25">
        <f>0+'táj.2.'!O481</f>
        <v>0</v>
      </c>
      <c r="P481" s="25">
        <f>0+'táj.2.'!P481</f>
        <v>0</v>
      </c>
      <c r="Q481" s="25">
        <f>SUM(G481:P481)</f>
        <v>5000</v>
      </c>
    </row>
    <row r="482" spans="1:17" ht="12.75" customHeight="1">
      <c r="A482" s="23"/>
      <c r="B482" s="23"/>
      <c r="C482" s="408" t="s">
        <v>626</v>
      </c>
      <c r="D482" s="411" t="s">
        <v>864</v>
      </c>
      <c r="E482" s="681"/>
      <c r="F482" s="23">
        <v>162602</v>
      </c>
      <c r="G482" s="25">
        <f>0+'táj.2.'!G482</f>
        <v>0</v>
      </c>
      <c r="H482" s="25">
        <f>0+'táj.2.'!H482</f>
        <v>0</v>
      </c>
      <c r="I482" s="25">
        <f>0+'táj.2.'!I482</f>
        <v>0</v>
      </c>
      <c r="J482" s="25">
        <f>0+'táj.2.'!J482</f>
        <v>0</v>
      </c>
      <c r="K482" s="25">
        <f>0+'táj.2.'!K482</f>
        <v>0</v>
      </c>
      <c r="L482" s="25">
        <f>10000+'táj.2.'!L482</f>
        <v>10000</v>
      </c>
      <c r="M482" s="25">
        <f>0+'táj.2.'!M482</f>
        <v>0</v>
      </c>
      <c r="N482" s="25">
        <f>0+'táj.2.'!N482</f>
        <v>0</v>
      </c>
      <c r="O482" s="25">
        <f>0+'táj.2.'!O482</f>
        <v>0</v>
      </c>
      <c r="P482" s="25">
        <f>0+'táj.2.'!P482</f>
        <v>0</v>
      </c>
      <c r="Q482" s="25">
        <f>SUM(G482:P482)</f>
        <v>10000</v>
      </c>
    </row>
    <row r="483" spans="1:17" ht="12.75" customHeight="1">
      <c r="A483" s="23"/>
      <c r="B483" s="23"/>
      <c r="C483" s="408" t="s">
        <v>627</v>
      </c>
      <c r="D483" s="412" t="s">
        <v>865</v>
      </c>
      <c r="E483" s="681"/>
      <c r="F483" s="23">
        <v>162614</v>
      </c>
      <c r="G483" s="25">
        <f>0+'táj.2.'!G483</f>
        <v>0</v>
      </c>
      <c r="H483" s="25">
        <f>0+'táj.2.'!H483</f>
        <v>0</v>
      </c>
      <c r="I483" s="25">
        <f>0+'táj.2.'!I483</f>
        <v>0</v>
      </c>
      <c r="J483" s="25">
        <f>0+'táj.2.'!J483</f>
        <v>0</v>
      </c>
      <c r="K483" s="25">
        <f>0+'táj.2.'!K483</f>
        <v>0</v>
      </c>
      <c r="L483" s="25">
        <f>0+'táj.2.'!L483</f>
        <v>0</v>
      </c>
      <c r="M483" s="25">
        <f>0+'táj.2.'!M483</f>
        <v>0</v>
      </c>
      <c r="N483" s="25">
        <f>87624+'táj.2.'!N483</f>
        <v>87624</v>
      </c>
      <c r="O483" s="25">
        <f>0+'táj.2.'!O483</f>
        <v>0</v>
      </c>
      <c r="P483" s="25">
        <f>0+'táj.2.'!P483</f>
        <v>0</v>
      </c>
      <c r="Q483" s="25">
        <f>SUM(G483:P483)</f>
        <v>87624</v>
      </c>
    </row>
    <row r="484" spans="1:17" ht="12.75" customHeight="1">
      <c r="A484" s="23"/>
      <c r="B484" s="23"/>
      <c r="C484" s="408" t="s">
        <v>493</v>
      </c>
      <c r="D484" s="413" t="s">
        <v>866</v>
      </c>
      <c r="E484" s="681"/>
      <c r="F484" s="23">
        <v>162451</v>
      </c>
      <c r="G484" s="25">
        <f>0+'táj.2.'!G484</f>
        <v>0</v>
      </c>
      <c r="H484" s="25">
        <f>0+'táj.2.'!H484</f>
        <v>0</v>
      </c>
      <c r="I484" s="25">
        <f>0+'táj.2.'!I484</f>
        <v>0</v>
      </c>
      <c r="J484" s="25">
        <f>0+'táj.2.'!J484</f>
        <v>0</v>
      </c>
      <c r="K484" s="25">
        <f>0+'táj.2.'!K484</f>
        <v>0</v>
      </c>
      <c r="L484" s="25">
        <f>10000+'táj.2.'!L484</f>
        <v>10000</v>
      </c>
      <c r="M484" s="25">
        <f>0+'táj.2.'!M484</f>
        <v>0</v>
      </c>
      <c r="N484" s="25">
        <f>0+'táj.2.'!N484</f>
        <v>0</v>
      </c>
      <c r="O484" s="25">
        <f>0+'táj.2.'!O484</f>
        <v>0</v>
      </c>
      <c r="P484" s="25"/>
      <c r="Q484" s="25">
        <f>SUM(G484:P484)</f>
        <v>10000</v>
      </c>
    </row>
    <row r="485" spans="1:17" ht="12.75" customHeight="1">
      <c r="A485" s="23"/>
      <c r="B485" s="23"/>
      <c r="C485" s="408"/>
      <c r="D485" s="406" t="s">
        <v>286</v>
      </c>
      <c r="E485" s="681"/>
      <c r="F485" s="23"/>
      <c r="G485" s="25"/>
      <c r="H485" s="24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ht="24" customHeight="1">
      <c r="A486" s="23"/>
      <c r="B486" s="23"/>
      <c r="C486" s="408" t="s">
        <v>531</v>
      </c>
      <c r="D486" s="117" t="s">
        <v>1071</v>
      </c>
      <c r="E486" s="681"/>
      <c r="F486" s="23">
        <v>162606</v>
      </c>
      <c r="G486" s="25">
        <f>0+'táj.2.'!G486</f>
        <v>0</v>
      </c>
      <c r="H486" s="25">
        <f>0+'táj.2.'!H486</f>
        <v>0</v>
      </c>
      <c r="I486" s="25">
        <f>35593+'táj.2.'!I486</f>
        <v>35593</v>
      </c>
      <c r="J486" s="25">
        <f>0+'táj.2.'!J486</f>
        <v>0</v>
      </c>
      <c r="K486" s="25">
        <f>0+'táj.2.'!K486</f>
        <v>0</v>
      </c>
      <c r="L486" s="25">
        <f>0+'táj.2.'!L486</f>
        <v>0</v>
      </c>
      <c r="M486" s="25">
        <f>0+'táj.2.'!M486</f>
        <v>0</v>
      </c>
      <c r="N486" s="25">
        <f>0+'táj.2.'!N486</f>
        <v>0</v>
      </c>
      <c r="O486" s="25">
        <f>0+'táj.2.'!O486</f>
        <v>0</v>
      </c>
      <c r="P486" s="25">
        <f>0+'táj.2.'!P486</f>
        <v>0</v>
      </c>
      <c r="Q486" s="25">
        <f aca="true" t="shared" si="31" ref="Q486:Q501">SUM(G486:P486)</f>
        <v>35593</v>
      </c>
    </row>
    <row r="487" spans="1:17" ht="12.75" customHeight="1">
      <c r="A487" s="23"/>
      <c r="B487" s="23"/>
      <c r="C487" s="414" t="s">
        <v>532</v>
      </c>
      <c r="D487" s="415" t="s">
        <v>487</v>
      </c>
      <c r="E487" s="670"/>
      <c r="F487" s="13">
        <v>162613</v>
      </c>
      <c r="G487" s="25">
        <f>0+'táj.2.'!G487</f>
        <v>0</v>
      </c>
      <c r="H487" s="25">
        <f>0+'táj.2.'!H487</f>
        <v>0</v>
      </c>
      <c r="I487" s="25">
        <f>0+'táj.2.'!I487</f>
        <v>0</v>
      </c>
      <c r="J487" s="25">
        <f>0+'táj.2.'!J487</f>
        <v>0</v>
      </c>
      <c r="K487" s="25">
        <f>0+'táj.2.'!K487</f>
        <v>0</v>
      </c>
      <c r="L487" s="25">
        <f>0+'táj.2.'!L487</f>
        <v>0</v>
      </c>
      <c r="M487" s="25">
        <f>0+'táj.2.'!M487</f>
        <v>0</v>
      </c>
      <c r="N487" s="25">
        <f>17500+'táj.2.'!N487</f>
        <v>17500</v>
      </c>
      <c r="O487" s="25">
        <f>0+'táj.2.'!O487</f>
        <v>0</v>
      </c>
      <c r="P487" s="25">
        <f>0+'táj.2.'!P487</f>
        <v>0</v>
      </c>
      <c r="Q487" s="15">
        <f t="shared" si="31"/>
        <v>17500</v>
      </c>
    </row>
    <row r="488" spans="1:17" ht="26.25" customHeight="1">
      <c r="A488" s="23"/>
      <c r="B488" s="23"/>
      <c r="C488" s="408" t="s">
        <v>533</v>
      </c>
      <c r="D488" s="122" t="s">
        <v>867</v>
      </c>
      <c r="E488" s="681" t="s">
        <v>469</v>
      </c>
      <c r="F488" s="23">
        <v>162683</v>
      </c>
      <c r="G488" s="25">
        <f>0+'táj.2.'!G488</f>
        <v>0</v>
      </c>
      <c r="H488" s="25">
        <f>0+'táj.2.'!H488</f>
        <v>0</v>
      </c>
      <c r="I488" s="25">
        <f>0+'táj.2.'!I488</f>
        <v>0</v>
      </c>
      <c r="J488" s="25">
        <f>0+'táj.2.'!J488</f>
        <v>0</v>
      </c>
      <c r="K488" s="25">
        <f>0+'táj.2.'!K488</f>
        <v>0</v>
      </c>
      <c r="L488" s="25">
        <f>104913+'táj.2.'!L488</f>
        <v>104913</v>
      </c>
      <c r="M488" s="25">
        <f>0+'táj.2.'!M488</f>
        <v>0</v>
      </c>
      <c r="N488" s="25">
        <f>0+'táj.2.'!N488</f>
        <v>0</v>
      </c>
      <c r="O488" s="25">
        <f>0+'táj.2.'!O488</f>
        <v>0</v>
      </c>
      <c r="P488" s="25">
        <f>0+'táj.2.'!P488</f>
        <v>0</v>
      </c>
      <c r="Q488" s="25">
        <f t="shared" si="31"/>
        <v>104913</v>
      </c>
    </row>
    <row r="489" spans="1:17" ht="12.75" customHeight="1">
      <c r="A489" s="23"/>
      <c r="B489" s="23"/>
      <c r="C489" s="408" t="s">
        <v>534</v>
      </c>
      <c r="D489" s="115" t="s">
        <v>868</v>
      </c>
      <c r="E489" s="681" t="s">
        <v>469</v>
      </c>
      <c r="F489" s="23">
        <v>162403</v>
      </c>
      <c r="G489" s="25">
        <f>0+'táj.2.'!G489</f>
        <v>0</v>
      </c>
      <c r="H489" s="25">
        <f>0+'táj.2.'!H489</f>
        <v>0</v>
      </c>
      <c r="I489" s="25">
        <f>0+'táj.2.'!I489</f>
        <v>0</v>
      </c>
      <c r="J489" s="25">
        <f>0+'táj.2.'!J489</f>
        <v>0</v>
      </c>
      <c r="K489" s="25">
        <f>0+'táj.2.'!K489</f>
        <v>0</v>
      </c>
      <c r="L489" s="25">
        <f>110033+'táj.2.'!L489</f>
        <v>110033</v>
      </c>
      <c r="M489" s="25">
        <f>0+'táj.2.'!M489</f>
        <v>0</v>
      </c>
      <c r="N489" s="25">
        <f>0+'táj.2.'!N489</f>
        <v>0</v>
      </c>
      <c r="O489" s="25">
        <f>0+'táj.2.'!O489</f>
        <v>0</v>
      </c>
      <c r="P489" s="25">
        <f>0+'táj.2.'!P489</f>
        <v>0</v>
      </c>
      <c r="Q489" s="25">
        <f t="shared" si="31"/>
        <v>110033</v>
      </c>
    </row>
    <row r="490" spans="1:17" ht="12.75" customHeight="1">
      <c r="A490" s="23"/>
      <c r="B490" s="23"/>
      <c r="C490" s="414" t="s">
        <v>535</v>
      </c>
      <c r="D490" s="112" t="s">
        <v>452</v>
      </c>
      <c r="E490" s="681"/>
      <c r="F490" s="23">
        <v>162642</v>
      </c>
      <c r="G490" s="25">
        <f>0+'táj.2.'!G490</f>
        <v>0</v>
      </c>
      <c r="H490" s="25">
        <f>0+'táj.2.'!H490</f>
        <v>0</v>
      </c>
      <c r="I490" s="25">
        <f>1250+'táj.2.'!I490</f>
        <v>1250</v>
      </c>
      <c r="J490" s="25">
        <f>0+'táj.2.'!J490</f>
        <v>0</v>
      </c>
      <c r="K490" s="25">
        <f>0+'táj.2.'!K490</f>
        <v>0</v>
      </c>
      <c r="L490" s="25">
        <f>6372+'táj.2.'!L490</f>
        <v>6372</v>
      </c>
      <c r="M490" s="25">
        <f>0+'táj.2.'!M490</f>
        <v>0</v>
      </c>
      <c r="N490" s="25">
        <f>0+'táj.2.'!N490</f>
        <v>0</v>
      </c>
      <c r="O490" s="25">
        <f>0+'táj.2.'!O490</f>
        <v>0</v>
      </c>
      <c r="P490" s="25">
        <f>0+'táj.2.'!P490</f>
        <v>0</v>
      </c>
      <c r="Q490" s="25">
        <f t="shared" si="31"/>
        <v>7622</v>
      </c>
    </row>
    <row r="491" spans="1:17" ht="25.5" customHeight="1">
      <c r="A491" s="23"/>
      <c r="B491" s="23"/>
      <c r="C491" s="414" t="s">
        <v>536</v>
      </c>
      <c r="D491" s="112" t="s">
        <v>453</v>
      </c>
      <c r="E491" s="681"/>
      <c r="F491" s="23">
        <v>162643</v>
      </c>
      <c r="G491" s="25">
        <f>0+'táj.2.'!G491</f>
        <v>0</v>
      </c>
      <c r="H491" s="25">
        <f>0+'táj.2.'!H491</f>
        <v>0</v>
      </c>
      <c r="I491" s="25">
        <f>0+'táj.2.'!I491</f>
        <v>0</v>
      </c>
      <c r="J491" s="25">
        <f>0+'táj.2.'!J491</f>
        <v>0</v>
      </c>
      <c r="K491" s="25">
        <f>0+'táj.2.'!K491</f>
        <v>0</v>
      </c>
      <c r="L491" s="25">
        <f>1405+'táj.2.'!L491</f>
        <v>1405</v>
      </c>
      <c r="M491" s="25">
        <f>0+'táj.2.'!M491</f>
        <v>0</v>
      </c>
      <c r="N491" s="25">
        <f>0+'táj.2.'!N491</f>
        <v>0</v>
      </c>
      <c r="O491" s="25">
        <f>0+'táj.2.'!O491</f>
        <v>0</v>
      </c>
      <c r="P491" s="25">
        <f>0+'táj.2.'!P491</f>
        <v>0</v>
      </c>
      <c r="Q491" s="25">
        <f t="shared" si="31"/>
        <v>1405</v>
      </c>
    </row>
    <row r="492" spans="1:17" ht="26.25" customHeight="1">
      <c r="A492" s="23"/>
      <c r="B492" s="23"/>
      <c r="C492" s="414" t="s">
        <v>1078</v>
      </c>
      <c r="D492" s="323" t="s">
        <v>869</v>
      </c>
      <c r="E492" s="681"/>
      <c r="F492" s="23">
        <v>162678</v>
      </c>
      <c r="G492" s="25">
        <f>0+'táj.2.'!G492</f>
        <v>0</v>
      </c>
      <c r="H492" s="25">
        <f>0+'táj.2.'!H492</f>
        <v>0</v>
      </c>
      <c r="I492" s="25">
        <f>0+'táj.2.'!I492</f>
        <v>0</v>
      </c>
      <c r="J492" s="25">
        <f>0+'táj.2.'!J492</f>
        <v>0</v>
      </c>
      <c r="K492" s="25">
        <f>0+'táj.2.'!K492</f>
        <v>0</v>
      </c>
      <c r="L492" s="25">
        <f>189230+'táj.2.'!L492</f>
        <v>189230</v>
      </c>
      <c r="M492" s="25">
        <f>0+'táj.2.'!M492</f>
        <v>0</v>
      </c>
      <c r="N492" s="25">
        <f>0+'táj.2.'!N492</f>
        <v>0</v>
      </c>
      <c r="O492" s="25">
        <f>0+'táj.2.'!O492</f>
        <v>0</v>
      </c>
      <c r="P492" s="25">
        <f>0+'táj.2.'!P492</f>
        <v>0</v>
      </c>
      <c r="Q492" s="25">
        <f t="shared" si="31"/>
        <v>189230</v>
      </c>
    </row>
    <row r="493" spans="1:17" ht="12.75" customHeight="1">
      <c r="A493" s="23"/>
      <c r="B493" s="23"/>
      <c r="C493" s="414" t="s">
        <v>1079</v>
      </c>
      <c r="D493" s="416" t="s">
        <v>1077</v>
      </c>
      <c r="E493" s="681"/>
      <c r="F493" s="23">
        <v>162672</v>
      </c>
      <c r="G493" s="25">
        <f>0+'táj.2.'!G493</f>
        <v>0</v>
      </c>
      <c r="H493" s="25">
        <f>0+'táj.2.'!H493</f>
        <v>0</v>
      </c>
      <c r="I493" s="25">
        <f>0+'táj.2.'!I493</f>
        <v>0</v>
      </c>
      <c r="J493" s="25">
        <f>0+'táj.2.'!J493</f>
        <v>0</v>
      </c>
      <c r="K493" s="25">
        <f>0+'táj.2.'!K493</f>
        <v>0</v>
      </c>
      <c r="L493" s="25">
        <f>26170+'táj.2.'!L493</f>
        <v>26170</v>
      </c>
      <c r="M493" s="25">
        <f>0+'táj.2.'!M493</f>
        <v>0</v>
      </c>
      <c r="N493" s="25">
        <f>0+'táj.2.'!N493</f>
        <v>0</v>
      </c>
      <c r="O493" s="25">
        <f>0+'táj.2.'!O493</f>
        <v>0</v>
      </c>
      <c r="P493" s="25">
        <f>0+'táj.2.'!P493</f>
        <v>0</v>
      </c>
      <c r="Q493" s="25">
        <f t="shared" si="31"/>
        <v>26170</v>
      </c>
    </row>
    <row r="494" spans="1:17" ht="27.75" customHeight="1">
      <c r="A494" s="23"/>
      <c r="B494" s="23"/>
      <c r="C494" s="414" t="s">
        <v>1080</v>
      </c>
      <c r="D494" s="417" t="s">
        <v>648</v>
      </c>
      <c r="E494" s="681"/>
      <c r="F494" s="23">
        <v>162664</v>
      </c>
      <c r="G494" s="25">
        <f>0+'táj.2.'!G494</f>
        <v>0</v>
      </c>
      <c r="H494" s="25">
        <f>0+'táj.2.'!H494</f>
        <v>0</v>
      </c>
      <c r="I494" s="25">
        <f>261239+'táj.2.'!I494</f>
        <v>261239</v>
      </c>
      <c r="J494" s="25">
        <f>0+'táj.2.'!J494</f>
        <v>0</v>
      </c>
      <c r="K494" s="25">
        <f>0+'táj.2.'!K494</f>
        <v>0</v>
      </c>
      <c r="L494" s="25">
        <f>0+'táj.2.'!L494</f>
        <v>0</v>
      </c>
      <c r="M494" s="25">
        <f>0+'táj.2.'!M494</f>
        <v>0</v>
      </c>
      <c r="N494" s="25">
        <f>0+'táj.2.'!N494</f>
        <v>0</v>
      </c>
      <c r="O494" s="25">
        <f>0+'táj.2.'!O494</f>
        <v>0</v>
      </c>
      <c r="P494" s="25">
        <f>0+'táj.2.'!P494</f>
        <v>0</v>
      </c>
      <c r="Q494" s="25">
        <f t="shared" si="31"/>
        <v>261239</v>
      </c>
    </row>
    <row r="495" spans="1:17" ht="38.25" customHeight="1">
      <c r="A495" s="23"/>
      <c r="B495" s="23"/>
      <c r="C495" s="414" t="s">
        <v>1082</v>
      </c>
      <c r="D495" s="417" t="s">
        <v>649</v>
      </c>
      <c r="E495" s="681"/>
      <c r="F495" s="23">
        <v>162665</v>
      </c>
      <c r="G495" s="25">
        <f>0+'táj.2.'!G495</f>
        <v>0</v>
      </c>
      <c r="H495" s="25">
        <f>0+'táj.2.'!H495</f>
        <v>0</v>
      </c>
      <c r="I495" s="25">
        <f>293117+'táj.2.'!I495</f>
        <v>293117</v>
      </c>
      <c r="J495" s="25">
        <f>0+'táj.2.'!J495</f>
        <v>0</v>
      </c>
      <c r="K495" s="25">
        <f>0+'táj.2.'!K495</f>
        <v>0</v>
      </c>
      <c r="L495" s="25">
        <f>0+'táj.2.'!L495</f>
        <v>0</v>
      </c>
      <c r="M495" s="25">
        <f>0+'táj.2.'!M495</f>
        <v>0</v>
      </c>
      <c r="N495" s="25">
        <f>0+'táj.2.'!N495</f>
        <v>0</v>
      </c>
      <c r="O495" s="25">
        <f>0+'táj.2.'!O495</f>
        <v>0</v>
      </c>
      <c r="P495" s="25">
        <f>0+'táj.2.'!P495</f>
        <v>0</v>
      </c>
      <c r="Q495" s="25">
        <f t="shared" si="31"/>
        <v>293117</v>
      </c>
    </row>
    <row r="496" spans="1:17" ht="27.75" customHeight="1">
      <c r="A496" s="23"/>
      <c r="B496" s="23"/>
      <c r="C496" s="414" t="s">
        <v>1083</v>
      </c>
      <c r="D496" s="418" t="s">
        <v>475</v>
      </c>
      <c r="E496" s="681"/>
      <c r="F496" s="23">
        <v>162662</v>
      </c>
      <c r="G496" s="25">
        <f>0+'táj.2.'!G496</f>
        <v>0</v>
      </c>
      <c r="H496" s="25">
        <f>0+'táj.2.'!H496</f>
        <v>0</v>
      </c>
      <c r="I496" s="25">
        <f>0+'táj.2.'!I496</f>
        <v>0</v>
      </c>
      <c r="J496" s="25">
        <f>0+'táj.2.'!J496</f>
        <v>0</v>
      </c>
      <c r="K496" s="25">
        <f>0+'táj.2.'!K496</f>
        <v>0</v>
      </c>
      <c r="L496" s="25">
        <f>196777+'táj.2.'!L496</f>
        <v>196777</v>
      </c>
      <c r="M496" s="25">
        <f>0+'táj.2.'!M496</f>
        <v>0</v>
      </c>
      <c r="N496" s="25">
        <f>0+'táj.2.'!N496</f>
        <v>0</v>
      </c>
      <c r="O496" s="25">
        <f>0+'táj.2.'!O496</f>
        <v>0</v>
      </c>
      <c r="P496" s="25">
        <f>0+'táj.2.'!P496</f>
        <v>0</v>
      </c>
      <c r="Q496" s="25">
        <f t="shared" si="31"/>
        <v>196777</v>
      </c>
    </row>
    <row r="497" spans="1:17" ht="40.5" customHeight="1">
      <c r="A497" s="23"/>
      <c r="B497" s="23"/>
      <c r="C497" s="414" t="s">
        <v>1084</v>
      </c>
      <c r="D497" s="419" t="s">
        <v>1081</v>
      </c>
      <c r="E497" s="681"/>
      <c r="F497" s="23">
        <v>162671</v>
      </c>
      <c r="G497" s="25">
        <f>0+'táj.2.'!G497</f>
        <v>0</v>
      </c>
      <c r="H497" s="25">
        <f>0+'táj.2.'!H497</f>
        <v>0</v>
      </c>
      <c r="I497" s="25">
        <f>32978+'táj.2.'!I497</f>
        <v>32978</v>
      </c>
      <c r="J497" s="25">
        <f>0+'táj.2.'!J497</f>
        <v>0</v>
      </c>
      <c r="K497" s="25">
        <f>0+'táj.2.'!K497</f>
        <v>0</v>
      </c>
      <c r="L497" s="25">
        <f>411830+'táj.2.'!L497</f>
        <v>411830</v>
      </c>
      <c r="M497" s="25">
        <f>0+'táj.2.'!M497</f>
        <v>0</v>
      </c>
      <c r="N497" s="25">
        <f>0+'táj.2.'!N497</f>
        <v>0</v>
      </c>
      <c r="O497" s="25">
        <f>0+'táj.2.'!O497</f>
        <v>0</v>
      </c>
      <c r="P497" s="25">
        <f>0+'táj.2.'!P497</f>
        <v>0</v>
      </c>
      <c r="Q497" s="25">
        <f t="shared" si="31"/>
        <v>444808</v>
      </c>
    </row>
    <row r="498" spans="1:17" ht="25.5" customHeight="1">
      <c r="A498" s="23"/>
      <c r="B498" s="23"/>
      <c r="C498" s="414" t="s">
        <v>1086</v>
      </c>
      <c r="D498" s="417" t="s">
        <v>1085</v>
      </c>
      <c r="E498" s="681"/>
      <c r="F498" s="23">
        <v>162660</v>
      </c>
      <c r="G498" s="25">
        <f>0+'táj.2.'!G498</f>
        <v>0</v>
      </c>
      <c r="H498" s="25">
        <f>0+'táj.2.'!H498</f>
        <v>0</v>
      </c>
      <c r="I498" s="25">
        <f>0+'táj.2.'!I498</f>
        <v>0</v>
      </c>
      <c r="J498" s="25">
        <f>0+'táj.2.'!J498</f>
        <v>0</v>
      </c>
      <c r="K498" s="25">
        <f>0+'táj.2.'!K498</f>
        <v>0</v>
      </c>
      <c r="L498" s="25">
        <f>219860+'táj.2.'!L498</f>
        <v>219860</v>
      </c>
      <c r="M498" s="25">
        <f>0+'táj.2.'!M498</f>
        <v>0</v>
      </c>
      <c r="N498" s="25">
        <f>0+'táj.2.'!N498</f>
        <v>0</v>
      </c>
      <c r="O498" s="25">
        <f>0+'táj.2.'!O498</f>
        <v>0</v>
      </c>
      <c r="P498" s="25">
        <f>0+'táj.2.'!P498</f>
        <v>0</v>
      </c>
      <c r="Q498" s="25">
        <f t="shared" si="31"/>
        <v>219860</v>
      </c>
    </row>
    <row r="499" spans="1:17" ht="12.75" customHeight="1">
      <c r="A499" s="23"/>
      <c r="B499" s="23"/>
      <c r="C499" s="414" t="s">
        <v>1087</v>
      </c>
      <c r="D499" s="420" t="s">
        <v>488</v>
      </c>
      <c r="E499" s="681"/>
      <c r="F499" s="23">
        <v>162618</v>
      </c>
      <c r="G499" s="25">
        <f>0+'táj.2.'!G499</f>
        <v>0</v>
      </c>
      <c r="H499" s="25">
        <f>0+'táj.2.'!H499</f>
        <v>0</v>
      </c>
      <c r="I499" s="25">
        <f>0+'táj.2.'!I499</f>
        <v>0</v>
      </c>
      <c r="J499" s="25">
        <f>0+'táj.2.'!J499</f>
        <v>0</v>
      </c>
      <c r="K499" s="25">
        <f>0+'táj.2.'!K499</f>
        <v>0</v>
      </c>
      <c r="L499" s="25">
        <f>889+'táj.2.'!L499</f>
        <v>889</v>
      </c>
      <c r="M499" s="25">
        <f>0+'táj.2.'!M499</f>
        <v>0</v>
      </c>
      <c r="N499" s="25">
        <f>0+'táj.2.'!N499</f>
        <v>0</v>
      </c>
      <c r="O499" s="25">
        <f>0+'táj.2.'!O499</f>
        <v>0</v>
      </c>
      <c r="P499" s="25">
        <f>0+'táj.2.'!P499</f>
        <v>0</v>
      </c>
      <c r="Q499" s="25">
        <f t="shared" si="31"/>
        <v>889</v>
      </c>
    </row>
    <row r="500" spans="1:17" ht="12.75" customHeight="1">
      <c r="A500" s="23"/>
      <c r="B500" s="23"/>
      <c r="C500" s="414" t="s">
        <v>1088</v>
      </c>
      <c r="D500" s="421" t="s">
        <v>442</v>
      </c>
      <c r="E500" s="681"/>
      <c r="F500" s="23">
        <v>162653</v>
      </c>
      <c r="G500" s="25">
        <f>0+'táj.2.'!G500</f>
        <v>0</v>
      </c>
      <c r="H500" s="25">
        <f>0+'táj.2.'!H500</f>
        <v>0</v>
      </c>
      <c r="I500" s="25">
        <f>0+'táj.2.'!I500</f>
        <v>0</v>
      </c>
      <c r="J500" s="25">
        <f>0+'táj.2.'!J500</f>
        <v>0</v>
      </c>
      <c r="K500" s="25">
        <f>0+'táj.2.'!K500</f>
        <v>0</v>
      </c>
      <c r="L500" s="25">
        <f>191+'táj.2.'!L500</f>
        <v>191</v>
      </c>
      <c r="M500" s="25">
        <f>0+'táj.2.'!M500</f>
        <v>0</v>
      </c>
      <c r="N500" s="25">
        <f>0+'táj.2.'!N500</f>
        <v>0</v>
      </c>
      <c r="O500" s="25">
        <f>0+'táj.2.'!O500</f>
        <v>0</v>
      </c>
      <c r="P500" s="25">
        <f>0+'táj.2.'!P500</f>
        <v>0</v>
      </c>
      <c r="Q500" s="25">
        <f t="shared" si="31"/>
        <v>191</v>
      </c>
    </row>
    <row r="501" spans="1:17" ht="12.75" customHeight="1">
      <c r="A501" s="23"/>
      <c r="B501" s="23"/>
      <c r="C501" s="414" t="s">
        <v>441</v>
      </c>
      <c r="D501" s="422" t="s">
        <v>431</v>
      </c>
      <c r="E501" s="681"/>
      <c r="F501" s="23">
        <v>164604</v>
      </c>
      <c r="G501" s="25">
        <f>0+'táj.2.'!G501</f>
        <v>0</v>
      </c>
      <c r="H501" s="25">
        <f>0+'táj.2.'!H501</f>
        <v>0</v>
      </c>
      <c r="I501" s="25">
        <f>0+'táj.2.'!I501</f>
        <v>0</v>
      </c>
      <c r="J501" s="25">
        <f>0+'táj.2.'!J501</f>
        <v>0</v>
      </c>
      <c r="K501" s="25">
        <f>0+'táj.2.'!K501</f>
        <v>0</v>
      </c>
      <c r="L501" s="25">
        <f>0+'táj.2.'!L501</f>
        <v>0</v>
      </c>
      <c r="M501" s="25">
        <f>11000+'táj.2.'!M501</f>
        <v>11000</v>
      </c>
      <c r="N501" s="25">
        <f>0+'táj.2.'!N501</f>
        <v>0</v>
      </c>
      <c r="O501" s="25">
        <f>0+'táj.2.'!O501</f>
        <v>0</v>
      </c>
      <c r="P501" s="25">
        <f>0+'táj.2.'!P501</f>
        <v>0</v>
      </c>
      <c r="Q501" s="25">
        <f t="shared" si="31"/>
        <v>11000</v>
      </c>
    </row>
    <row r="502" spans="1:17" ht="12.75" customHeight="1">
      <c r="A502" s="23" t="s">
        <v>122</v>
      </c>
      <c r="B502" s="23"/>
      <c r="C502" s="378" t="s">
        <v>824</v>
      </c>
      <c r="D502" s="379" t="s">
        <v>537</v>
      </c>
      <c r="E502" s="681"/>
      <c r="F502" s="23"/>
      <c r="G502" s="25"/>
      <c r="H502" s="24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1:17" ht="12.75" customHeight="1">
      <c r="A503" s="23"/>
      <c r="B503" s="23"/>
      <c r="C503" s="408"/>
      <c r="D503" s="406" t="s">
        <v>286</v>
      </c>
      <c r="E503" s="681"/>
      <c r="F503" s="23"/>
      <c r="G503" s="25"/>
      <c r="H503" s="24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ht="25.5" customHeight="1">
      <c r="A504" s="23"/>
      <c r="B504" s="23"/>
      <c r="C504" s="408" t="s">
        <v>400</v>
      </c>
      <c r="D504" s="423" t="s">
        <v>1089</v>
      </c>
      <c r="E504" s="681"/>
      <c r="F504" s="23">
        <v>162701</v>
      </c>
      <c r="G504" s="25">
        <f>0+'táj.2.'!G504</f>
        <v>0</v>
      </c>
      <c r="H504" s="25">
        <f>0+'táj.2.'!H504</f>
        <v>0</v>
      </c>
      <c r="I504" s="25">
        <f>0+'táj.2.'!I504</f>
        <v>0</v>
      </c>
      <c r="J504" s="25">
        <f>0+'táj.2.'!J504</f>
        <v>0</v>
      </c>
      <c r="K504" s="25">
        <f>0+'táj.2.'!K504</f>
        <v>0</v>
      </c>
      <c r="L504" s="25">
        <f>7600+'táj.2.'!L504</f>
        <v>7600</v>
      </c>
      <c r="M504" s="25">
        <f>0+'táj.2.'!M504</f>
        <v>0</v>
      </c>
      <c r="N504" s="25">
        <f>0+'táj.2.'!N504</f>
        <v>0</v>
      </c>
      <c r="O504" s="25">
        <f>0+'táj.2.'!O504</f>
        <v>0</v>
      </c>
      <c r="P504" s="25">
        <f>0+'táj.2.'!P504</f>
        <v>0</v>
      </c>
      <c r="Q504" s="25">
        <f>SUM(G504:P504)</f>
        <v>7600</v>
      </c>
    </row>
    <row r="505" spans="1:17" ht="39" customHeight="1">
      <c r="A505" s="23"/>
      <c r="B505" s="23"/>
      <c r="C505" s="408" t="s">
        <v>1090</v>
      </c>
      <c r="D505" s="424" t="s">
        <v>476</v>
      </c>
      <c r="E505" s="681"/>
      <c r="F505" s="23">
        <v>162711</v>
      </c>
      <c r="G505" s="25">
        <f>0+'táj.2.'!G505</f>
        <v>0</v>
      </c>
      <c r="H505" s="25">
        <f>0+'táj.2.'!H505</f>
        <v>0</v>
      </c>
      <c r="I505" s="25">
        <f>0+'táj.2.'!I505</f>
        <v>0</v>
      </c>
      <c r="J505" s="25">
        <f>0+'táj.2.'!J505</f>
        <v>0</v>
      </c>
      <c r="K505" s="25">
        <f>0+'táj.2.'!K505</f>
        <v>0</v>
      </c>
      <c r="L505" s="25">
        <f>208952+'táj.2.'!L505</f>
        <v>208952</v>
      </c>
      <c r="M505" s="25">
        <f>0+'táj.2.'!M505</f>
        <v>0</v>
      </c>
      <c r="N505" s="25">
        <f>0+'táj.2.'!N505</f>
        <v>0</v>
      </c>
      <c r="O505" s="25">
        <f>0+'táj.2.'!O505</f>
        <v>0</v>
      </c>
      <c r="P505" s="25">
        <f>0+'táj.2.'!P505</f>
        <v>0</v>
      </c>
      <c r="Q505" s="25">
        <f>SUM(G505:P505)</f>
        <v>208952</v>
      </c>
    </row>
    <row r="506" spans="1:17" ht="50.25" customHeight="1">
      <c r="A506" s="23"/>
      <c r="B506" s="23"/>
      <c r="C506" s="408" t="s">
        <v>870</v>
      </c>
      <c r="D506" s="425" t="s">
        <v>871</v>
      </c>
      <c r="E506" s="681"/>
      <c r="F506" s="23">
        <v>162712</v>
      </c>
      <c r="G506" s="25">
        <f>0+'táj.2.'!G506</f>
        <v>0</v>
      </c>
      <c r="H506" s="25">
        <f>0+'táj.2.'!H506</f>
        <v>0</v>
      </c>
      <c r="I506" s="25">
        <f>0+'táj.2.'!I506</f>
        <v>0</v>
      </c>
      <c r="J506" s="25">
        <f>0+'táj.2.'!J506</f>
        <v>0</v>
      </c>
      <c r="K506" s="25">
        <f>0+'táj.2.'!K506</f>
        <v>0</v>
      </c>
      <c r="L506" s="25">
        <f>323744+'táj.2.'!L506</f>
        <v>323744</v>
      </c>
      <c r="M506" s="25">
        <f>0+'táj.2.'!M506</f>
        <v>0</v>
      </c>
      <c r="N506" s="25">
        <f>0+'táj.2.'!N506</f>
        <v>0</v>
      </c>
      <c r="O506" s="25">
        <f>0+'táj.2.'!O506</f>
        <v>0</v>
      </c>
      <c r="P506" s="25">
        <f>0+'táj.2.'!P506</f>
        <v>0</v>
      </c>
      <c r="Q506" s="25">
        <f>SUM(G506:P506)</f>
        <v>323744</v>
      </c>
    </row>
    <row r="507" spans="1:17" ht="12.75" customHeight="1">
      <c r="A507" s="23"/>
      <c r="B507" s="23"/>
      <c r="C507" s="378" t="s">
        <v>628</v>
      </c>
      <c r="D507" s="426" t="s">
        <v>629</v>
      </c>
      <c r="E507" s="681"/>
      <c r="F507" s="23"/>
      <c r="G507" s="25"/>
      <c r="H507" s="24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ht="12.75" customHeight="1">
      <c r="A508" s="23"/>
      <c r="B508" s="23"/>
      <c r="C508" s="402"/>
      <c r="D508" s="108" t="s">
        <v>286</v>
      </c>
      <c r="E508" s="681"/>
      <c r="F508" s="23"/>
      <c r="G508" s="25"/>
      <c r="H508" s="24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ht="24.75" customHeight="1">
      <c r="A509" s="23"/>
      <c r="B509" s="23"/>
      <c r="C509" s="402" t="s">
        <v>1091</v>
      </c>
      <c r="D509" s="427" t="s">
        <v>872</v>
      </c>
      <c r="E509" s="681"/>
      <c r="F509" s="23">
        <v>164906</v>
      </c>
      <c r="G509" s="25">
        <f>0+'táj.2.'!G509</f>
        <v>0</v>
      </c>
      <c r="H509" s="25">
        <f>0+'táj.2.'!H509</f>
        <v>0</v>
      </c>
      <c r="I509" s="25">
        <f>0+'táj.2.'!I509</f>
        <v>0</v>
      </c>
      <c r="J509" s="25">
        <f>0+'táj.2.'!J509</f>
        <v>0</v>
      </c>
      <c r="K509" s="25">
        <f>0+'táj.2.'!K509</f>
        <v>0</v>
      </c>
      <c r="L509" s="25">
        <f>0+'táj.2.'!L509</f>
        <v>0</v>
      </c>
      <c r="M509" s="25">
        <f>2468+'táj.2.'!M509</f>
        <v>2468</v>
      </c>
      <c r="N509" s="25">
        <f>0+'táj.2.'!N509</f>
        <v>0</v>
      </c>
      <c r="O509" s="25">
        <f>0+'táj.2.'!O509</f>
        <v>0</v>
      </c>
      <c r="P509" s="25">
        <f>0+'táj.2.'!P509</f>
        <v>0</v>
      </c>
      <c r="Q509" s="25">
        <f>SUM(G509:P509)</f>
        <v>2468</v>
      </c>
    </row>
    <row r="510" spans="1:17" ht="12.75" customHeight="1">
      <c r="A510" s="23"/>
      <c r="B510" s="23"/>
      <c r="C510" s="378" t="s">
        <v>630</v>
      </c>
      <c r="D510" s="379" t="s">
        <v>631</v>
      </c>
      <c r="E510" s="681"/>
      <c r="F510" s="23"/>
      <c r="G510" s="25"/>
      <c r="H510" s="245"/>
      <c r="I510" s="25"/>
      <c r="J510" s="25"/>
      <c r="K510" s="25"/>
      <c r="L510" s="15"/>
      <c r="M510" s="15"/>
      <c r="N510" s="25"/>
      <c r="O510" s="25"/>
      <c r="P510" s="25"/>
      <c r="Q510" s="25"/>
    </row>
    <row r="511" spans="1:17" ht="12.75" customHeight="1">
      <c r="A511" s="23"/>
      <c r="B511" s="23"/>
      <c r="C511" s="408" t="s">
        <v>632</v>
      </c>
      <c r="D511" s="377" t="s">
        <v>873</v>
      </c>
      <c r="E511" s="681"/>
      <c r="F511" s="23">
        <v>162903</v>
      </c>
      <c r="G511" s="25">
        <f>0+'táj.2.'!G511</f>
        <v>0</v>
      </c>
      <c r="H511" s="25">
        <f>0+'táj.2.'!H511</f>
        <v>0</v>
      </c>
      <c r="I511" s="25">
        <f>0+'táj.2.'!I511</f>
        <v>0</v>
      </c>
      <c r="J511" s="25">
        <f>0+'táj.2.'!J511</f>
        <v>0</v>
      </c>
      <c r="K511" s="25">
        <f>0+'táj.2.'!K511</f>
        <v>0</v>
      </c>
      <c r="L511" s="25">
        <f>20185+'táj.2.'!L511</f>
        <v>20185</v>
      </c>
      <c r="M511" s="25">
        <f>3954+'táj.2.'!M511</f>
        <v>3954</v>
      </c>
      <c r="N511" s="25">
        <f>0+'táj.2.'!N511</f>
        <v>0</v>
      </c>
      <c r="O511" s="25">
        <f>0+'táj.2.'!O511</f>
        <v>0</v>
      </c>
      <c r="P511" s="25">
        <f>0+'táj.2.'!P511</f>
        <v>0</v>
      </c>
      <c r="Q511" s="25">
        <f aca="true" t="shared" si="32" ref="Q511:Q523">SUM(G511:P511)</f>
        <v>24139</v>
      </c>
    </row>
    <row r="512" spans="1:17" ht="26.25" customHeight="1">
      <c r="A512" s="23"/>
      <c r="B512" s="23"/>
      <c r="C512" s="408" t="s">
        <v>633</v>
      </c>
      <c r="D512" s="340" t="s">
        <v>874</v>
      </c>
      <c r="E512" s="681"/>
      <c r="F512" s="23">
        <v>162904</v>
      </c>
      <c r="G512" s="25">
        <f>0+'táj.2.'!G512</f>
        <v>0</v>
      </c>
      <c r="H512" s="25">
        <f>0+'táj.2.'!H512</f>
        <v>0</v>
      </c>
      <c r="I512" s="25">
        <f>0+'táj.2.'!I512</f>
        <v>24091</v>
      </c>
      <c r="J512" s="25">
        <f>0+'táj.2.'!J512</f>
        <v>0</v>
      </c>
      <c r="K512" s="25">
        <f>0+'táj.2.'!K512</f>
        <v>0</v>
      </c>
      <c r="L512" s="25">
        <f>55000+'táj.2.'!L512</f>
        <v>89226</v>
      </c>
      <c r="M512" s="25">
        <f>0+'táj.2.'!M512</f>
        <v>0</v>
      </c>
      <c r="N512" s="25">
        <f>0+'táj.2.'!N512</f>
        <v>13590</v>
      </c>
      <c r="O512" s="25">
        <f>0+'táj.2.'!O512</f>
        <v>0</v>
      </c>
      <c r="P512" s="25">
        <f>0+'táj.2.'!P512</f>
        <v>0</v>
      </c>
      <c r="Q512" s="25">
        <f t="shared" si="32"/>
        <v>126907</v>
      </c>
    </row>
    <row r="513" spans="1:17" ht="12.75" customHeight="1">
      <c r="A513" s="23"/>
      <c r="B513" s="23"/>
      <c r="C513" s="408" t="s">
        <v>634</v>
      </c>
      <c r="D513" s="340" t="s">
        <v>875</v>
      </c>
      <c r="E513" s="681"/>
      <c r="F513" s="23">
        <v>164506</v>
      </c>
      <c r="G513" s="25">
        <f>0+'táj.2.'!G513</f>
        <v>0</v>
      </c>
      <c r="H513" s="25">
        <f>0+'táj.2.'!H513</f>
        <v>0</v>
      </c>
      <c r="I513" s="25">
        <f>0+'táj.2.'!I513</f>
        <v>0</v>
      </c>
      <c r="J513" s="25">
        <f>0+'táj.2.'!J513</f>
        <v>0</v>
      </c>
      <c r="K513" s="25">
        <f>0+'táj.2.'!K513</f>
        <v>0</v>
      </c>
      <c r="L513" s="25">
        <f>1200+'táj.2.'!L513</f>
        <v>1200</v>
      </c>
      <c r="M513" s="25">
        <f>0+'táj.2.'!M513</f>
        <v>0</v>
      </c>
      <c r="N513" s="25">
        <f>0+'táj.2.'!N513</f>
        <v>0</v>
      </c>
      <c r="O513" s="25">
        <f>0+'táj.2.'!O513</f>
        <v>0</v>
      </c>
      <c r="P513" s="25">
        <f>0+'táj.2.'!P513</f>
        <v>0</v>
      </c>
      <c r="Q513" s="25">
        <f t="shared" si="32"/>
        <v>1200</v>
      </c>
    </row>
    <row r="514" spans="1:17" ht="39.75" customHeight="1">
      <c r="A514" s="23"/>
      <c r="B514" s="23"/>
      <c r="C514" s="408" t="s">
        <v>635</v>
      </c>
      <c r="D514" s="427" t="s">
        <v>876</v>
      </c>
      <c r="E514" s="670"/>
      <c r="F514" s="13">
        <v>162905</v>
      </c>
      <c r="G514" s="25">
        <f>0+'táj.2.'!G514</f>
        <v>0</v>
      </c>
      <c r="H514" s="25">
        <f>0+'táj.2.'!H514</f>
        <v>0</v>
      </c>
      <c r="I514" s="25">
        <f>0+'táj.2.'!I514</f>
        <v>0</v>
      </c>
      <c r="J514" s="25">
        <f>0+'táj.2.'!J514</f>
        <v>0</v>
      </c>
      <c r="K514" s="25">
        <f>0+'táj.2.'!K514</f>
        <v>0</v>
      </c>
      <c r="L514" s="25">
        <f>600+'táj.2.'!L514</f>
        <v>600</v>
      </c>
      <c r="M514" s="25">
        <f>0+'táj.2.'!M514</f>
        <v>0</v>
      </c>
      <c r="N514" s="25">
        <f>0+'táj.2.'!N514</f>
        <v>0</v>
      </c>
      <c r="O514" s="25">
        <f>0+'táj.2.'!O514</f>
        <v>0</v>
      </c>
      <c r="P514" s="25">
        <f>0+'táj.2.'!P514</f>
        <v>0</v>
      </c>
      <c r="Q514" s="15">
        <f t="shared" si="32"/>
        <v>600</v>
      </c>
    </row>
    <row r="515" spans="1:17" ht="29.25" customHeight="1">
      <c r="A515" s="23"/>
      <c r="B515" s="23"/>
      <c r="C515" s="408" t="s">
        <v>360</v>
      </c>
      <c r="D515" s="120" t="s">
        <v>490</v>
      </c>
      <c r="E515" s="670"/>
      <c r="F515" s="13">
        <v>172905</v>
      </c>
      <c r="G515" s="25">
        <f>0+'táj.2.'!G515</f>
        <v>0</v>
      </c>
      <c r="H515" s="25">
        <f>0+'táj.2.'!H515</f>
        <v>0</v>
      </c>
      <c r="I515" s="25">
        <f>0+'táj.2.'!I515</f>
        <v>0</v>
      </c>
      <c r="J515" s="25">
        <f>0+'táj.2.'!J515</f>
        <v>0</v>
      </c>
      <c r="K515" s="25">
        <f>0+'táj.2.'!K515</f>
        <v>0</v>
      </c>
      <c r="L515" s="25">
        <f>3747+'táj.2.'!L515</f>
        <v>3747</v>
      </c>
      <c r="M515" s="25">
        <f>0+'táj.2.'!M515</f>
        <v>0</v>
      </c>
      <c r="N515" s="25">
        <f>0+'táj.2.'!N515</f>
        <v>0</v>
      </c>
      <c r="O515" s="25">
        <f>0+'táj.2.'!O515</f>
        <v>0</v>
      </c>
      <c r="P515" s="25">
        <f>0+'táj.2.'!P515</f>
        <v>0</v>
      </c>
      <c r="Q515" s="15">
        <f t="shared" si="32"/>
        <v>3747</v>
      </c>
    </row>
    <row r="516" spans="1:17" ht="17.25" customHeight="1">
      <c r="A516" s="23"/>
      <c r="B516" s="23"/>
      <c r="C516" s="408" t="s">
        <v>361</v>
      </c>
      <c r="D516" s="427" t="s">
        <v>877</v>
      </c>
      <c r="E516" s="681"/>
      <c r="F516" s="23">
        <v>154908</v>
      </c>
      <c r="G516" s="25">
        <f>0+'táj.2.'!G516</f>
        <v>0</v>
      </c>
      <c r="H516" s="25">
        <f>0+'táj.2.'!H516</f>
        <v>0</v>
      </c>
      <c r="I516" s="25">
        <f>0+'táj.2.'!I516</f>
        <v>0</v>
      </c>
      <c r="J516" s="25">
        <f>0+'táj.2.'!J516</f>
        <v>0</v>
      </c>
      <c r="K516" s="25">
        <f>0+'táj.2.'!K516</f>
        <v>0</v>
      </c>
      <c r="L516" s="25">
        <f>0+'táj.2.'!L516</f>
        <v>0</v>
      </c>
      <c r="M516" s="25">
        <f>1000+'táj.2.'!M516</f>
        <v>1000</v>
      </c>
      <c r="N516" s="25">
        <f>0+'táj.2.'!N516</f>
        <v>0</v>
      </c>
      <c r="O516" s="25">
        <f>0+'táj.2.'!O516</f>
        <v>0</v>
      </c>
      <c r="P516" s="25">
        <f>0+'táj.2.'!P516</f>
        <v>0</v>
      </c>
      <c r="Q516" s="25">
        <f t="shared" si="32"/>
        <v>1000</v>
      </c>
    </row>
    <row r="517" spans="1:17" ht="29.25" customHeight="1">
      <c r="A517" s="23"/>
      <c r="B517" s="23"/>
      <c r="C517" s="408" t="s">
        <v>432</v>
      </c>
      <c r="D517" s="323" t="s">
        <v>878</v>
      </c>
      <c r="E517" s="681"/>
      <c r="F517" s="23">
        <v>162906</v>
      </c>
      <c r="G517" s="25">
        <f>0+'táj.2.'!G517</f>
        <v>0</v>
      </c>
      <c r="H517" s="25">
        <f>0+'táj.2.'!H517</f>
        <v>0</v>
      </c>
      <c r="I517" s="25">
        <f>0+'táj.2.'!I517</f>
        <v>0</v>
      </c>
      <c r="J517" s="25">
        <f>0+'táj.2.'!J517</f>
        <v>0</v>
      </c>
      <c r="K517" s="25">
        <f>0+'táj.2.'!K517</f>
        <v>0</v>
      </c>
      <c r="L517" s="25">
        <f>0+'táj.2.'!L517</f>
        <v>0</v>
      </c>
      <c r="M517" s="25">
        <f>15000+'táj.2.'!M517</f>
        <v>1410</v>
      </c>
      <c r="N517" s="25">
        <f>0+'táj.2.'!N517</f>
        <v>0</v>
      </c>
      <c r="O517" s="25">
        <f>0+'táj.2.'!O517</f>
        <v>0</v>
      </c>
      <c r="P517" s="25">
        <f>0+'táj.2.'!P517</f>
        <v>0</v>
      </c>
      <c r="Q517" s="25">
        <f t="shared" si="32"/>
        <v>1410</v>
      </c>
    </row>
    <row r="518" spans="1:17" ht="36" customHeight="1">
      <c r="A518" s="23"/>
      <c r="B518" s="23"/>
      <c r="C518" s="408" t="s">
        <v>429</v>
      </c>
      <c r="D518" s="125" t="s">
        <v>539</v>
      </c>
      <c r="E518" s="670"/>
      <c r="F518" s="13">
        <v>174902</v>
      </c>
      <c r="G518" s="25">
        <f>0+'táj.2.'!G518</f>
        <v>0</v>
      </c>
      <c r="H518" s="25">
        <f>0+'táj.2.'!H518</f>
        <v>0</v>
      </c>
      <c r="I518" s="25">
        <f>0+'táj.2.'!I518</f>
        <v>0</v>
      </c>
      <c r="J518" s="25">
        <f>0+'táj.2.'!J518</f>
        <v>0</v>
      </c>
      <c r="K518" s="25">
        <f>0+'táj.2.'!K518</f>
        <v>0</v>
      </c>
      <c r="L518" s="25">
        <f>0+'táj.2.'!L518</f>
        <v>0</v>
      </c>
      <c r="M518" s="25">
        <f>43692+'táj.2.'!M518</f>
        <v>43692</v>
      </c>
      <c r="N518" s="25">
        <f>0+'táj.2.'!N518</f>
        <v>0</v>
      </c>
      <c r="O518" s="25">
        <f>0+'táj.2.'!O518</f>
        <v>0</v>
      </c>
      <c r="P518" s="25">
        <f>0+'táj.2.'!P518</f>
        <v>0</v>
      </c>
      <c r="Q518" s="15">
        <f t="shared" si="32"/>
        <v>43692</v>
      </c>
    </row>
    <row r="519" spans="1:17" ht="15.75" customHeight="1">
      <c r="A519" s="23"/>
      <c r="B519" s="23"/>
      <c r="C519" s="408" t="s">
        <v>430</v>
      </c>
      <c r="D519" s="384" t="s">
        <v>879</v>
      </c>
      <c r="E519" s="670"/>
      <c r="F519" s="13">
        <v>162907</v>
      </c>
      <c r="G519" s="25">
        <f>0+'táj.2.'!G519</f>
        <v>0</v>
      </c>
      <c r="H519" s="25">
        <f>0+'táj.2.'!H519</f>
        <v>0</v>
      </c>
      <c r="I519" s="25">
        <f>0+'táj.2.'!I519</f>
        <v>0</v>
      </c>
      <c r="J519" s="25">
        <f>0+'táj.2.'!J519</f>
        <v>0</v>
      </c>
      <c r="K519" s="25">
        <f>0+'táj.2.'!K519</f>
        <v>0</v>
      </c>
      <c r="L519" s="25">
        <f>0+'táj.2.'!L519</f>
        <v>0</v>
      </c>
      <c r="M519" s="25">
        <f>10000+'táj.2.'!M519</f>
        <v>10000</v>
      </c>
      <c r="N519" s="25">
        <f>0+'táj.2.'!N519</f>
        <v>0</v>
      </c>
      <c r="O519" s="25">
        <f>0+'táj.2.'!O519</f>
        <v>0</v>
      </c>
      <c r="P519" s="25">
        <f>0+'táj.2.'!P519</f>
        <v>0</v>
      </c>
      <c r="Q519" s="15">
        <f t="shared" si="32"/>
        <v>10000</v>
      </c>
    </row>
    <row r="520" spans="1:17" ht="12.75" customHeight="1">
      <c r="A520" s="23"/>
      <c r="B520" s="23"/>
      <c r="C520" s="378"/>
      <c r="D520" s="108" t="s">
        <v>286</v>
      </c>
      <c r="E520" s="681"/>
      <c r="F520" s="23"/>
      <c r="G520" s="25"/>
      <c r="H520" s="245"/>
      <c r="I520" s="25"/>
      <c r="J520" s="25"/>
      <c r="K520" s="25"/>
      <c r="L520" s="15"/>
      <c r="M520" s="15"/>
      <c r="N520" s="25"/>
      <c r="O520" s="25"/>
      <c r="P520" s="25"/>
      <c r="Q520" s="25">
        <f t="shared" si="32"/>
        <v>0</v>
      </c>
    </row>
    <row r="521" spans="1:17" ht="25.5" customHeight="1">
      <c r="A521" s="23"/>
      <c r="B521" s="23"/>
      <c r="C521" s="408" t="s">
        <v>538</v>
      </c>
      <c r="D521" s="428" t="s">
        <v>1092</v>
      </c>
      <c r="E521" s="681"/>
      <c r="F521" s="23">
        <v>162909</v>
      </c>
      <c r="G521" s="25">
        <f>0+'táj.2.'!G521</f>
        <v>0</v>
      </c>
      <c r="H521" s="25">
        <f>0+'táj.2.'!H521</f>
        <v>0</v>
      </c>
      <c r="I521" s="25">
        <f>0+'táj.2.'!I521</f>
        <v>0</v>
      </c>
      <c r="J521" s="25">
        <f>0+'táj.2.'!J521</f>
        <v>0</v>
      </c>
      <c r="K521" s="25">
        <f>0+'táj.2.'!K521</f>
        <v>0</v>
      </c>
      <c r="L521" s="25">
        <f>900+'táj.2.'!L521</f>
        <v>900</v>
      </c>
      <c r="M521" s="25">
        <f>0+'táj.2.'!M521</f>
        <v>0</v>
      </c>
      <c r="N521" s="25">
        <f>0+'táj.2.'!N521</f>
        <v>0</v>
      </c>
      <c r="O521" s="25">
        <f>0+'táj.2.'!O521</f>
        <v>0</v>
      </c>
      <c r="P521" s="25">
        <f>0+'táj.2.'!P521</f>
        <v>0</v>
      </c>
      <c r="Q521" s="25">
        <f t="shared" si="32"/>
        <v>900</v>
      </c>
    </row>
    <row r="522" spans="1:17" ht="14.25" customHeight="1">
      <c r="A522" s="23"/>
      <c r="B522" s="23"/>
      <c r="C522" s="408" t="s">
        <v>489</v>
      </c>
      <c r="D522" s="428" t="s">
        <v>1093</v>
      </c>
      <c r="E522" s="681"/>
      <c r="F522" s="23">
        <v>162901</v>
      </c>
      <c r="G522" s="25">
        <f>0+'táj.2.'!G522</f>
        <v>0</v>
      </c>
      <c r="H522" s="25">
        <f>0+'táj.2.'!H522</f>
        <v>0</v>
      </c>
      <c r="I522" s="25">
        <f>0+'táj.2.'!I522</f>
        <v>0</v>
      </c>
      <c r="J522" s="25">
        <f>0+'táj.2.'!J522</f>
        <v>0</v>
      </c>
      <c r="K522" s="25">
        <f>0+'táj.2.'!K522</f>
        <v>0</v>
      </c>
      <c r="L522" s="25">
        <f>27656+'táj.2.'!L522</f>
        <v>27656</v>
      </c>
      <c r="M522" s="25">
        <f>0+'táj.2.'!M522</f>
        <v>0</v>
      </c>
      <c r="N522" s="25">
        <f>0+'táj.2.'!N522</f>
        <v>0</v>
      </c>
      <c r="O522" s="25">
        <f>0+'táj.2.'!O522</f>
        <v>0</v>
      </c>
      <c r="P522" s="25">
        <f>0+'táj.2.'!P522</f>
        <v>0</v>
      </c>
      <c r="Q522" s="25">
        <f t="shared" si="32"/>
        <v>27656</v>
      </c>
    </row>
    <row r="523" spans="1:17" ht="26.25" customHeight="1">
      <c r="A523" s="23"/>
      <c r="B523" s="23"/>
      <c r="C523" s="408" t="s">
        <v>724</v>
      </c>
      <c r="D523" s="429" t="s">
        <v>1094</v>
      </c>
      <c r="E523" s="681"/>
      <c r="F523" s="23">
        <v>162910</v>
      </c>
      <c r="G523" s="25">
        <f>0+'táj.2.'!G523</f>
        <v>0</v>
      </c>
      <c r="H523" s="25">
        <f>0+'táj.2.'!H523</f>
        <v>0</v>
      </c>
      <c r="I523" s="25">
        <f>450+'táj.2.'!I523</f>
        <v>450</v>
      </c>
      <c r="J523" s="25">
        <f>0+'táj.2.'!J523</f>
        <v>0</v>
      </c>
      <c r="K523" s="25">
        <f>0+'táj.2.'!K523</f>
        <v>0</v>
      </c>
      <c r="L523" s="25">
        <f>6409+'táj.2.'!L523</f>
        <v>6409</v>
      </c>
      <c r="M523" s="25">
        <f>0+'táj.2.'!M523</f>
        <v>0</v>
      </c>
      <c r="N523" s="25">
        <f>0+'táj.2.'!N523</f>
        <v>0</v>
      </c>
      <c r="O523" s="25">
        <f>0+'táj.2.'!O523</f>
        <v>0</v>
      </c>
      <c r="P523" s="25">
        <f>0+'táj.2.'!P523</f>
        <v>0</v>
      </c>
      <c r="Q523" s="25">
        <f t="shared" si="32"/>
        <v>6859</v>
      </c>
    </row>
    <row r="524" spans="1:17" ht="12.75" customHeight="1">
      <c r="A524" s="23"/>
      <c r="B524" s="23"/>
      <c r="C524" s="430">
        <v>10</v>
      </c>
      <c r="D524" s="431" t="s">
        <v>880</v>
      </c>
      <c r="E524" s="527"/>
      <c r="F524" s="607"/>
      <c r="G524" s="25"/>
      <c r="H524" s="343"/>
      <c r="I524" s="343"/>
      <c r="J524" s="343"/>
      <c r="K524" s="343"/>
      <c r="L524" s="343"/>
      <c r="M524" s="343"/>
      <c r="N524" s="343"/>
      <c r="O524" s="343"/>
      <c r="P524" s="343"/>
      <c r="Q524" s="343"/>
    </row>
    <row r="525" spans="1:17" ht="27.75" customHeight="1">
      <c r="A525" s="23"/>
      <c r="B525" s="23"/>
      <c r="C525" s="342" t="s">
        <v>881</v>
      </c>
      <c r="D525" s="151" t="s">
        <v>882</v>
      </c>
      <c r="E525" s="681"/>
      <c r="F525" s="23">
        <v>162684</v>
      </c>
      <c r="G525" s="25">
        <f>0+'táj.2.'!G525</f>
        <v>0</v>
      </c>
      <c r="H525" s="25">
        <f>0+'táj.2.'!H525</f>
        <v>0</v>
      </c>
      <c r="I525" s="25">
        <f>0+'táj.2.'!I525</f>
        <v>0</v>
      </c>
      <c r="J525" s="25">
        <f>0+'táj.2.'!J525</f>
        <v>0</v>
      </c>
      <c r="K525" s="25">
        <f>0+'táj.2.'!K525</f>
        <v>0</v>
      </c>
      <c r="L525" s="25">
        <f>40000+'táj.2.'!L525</f>
        <v>40000</v>
      </c>
      <c r="M525" s="25">
        <f>0+'táj.2.'!M525</f>
        <v>0</v>
      </c>
      <c r="N525" s="25">
        <f>0+'táj.2.'!N525</f>
        <v>0</v>
      </c>
      <c r="O525" s="25">
        <f>0+'táj.2.'!O525</f>
        <v>0</v>
      </c>
      <c r="P525" s="25">
        <f>0+'táj.2.'!P525</f>
        <v>0</v>
      </c>
      <c r="Q525" s="25">
        <f>SUM(G525:P525)</f>
        <v>40000</v>
      </c>
    </row>
    <row r="526" spans="1:17" ht="12.75" customHeight="1">
      <c r="A526" s="17"/>
      <c r="B526" s="17"/>
      <c r="C526" s="300"/>
      <c r="D526" s="18" t="s">
        <v>463</v>
      </c>
      <c r="E526" s="669"/>
      <c r="F526" s="17"/>
      <c r="G526" s="19">
        <f aca="true" t="shared" si="33" ref="G526:Q526">SUM(G438:G525)</f>
        <v>0</v>
      </c>
      <c r="H526" s="19">
        <f t="shared" si="33"/>
        <v>0</v>
      </c>
      <c r="I526" s="19">
        <f t="shared" si="33"/>
        <v>758337</v>
      </c>
      <c r="J526" s="19">
        <f t="shared" si="33"/>
        <v>0</v>
      </c>
      <c r="K526" s="19">
        <f t="shared" si="33"/>
        <v>0</v>
      </c>
      <c r="L526" s="19">
        <f t="shared" si="33"/>
        <v>3443416</v>
      </c>
      <c r="M526" s="19">
        <f t="shared" si="33"/>
        <v>85289</v>
      </c>
      <c r="N526" s="19">
        <f t="shared" si="33"/>
        <v>118714</v>
      </c>
      <c r="O526" s="19">
        <f t="shared" si="33"/>
        <v>0</v>
      </c>
      <c r="P526" s="19">
        <f t="shared" si="33"/>
        <v>0</v>
      </c>
      <c r="Q526" s="19">
        <f t="shared" si="33"/>
        <v>4405756</v>
      </c>
    </row>
    <row r="527" spans="1:17" ht="13.5" customHeight="1">
      <c r="A527" s="23">
        <v>1</v>
      </c>
      <c r="B527" s="23">
        <v>17</v>
      </c>
      <c r="C527" s="342"/>
      <c r="D527" s="28" t="s">
        <v>1095</v>
      </c>
      <c r="E527" s="681"/>
      <c r="F527" s="23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ht="13.5" customHeight="1">
      <c r="A528" s="23"/>
      <c r="B528" s="23"/>
      <c r="C528" s="342"/>
      <c r="D528" s="337" t="s">
        <v>410</v>
      </c>
      <c r="E528" s="693"/>
      <c r="F528" s="13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25"/>
    </row>
    <row r="529" spans="1:17" ht="13.5" customHeight="1">
      <c r="A529" s="23"/>
      <c r="B529" s="23"/>
      <c r="C529" s="342"/>
      <c r="D529" s="16" t="s">
        <v>41</v>
      </c>
      <c r="E529" s="16">
        <v>1</v>
      </c>
      <c r="F529" s="13">
        <v>171905</v>
      </c>
      <c r="G529" s="15">
        <f>0+'táj.2.'!G529</f>
        <v>0</v>
      </c>
      <c r="H529" s="15">
        <f>0+'táj.2.'!H529</f>
        <v>0</v>
      </c>
      <c r="I529" s="15">
        <f>4500+'táj.2.'!I529</f>
        <v>4500</v>
      </c>
      <c r="J529" s="15">
        <f>0+'táj.2.'!J529</f>
        <v>0</v>
      </c>
      <c r="K529" s="15">
        <f>0+'táj.2.'!K529</f>
        <v>0</v>
      </c>
      <c r="L529" s="15">
        <f>0+'táj.2.'!L529</f>
        <v>0</v>
      </c>
      <c r="M529" s="15">
        <f>0+'táj.2.'!M529</f>
        <v>0</v>
      </c>
      <c r="N529" s="15">
        <f>0+'táj.2.'!N529</f>
        <v>0</v>
      </c>
      <c r="O529" s="15">
        <f>0+'táj.2.'!O529</f>
        <v>0</v>
      </c>
      <c r="P529" s="15">
        <f>0+'táj.2.'!P529</f>
        <v>0</v>
      </c>
      <c r="Q529" s="25">
        <f aca="true" t="shared" si="34" ref="Q529:Q538">SUM(G529:P529)</f>
        <v>4500</v>
      </c>
    </row>
    <row r="530" spans="1:17" ht="13.5" customHeight="1">
      <c r="A530" s="23"/>
      <c r="B530" s="23"/>
      <c r="C530" s="342"/>
      <c r="D530" s="16" t="s">
        <v>541</v>
      </c>
      <c r="E530" s="16">
        <v>1</v>
      </c>
      <c r="F530" s="13">
        <v>171903</v>
      </c>
      <c r="G530" s="15">
        <f>0+'táj.2.'!G530</f>
        <v>0</v>
      </c>
      <c r="H530" s="15">
        <f>0+'táj.2.'!H530</f>
        <v>0</v>
      </c>
      <c r="I530" s="15">
        <f>2000+'táj.2.'!I530</f>
        <v>2000</v>
      </c>
      <c r="J530" s="15">
        <f>0+'táj.2.'!J530</f>
        <v>0</v>
      </c>
      <c r="K530" s="15">
        <f>0+'táj.2.'!K530</f>
        <v>0</v>
      </c>
      <c r="L530" s="15">
        <f>0+'táj.2.'!L530</f>
        <v>0</v>
      </c>
      <c r="M530" s="15">
        <f>0+'táj.2.'!M530</f>
        <v>0</v>
      </c>
      <c r="N530" s="15">
        <f>0+'táj.2.'!N530</f>
        <v>0</v>
      </c>
      <c r="O530" s="15">
        <f>0+'táj.2.'!O530</f>
        <v>0</v>
      </c>
      <c r="P530" s="15">
        <f>0+'táj.2.'!P530</f>
        <v>0</v>
      </c>
      <c r="Q530" s="25">
        <f t="shared" si="34"/>
        <v>2000</v>
      </c>
    </row>
    <row r="531" spans="1:17" ht="13.5" customHeight="1">
      <c r="A531" s="23"/>
      <c r="B531" s="23"/>
      <c r="C531" s="342"/>
      <c r="D531" s="16" t="s">
        <v>883</v>
      </c>
      <c r="E531" s="694">
        <v>1</v>
      </c>
      <c r="F531" s="13">
        <v>171920</v>
      </c>
      <c r="G531" s="15">
        <f>0+'táj.2.'!G531</f>
        <v>0</v>
      </c>
      <c r="H531" s="15">
        <f>0+'táj.2.'!H531</f>
        <v>0</v>
      </c>
      <c r="I531" s="15">
        <f>6000+'táj.2.'!I531</f>
        <v>6000</v>
      </c>
      <c r="J531" s="15">
        <f>0+'táj.2.'!J531</f>
        <v>0</v>
      </c>
      <c r="K531" s="15">
        <f>0+'táj.2.'!K531</f>
        <v>0</v>
      </c>
      <c r="L531" s="15">
        <f>0+'táj.2.'!L531</f>
        <v>0</v>
      </c>
      <c r="M531" s="15">
        <f>0+'táj.2.'!M531</f>
        <v>0</v>
      </c>
      <c r="N531" s="15">
        <f>0+'táj.2.'!N531</f>
        <v>0</v>
      </c>
      <c r="O531" s="15">
        <f>0+'táj.2.'!O531</f>
        <v>0</v>
      </c>
      <c r="P531" s="15">
        <f>0+'táj.2.'!P531</f>
        <v>0</v>
      </c>
      <c r="Q531" s="25">
        <f t="shared" si="34"/>
        <v>6000</v>
      </c>
    </row>
    <row r="532" spans="1:17" ht="13.5" customHeight="1">
      <c r="A532" s="23"/>
      <c r="B532" s="23"/>
      <c r="C532" s="342"/>
      <c r="D532" s="155" t="s">
        <v>884</v>
      </c>
      <c r="E532" s="695">
        <v>1</v>
      </c>
      <c r="F532" s="13">
        <v>171940</v>
      </c>
      <c r="G532" s="15">
        <f>0+'táj.2.'!G532</f>
        <v>0</v>
      </c>
      <c r="H532" s="15">
        <f>0+'táj.2.'!H532</f>
        <v>0</v>
      </c>
      <c r="I532" s="15">
        <f>600+'táj.2.'!I532</f>
        <v>600</v>
      </c>
      <c r="J532" s="15">
        <f>0+'táj.2.'!J532</f>
        <v>0</v>
      </c>
      <c r="K532" s="15">
        <f>0+'táj.2.'!K532</f>
        <v>0</v>
      </c>
      <c r="L532" s="15">
        <f>0+'táj.2.'!L532</f>
        <v>0</v>
      </c>
      <c r="M532" s="15">
        <f>0+'táj.2.'!M532</f>
        <v>0</v>
      </c>
      <c r="N532" s="15">
        <f>0+'táj.2.'!N532</f>
        <v>0</v>
      </c>
      <c r="O532" s="15">
        <f>0+'táj.2.'!O532</f>
        <v>0</v>
      </c>
      <c r="P532" s="15">
        <f>0+'táj.2.'!P532</f>
        <v>0</v>
      </c>
      <c r="Q532" s="25">
        <f t="shared" si="34"/>
        <v>600</v>
      </c>
    </row>
    <row r="533" spans="1:17" ht="13.5" customHeight="1">
      <c r="A533" s="23"/>
      <c r="B533" s="23"/>
      <c r="C533" s="342"/>
      <c r="D533" s="155" t="s">
        <v>885</v>
      </c>
      <c r="E533" s="695">
        <v>1</v>
      </c>
      <c r="F533" s="13">
        <v>171956</v>
      </c>
      <c r="G533" s="15">
        <f>0+'táj.2.'!G533</f>
        <v>0</v>
      </c>
      <c r="H533" s="15">
        <f>0+'táj.2.'!H533</f>
        <v>0</v>
      </c>
      <c r="I533" s="15">
        <f>4000+'táj.2.'!I533</f>
        <v>4000</v>
      </c>
      <c r="J533" s="15">
        <f>0+'táj.2.'!J533</f>
        <v>0</v>
      </c>
      <c r="K533" s="15">
        <f>0+'táj.2.'!K533</f>
        <v>0</v>
      </c>
      <c r="L533" s="15">
        <f>0+'táj.2.'!L533</f>
        <v>0</v>
      </c>
      <c r="M533" s="15">
        <f>0+'táj.2.'!M533</f>
        <v>0</v>
      </c>
      <c r="N533" s="15">
        <f>0+'táj.2.'!N533</f>
        <v>0</v>
      </c>
      <c r="O533" s="15">
        <f>0+'táj.2.'!O533</f>
        <v>0</v>
      </c>
      <c r="P533" s="15">
        <f>0+'táj.2.'!P533</f>
        <v>0</v>
      </c>
      <c r="Q533" s="25">
        <f t="shared" si="34"/>
        <v>4000</v>
      </c>
    </row>
    <row r="534" spans="1:17" ht="13.5" customHeight="1">
      <c r="A534" s="23"/>
      <c r="B534" s="23"/>
      <c r="C534" s="342"/>
      <c r="D534" s="155" t="s">
        <v>886</v>
      </c>
      <c r="E534" s="695">
        <v>1</v>
      </c>
      <c r="F534" s="13">
        <v>171958</v>
      </c>
      <c r="G534" s="15">
        <f>0+'táj.2.'!G534</f>
        <v>0</v>
      </c>
      <c r="H534" s="15">
        <f>0+'táj.2.'!H534</f>
        <v>0</v>
      </c>
      <c r="I534" s="15">
        <f>2000+'táj.2.'!I534</f>
        <v>2000</v>
      </c>
      <c r="J534" s="15">
        <f>0+'táj.2.'!J534</f>
        <v>0</v>
      </c>
      <c r="K534" s="15">
        <f>0+'táj.2.'!K534</f>
        <v>0</v>
      </c>
      <c r="L534" s="15">
        <f>0+'táj.2.'!L534</f>
        <v>0</v>
      </c>
      <c r="M534" s="15">
        <f>0+'táj.2.'!M534</f>
        <v>0</v>
      </c>
      <c r="N534" s="15">
        <f>0+'táj.2.'!N534</f>
        <v>0</v>
      </c>
      <c r="O534" s="15">
        <f>0+'táj.2.'!O534</f>
        <v>0</v>
      </c>
      <c r="P534" s="15">
        <f>0+'táj.2.'!P534</f>
        <v>0</v>
      </c>
      <c r="Q534" s="25">
        <f t="shared" si="34"/>
        <v>2000</v>
      </c>
    </row>
    <row r="535" spans="1:17" ht="24.75" customHeight="1">
      <c r="A535" s="23"/>
      <c r="B535" s="23"/>
      <c r="C535" s="342"/>
      <c r="D535" s="155" t="s">
        <v>887</v>
      </c>
      <c r="E535" s="695">
        <v>1</v>
      </c>
      <c r="F535" s="13">
        <v>171959</v>
      </c>
      <c r="G535" s="15">
        <f>0+'táj.2.'!G535</f>
        <v>0</v>
      </c>
      <c r="H535" s="15">
        <f>0+'táj.2.'!H535</f>
        <v>0</v>
      </c>
      <c r="I535" s="15">
        <f>2000+'táj.2.'!I535</f>
        <v>2000</v>
      </c>
      <c r="J535" s="15">
        <f>0+'táj.2.'!J535</f>
        <v>0</v>
      </c>
      <c r="K535" s="15">
        <f>0+'táj.2.'!K535</f>
        <v>0</v>
      </c>
      <c r="L535" s="15">
        <f>0+'táj.2.'!L535</f>
        <v>0</v>
      </c>
      <c r="M535" s="15">
        <f>0+'táj.2.'!M535</f>
        <v>0</v>
      </c>
      <c r="N535" s="15">
        <f>0+'táj.2.'!N535</f>
        <v>0</v>
      </c>
      <c r="O535" s="15">
        <f>0+'táj.2.'!O535</f>
        <v>0</v>
      </c>
      <c r="P535" s="15">
        <f>0+'táj.2.'!P535</f>
        <v>0</v>
      </c>
      <c r="Q535" s="25">
        <f t="shared" si="34"/>
        <v>2000</v>
      </c>
    </row>
    <row r="536" spans="1:17" ht="15" customHeight="1">
      <c r="A536" s="23"/>
      <c r="B536" s="23"/>
      <c r="C536" s="342"/>
      <c r="D536" s="155" t="s">
        <v>888</v>
      </c>
      <c r="E536" s="695">
        <v>1</v>
      </c>
      <c r="F536" s="13">
        <v>171904</v>
      </c>
      <c r="G536" s="15">
        <f>0+'táj.2.'!G536</f>
        <v>0</v>
      </c>
      <c r="H536" s="15">
        <f>0+'táj.2.'!H536</f>
        <v>0</v>
      </c>
      <c r="I536" s="15">
        <f>4000+'táj.2.'!I536</f>
        <v>4000</v>
      </c>
      <c r="J536" s="15">
        <f>0+'táj.2.'!J536</f>
        <v>0</v>
      </c>
      <c r="K536" s="15">
        <f>0+'táj.2.'!K536</f>
        <v>0</v>
      </c>
      <c r="L536" s="15">
        <f>0+'táj.2.'!L536</f>
        <v>0</v>
      </c>
      <c r="M536" s="15">
        <f>0+'táj.2.'!M536</f>
        <v>0</v>
      </c>
      <c r="N536" s="15">
        <f>0+'táj.2.'!N536</f>
        <v>0</v>
      </c>
      <c r="O536" s="15">
        <f>0+'táj.2.'!O536</f>
        <v>0</v>
      </c>
      <c r="P536" s="15">
        <f>0+'táj.2.'!P536</f>
        <v>0</v>
      </c>
      <c r="Q536" s="25">
        <f t="shared" si="34"/>
        <v>4000</v>
      </c>
    </row>
    <row r="537" spans="1:17" ht="13.5" customHeight="1">
      <c r="A537" s="23"/>
      <c r="B537" s="23"/>
      <c r="C537" s="342"/>
      <c r="D537" s="16" t="s">
        <v>43</v>
      </c>
      <c r="E537" s="16">
        <v>1</v>
      </c>
      <c r="F537" s="13">
        <v>171902</v>
      </c>
      <c r="G537" s="15">
        <f>0+'táj.2.'!G537</f>
        <v>0</v>
      </c>
      <c r="H537" s="15">
        <f>0+'táj.2.'!H537</f>
        <v>0</v>
      </c>
      <c r="I537" s="15">
        <f>9000+'táj.2.'!I537</f>
        <v>9000</v>
      </c>
      <c r="J537" s="15">
        <f>0+'táj.2.'!J537</f>
        <v>0</v>
      </c>
      <c r="K537" s="15">
        <f>0+'táj.2.'!K537</f>
        <v>0</v>
      </c>
      <c r="L537" s="15">
        <f>0+'táj.2.'!L537</f>
        <v>0</v>
      </c>
      <c r="M537" s="15">
        <f>0+'táj.2.'!M537</f>
        <v>0</v>
      </c>
      <c r="N537" s="15">
        <f>0+'táj.2.'!N537</f>
        <v>0</v>
      </c>
      <c r="O537" s="15">
        <f>0+'táj.2.'!O537</f>
        <v>0</v>
      </c>
      <c r="P537" s="15">
        <f>0+'táj.2.'!P537</f>
        <v>0</v>
      </c>
      <c r="Q537" s="25">
        <f t="shared" si="34"/>
        <v>9000</v>
      </c>
    </row>
    <row r="538" spans="1:17" ht="13.5" customHeight="1">
      <c r="A538" s="23"/>
      <c r="B538" s="23"/>
      <c r="C538" s="342"/>
      <c r="D538" s="16" t="s">
        <v>889</v>
      </c>
      <c r="E538" s="16">
        <v>1</v>
      </c>
      <c r="F538" s="13">
        <v>171925</v>
      </c>
      <c r="G538" s="15">
        <f>0+'táj.2.'!G538</f>
        <v>0</v>
      </c>
      <c r="H538" s="15">
        <f>0+'táj.2.'!H538</f>
        <v>0</v>
      </c>
      <c r="I538" s="15">
        <f>500+'táj.2.'!I538</f>
        <v>500</v>
      </c>
      <c r="J538" s="15">
        <f>0+'táj.2.'!J538</f>
        <v>0</v>
      </c>
      <c r="K538" s="15">
        <f>0+'táj.2.'!K538</f>
        <v>0</v>
      </c>
      <c r="L538" s="15">
        <f>0+'táj.2.'!L538</f>
        <v>0</v>
      </c>
      <c r="M538" s="15">
        <f>0+'táj.2.'!M538</f>
        <v>0</v>
      </c>
      <c r="N538" s="15">
        <f>0+'táj.2.'!N538</f>
        <v>0</v>
      </c>
      <c r="O538" s="15">
        <f>0+'táj.2.'!O538</f>
        <v>0</v>
      </c>
      <c r="P538" s="15">
        <f>0+'táj.2.'!P538</f>
        <v>0</v>
      </c>
      <c r="Q538" s="25">
        <f t="shared" si="34"/>
        <v>500</v>
      </c>
    </row>
    <row r="539" spans="1:17" ht="13.5" customHeight="1">
      <c r="A539" s="23"/>
      <c r="B539" s="23"/>
      <c r="C539" s="342"/>
      <c r="D539" s="16" t="s">
        <v>890</v>
      </c>
      <c r="E539" s="16"/>
      <c r="F539" s="13"/>
      <c r="G539" s="15"/>
      <c r="H539" s="15"/>
      <c r="I539" s="15"/>
      <c r="J539" s="296"/>
      <c r="K539" s="296"/>
      <c r="L539" s="15"/>
      <c r="M539" s="15"/>
      <c r="N539" s="15"/>
      <c r="O539" s="15"/>
      <c r="P539" s="15"/>
      <c r="Q539" s="25"/>
    </row>
    <row r="540" spans="1:17" ht="13.5" customHeight="1">
      <c r="A540" s="23"/>
      <c r="B540" s="23"/>
      <c r="C540" s="342"/>
      <c r="D540" s="16" t="s">
        <v>891</v>
      </c>
      <c r="E540" s="16">
        <v>2</v>
      </c>
      <c r="F540" s="13">
        <v>171943</v>
      </c>
      <c r="G540" s="15">
        <f>0+'táj.2.'!G540</f>
        <v>0</v>
      </c>
      <c r="H540" s="15">
        <f>0+'táj.2.'!H540</f>
        <v>0</v>
      </c>
      <c r="I540" s="15">
        <f>0+'táj.2.'!I540</f>
        <v>0</v>
      </c>
      <c r="J540" s="15">
        <f>0+'táj.2.'!J540</f>
        <v>0</v>
      </c>
      <c r="K540" s="15">
        <f>400+'táj.2.'!K540</f>
        <v>400</v>
      </c>
      <c r="L540" s="15">
        <f>0+'táj.2.'!L540</f>
        <v>0</v>
      </c>
      <c r="M540" s="15">
        <f>0+'táj.2.'!M540</f>
        <v>0</v>
      </c>
      <c r="N540" s="15">
        <f>0+'táj.2.'!N540</f>
        <v>0</v>
      </c>
      <c r="O540" s="15">
        <f>0+'táj.2.'!O540</f>
        <v>0</v>
      </c>
      <c r="P540" s="15">
        <f>0+'táj.2.'!P540</f>
        <v>0</v>
      </c>
      <c r="Q540" s="25">
        <f>SUM(G540:P540)</f>
        <v>400</v>
      </c>
    </row>
    <row r="541" spans="1:17" ht="13.5" customHeight="1">
      <c r="A541" s="17"/>
      <c r="B541" s="17"/>
      <c r="C541" s="300"/>
      <c r="D541" s="18" t="s">
        <v>892</v>
      </c>
      <c r="E541" s="669"/>
      <c r="F541" s="17"/>
      <c r="G541" s="19">
        <f aca="true" t="shared" si="35" ref="G541:N541">SUM(G528:G540)</f>
        <v>0</v>
      </c>
      <c r="H541" s="19">
        <f t="shared" si="35"/>
        <v>0</v>
      </c>
      <c r="I541" s="19">
        <f t="shared" si="35"/>
        <v>34600</v>
      </c>
      <c r="J541" s="19">
        <f t="shared" si="35"/>
        <v>0</v>
      </c>
      <c r="K541" s="19">
        <f t="shared" si="35"/>
        <v>400</v>
      </c>
      <c r="L541" s="19">
        <f t="shared" si="35"/>
        <v>0</v>
      </c>
      <c r="M541" s="19">
        <f t="shared" si="35"/>
        <v>0</v>
      </c>
      <c r="N541" s="19">
        <f t="shared" si="35"/>
        <v>0</v>
      </c>
      <c r="O541" s="19"/>
      <c r="P541" s="19">
        <f>SUM(P528:P540)</f>
        <v>0</v>
      </c>
      <c r="Q541" s="19">
        <f>SUM(Q528:Q540)</f>
        <v>35000</v>
      </c>
    </row>
    <row r="542" spans="1:17" ht="13.5" customHeight="1">
      <c r="A542" s="145"/>
      <c r="B542" s="145"/>
      <c r="C542" s="319"/>
      <c r="D542" s="99" t="s">
        <v>893</v>
      </c>
      <c r="E542" s="682"/>
      <c r="F542" s="145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ht="27.75" customHeight="1">
      <c r="A543" s="145"/>
      <c r="B543" s="145"/>
      <c r="C543" s="163" t="s">
        <v>592</v>
      </c>
      <c r="D543" s="514" t="s">
        <v>894</v>
      </c>
      <c r="E543" s="435"/>
      <c r="F543" s="706">
        <v>174904</v>
      </c>
      <c r="G543" s="330">
        <f>0+'táj.2.'!G543</f>
        <v>0</v>
      </c>
      <c r="H543" s="330">
        <f>0+'táj.2.'!H543</f>
        <v>0</v>
      </c>
      <c r="I543" s="330">
        <f>0+'táj.2.'!I543</f>
        <v>0</v>
      </c>
      <c r="J543" s="330">
        <f>0+'táj.2.'!J543</f>
        <v>0</v>
      </c>
      <c r="K543" s="330">
        <f>0+'táj.2.'!K543</f>
        <v>0</v>
      </c>
      <c r="L543" s="330">
        <f>0+'táj.2.'!L543</f>
        <v>0</v>
      </c>
      <c r="M543" s="330">
        <f>0+'táj.2.'!M543</f>
        <v>0</v>
      </c>
      <c r="N543" s="330">
        <f>22000+'táj.2.'!N543</f>
        <v>22000</v>
      </c>
      <c r="O543" s="330">
        <f>0+'táj.2.'!O543</f>
        <v>0</v>
      </c>
      <c r="P543" s="330">
        <f>0+'táj.2.'!P543</f>
        <v>0</v>
      </c>
      <c r="Q543" s="330">
        <f>SUM(G543:P543)</f>
        <v>22000</v>
      </c>
    </row>
    <row r="544" spans="1:17" ht="13.5" customHeight="1">
      <c r="A544" s="145"/>
      <c r="B544" s="145"/>
      <c r="C544" s="402"/>
      <c r="D544" s="406" t="s">
        <v>286</v>
      </c>
      <c r="E544" s="682"/>
      <c r="F544" s="145"/>
      <c r="G544" s="330"/>
      <c r="H544" s="20"/>
      <c r="I544" s="20"/>
      <c r="J544" s="20"/>
      <c r="K544" s="20"/>
      <c r="L544" s="20"/>
      <c r="M544" s="20"/>
      <c r="N544" s="20"/>
      <c r="O544" s="20"/>
      <c r="P544" s="20"/>
      <c r="Q544" s="330"/>
    </row>
    <row r="545" spans="1:17" ht="13.5" customHeight="1">
      <c r="A545" s="145"/>
      <c r="B545" s="145"/>
      <c r="C545" s="402" t="s">
        <v>459</v>
      </c>
      <c r="D545" s="436" t="s">
        <v>454</v>
      </c>
      <c r="E545" s="682"/>
      <c r="F545" s="13">
        <v>172912</v>
      </c>
      <c r="G545" s="330">
        <f>0+'táj.2.'!G545</f>
        <v>0</v>
      </c>
      <c r="H545" s="330">
        <f>0+'táj.2.'!H545</f>
        <v>0</v>
      </c>
      <c r="I545" s="330">
        <f>0+'táj.2.'!I545</f>
        <v>0</v>
      </c>
      <c r="J545" s="330">
        <f>0+'táj.2.'!J545</f>
        <v>0</v>
      </c>
      <c r="K545" s="330">
        <f>0+'táj.2.'!K545</f>
        <v>0</v>
      </c>
      <c r="L545" s="330">
        <f>45000+'táj.2.'!L545</f>
        <v>45000</v>
      </c>
      <c r="M545" s="330">
        <f>0+'táj.2.'!M545</f>
        <v>0</v>
      </c>
      <c r="N545" s="330">
        <f>0+'táj.2.'!N545</f>
        <v>0</v>
      </c>
      <c r="O545" s="330">
        <f>0+'táj.2.'!O545</f>
        <v>0</v>
      </c>
      <c r="P545" s="330">
        <f>0+'táj.2.'!P545</f>
        <v>0</v>
      </c>
      <c r="Q545" s="330">
        <f aca="true" t="shared" si="36" ref="Q545:Q552">SUM(G545:P545)</f>
        <v>45000</v>
      </c>
    </row>
    <row r="546" spans="1:17" ht="27.75" customHeight="1">
      <c r="A546" s="145"/>
      <c r="B546" s="145"/>
      <c r="C546" s="402" t="s">
        <v>460</v>
      </c>
      <c r="D546" s="437" t="s">
        <v>1096</v>
      </c>
      <c r="E546" s="682"/>
      <c r="F546" s="13">
        <v>172904</v>
      </c>
      <c r="G546" s="330">
        <f>0+'táj.2.'!G546</f>
        <v>0</v>
      </c>
      <c r="H546" s="330">
        <f>0+'táj.2.'!H546</f>
        <v>0</v>
      </c>
      <c r="I546" s="330">
        <f>0+'táj.2.'!I546</f>
        <v>0</v>
      </c>
      <c r="J546" s="330">
        <f>0+'táj.2.'!J546</f>
        <v>0</v>
      </c>
      <c r="K546" s="330">
        <f>0+'táj.2.'!K546</f>
        <v>0</v>
      </c>
      <c r="L546" s="330">
        <f>43561+'táj.2.'!L546</f>
        <v>43561</v>
      </c>
      <c r="M546" s="330">
        <f>0+'táj.2.'!M546</f>
        <v>0</v>
      </c>
      <c r="N546" s="330">
        <f>0+'táj.2.'!N546</f>
        <v>0</v>
      </c>
      <c r="O546" s="330">
        <f>0+'táj.2.'!O546</f>
        <v>0</v>
      </c>
      <c r="P546" s="330">
        <f>0+'táj.2.'!P546</f>
        <v>0</v>
      </c>
      <c r="Q546" s="330">
        <f t="shared" si="36"/>
        <v>43561</v>
      </c>
    </row>
    <row r="547" spans="1:17" ht="14.25" customHeight="1">
      <c r="A547" s="346"/>
      <c r="B547" s="346"/>
      <c r="C547" s="402" t="s">
        <v>461</v>
      </c>
      <c r="D547" s="438" t="s">
        <v>691</v>
      </c>
      <c r="E547" s="439"/>
      <c r="F547" s="706">
        <v>174905</v>
      </c>
      <c r="G547" s="330">
        <f>0+'táj.2.'!G547</f>
        <v>0</v>
      </c>
      <c r="H547" s="330">
        <f>0+'táj.2.'!H547</f>
        <v>0</v>
      </c>
      <c r="I547" s="330">
        <f>0+'táj.2.'!I547</f>
        <v>0</v>
      </c>
      <c r="J547" s="330">
        <f>0+'táj.2.'!J547</f>
        <v>0</v>
      </c>
      <c r="K547" s="330">
        <f>0+'táj.2.'!K547</f>
        <v>0</v>
      </c>
      <c r="L547" s="330">
        <f>0+'táj.2.'!L547</f>
        <v>0</v>
      </c>
      <c r="M547" s="330">
        <f>373+'táj.2.'!M547</f>
        <v>373</v>
      </c>
      <c r="N547" s="330">
        <f>0+'táj.2.'!N547</f>
        <v>0</v>
      </c>
      <c r="O547" s="330">
        <f>0+'táj.2.'!O547</f>
        <v>0</v>
      </c>
      <c r="P547" s="330">
        <f>0+'táj.2.'!P547</f>
        <v>0</v>
      </c>
      <c r="Q547" s="330">
        <f t="shared" si="36"/>
        <v>373</v>
      </c>
    </row>
    <row r="548" spans="1:17" ht="14.25" customHeight="1">
      <c r="A548" s="346"/>
      <c r="B548" s="346"/>
      <c r="C548" s="402" t="s">
        <v>1097</v>
      </c>
      <c r="D548" s="148" t="s">
        <v>686</v>
      </c>
      <c r="E548" s="681"/>
      <c r="F548" s="23">
        <v>174908</v>
      </c>
      <c r="G548" s="330">
        <f>0+'táj.2.'!G548</f>
        <v>0</v>
      </c>
      <c r="H548" s="330">
        <f>0+'táj.2.'!H548</f>
        <v>0</v>
      </c>
      <c r="I548" s="330">
        <f>0+'táj.2.'!I548</f>
        <v>0</v>
      </c>
      <c r="J548" s="330">
        <f>0+'táj.2.'!J548</f>
        <v>0</v>
      </c>
      <c r="K548" s="330">
        <f>0+'táj.2.'!K548</f>
        <v>0</v>
      </c>
      <c r="L548" s="330">
        <f>0+'táj.2.'!L548</f>
        <v>0</v>
      </c>
      <c r="M548" s="330">
        <f>0+'táj.2.'!M548</f>
        <v>0</v>
      </c>
      <c r="N548" s="330">
        <f>520+'táj.2.'!N548</f>
        <v>520</v>
      </c>
      <c r="O548" s="330">
        <f>0+'táj.2.'!O548</f>
        <v>0</v>
      </c>
      <c r="P548" s="330">
        <f>0+'táj.2.'!P548</f>
        <v>0</v>
      </c>
      <c r="Q548" s="330">
        <f t="shared" si="36"/>
        <v>520</v>
      </c>
    </row>
    <row r="549" spans="1:17" ht="14.25" customHeight="1">
      <c r="A549" s="346"/>
      <c r="B549" s="346"/>
      <c r="C549" s="402" t="s">
        <v>1098</v>
      </c>
      <c r="D549" s="112" t="s">
        <v>896</v>
      </c>
      <c r="E549" s="681"/>
      <c r="F549" s="23">
        <v>162652</v>
      </c>
      <c r="G549" s="330">
        <f>0+'táj.2.'!G549</f>
        <v>0</v>
      </c>
      <c r="H549" s="330">
        <f>0+'táj.2.'!H549</f>
        <v>0</v>
      </c>
      <c r="I549" s="330">
        <f>0+'táj.2.'!I549</f>
        <v>0</v>
      </c>
      <c r="J549" s="330">
        <f>0+'táj.2.'!J549</f>
        <v>0</v>
      </c>
      <c r="K549" s="330">
        <f>0+'táj.2.'!K549</f>
        <v>0</v>
      </c>
      <c r="L549" s="330">
        <f>18000+'táj.2.'!L549</f>
        <v>18000</v>
      </c>
      <c r="M549" s="330">
        <f>0+'táj.2.'!M549</f>
        <v>0</v>
      </c>
      <c r="N549" s="330">
        <f>0+'táj.2.'!N549</f>
        <v>0</v>
      </c>
      <c r="O549" s="330">
        <f>0+'táj.2.'!O549</f>
        <v>0</v>
      </c>
      <c r="P549" s="330">
        <f>0+'táj.2.'!P549</f>
        <v>0</v>
      </c>
      <c r="Q549" s="330">
        <f t="shared" si="36"/>
        <v>18000</v>
      </c>
    </row>
    <row r="550" spans="1:17" ht="14.25" customHeight="1">
      <c r="A550" s="346"/>
      <c r="B550" s="346"/>
      <c r="C550" s="402" t="s">
        <v>895</v>
      </c>
      <c r="D550" s="112" t="s">
        <v>1072</v>
      </c>
      <c r="E550" s="681"/>
      <c r="F550" s="23">
        <v>162603</v>
      </c>
      <c r="G550" s="330">
        <f>0+'táj.2.'!G550</f>
        <v>0</v>
      </c>
      <c r="H550" s="330">
        <f>0+'táj.2.'!H550</f>
        <v>0</v>
      </c>
      <c r="I550" s="330">
        <f>0+'táj.2.'!I550</f>
        <v>0</v>
      </c>
      <c r="J550" s="330">
        <f>0+'táj.2.'!J550</f>
        <v>0</v>
      </c>
      <c r="K550" s="330">
        <f>0+'táj.2.'!K550</f>
        <v>0</v>
      </c>
      <c r="L550" s="330">
        <f>35000+'táj.2.'!L550</f>
        <v>35000</v>
      </c>
      <c r="M550" s="330">
        <f>0+'táj.2.'!M550</f>
        <v>0</v>
      </c>
      <c r="N550" s="330">
        <f>0+'táj.2.'!N550</f>
        <v>0</v>
      </c>
      <c r="O550" s="330">
        <f>0+'táj.2.'!O550</f>
        <v>0</v>
      </c>
      <c r="P550" s="330">
        <f>0+'táj.2.'!P550</f>
        <v>0</v>
      </c>
      <c r="Q550" s="330">
        <f t="shared" si="36"/>
        <v>35000</v>
      </c>
    </row>
    <row r="551" spans="1:17" ht="27" customHeight="1">
      <c r="A551" s="346"/>
      <c r="B551" s="346"/>
      <c r="C551" s="402" t="s">
        <v>897</v>
      </c>
      <c r="D551" s="423" t="s">
        <v>1073</v>
      </c>
      <c r="E551" s="681"/>
      <c r="F551" s="23">
        <v>162676</v>
      </c>
      <c r="G551" s="330">
        <f>0+'táj.2.'!G551</f>
        <v>0</v>
      </c>
      <c r="H551" s="330">
        <f>0+'táj.2.'!H551</f>
        <v>0</v>
      </c>
      <c r="I551" s="330">
        <f>0+'táj.2.'!I551</f>
        <v>0</v>
      </c>
      <c r="J551" s="330">
        <f>0+'táj.2.'!J551</f>
        <v>0</v>
      </c>
      <c r="K551" s="330">
        <f>0+'táj.2.'!K551</f>
        <v>0</v>
      </c>
      <c r="L551" s="330">
        <f>2500+'táj.2.'!L551</f>
        <v>2500</v>
      </c>
      <c r="M551" s="330">
        <f>0+'táj.2.'!M551</f>
        <v>0</v>
      </c>
      <c r="N551" s="330">
        <f>0+'táj.2.'!N551</f>
        <v>0</v>
      </c>
      <c r="O551" s="330">
        <f>0+'táj.2.'!O551</f>
        <v>0</v>
      </c>
      <c r="P551" s="330">
        <f>0+'táj.2.'!P551</f>
        <v>0</v>
      </c>
      <c r="Q551" s="330">
        <f t="shared" si="36"/>
        <v>2500</v>
      </c>
    </row>
    <row r="552" spans="1:17" ht="14.25" customHeight="1">
      <c r="A552" s="346"/>
      <c r="B552" s="346"/>
      <c r="C552" s="402" t="s">
        <v>898</v>
      </c>
      <c r="D552" s="118" t="s">
        <v>399</v>
      </c>
      <c r="E552" s="681"/>
      <c r="F552" s="23">
        <v>162631</v>
      </c>
      <c r="G552" s="330">
        <f>0+'táj.2.'!G552</f>
        <v>0</v>
      </c>
      <c r="H552" s="330">
        <f>0+'táj.2.'!H552</f>
        <v>0</v>
      </c>
      <c r="I552" s="330">
        <f>0+'táj.2.'!I552</f>
        <v>0</v>
      </c>
      <c r="J552" s="330">
        <f>0+'táj.2.'!J552</f>
        <v>0</v>
      </c>
      <c r="K552" s="330">
        <f>0+'táj.2.'!K552</f>
        <v>0</v>
      </c>
      <c r="L552" s="330">
        <f>9000+'táj.2.'!L552</f>
        <v>9000</v>
      </c>
      <c r="M552" s="330">
        <f>0+'táj.2.'!M552</f>
        <v>0</v>
      </c>
      <c r="N552" s="330">
        <f>0+'táj.2.'!N552</f>
        <v>0</v>
      </c>
      <c r="O552" s="330">
        <f>0+'táj.2.'!O552</f>
        <v>0</v>
      </c>
      <c r="P552" s="330">
        <f>0+'táj.2.'!P552</f>
        <v>0</v>
      </c>
      <c r="Q552" s="330">
        <f t="shared" si="36"/>
        <v>9000</v>
      </c>
    </row>
    <row r="553" spans="1:17" ht="13.5" customHeight="1">
      <c r="A553" s="17"/>
      <c r="B553" s="17"/>
      <c r="C553" s="300"/>
      <c r="D553" s="18" t="s">
        <v>464</v>
      </c>
      <c r="E553" s="669"/>
      <c r="F553" s="17"/>
      <c r="G553" s="19">
        <f aca="true" t="shared" si="37" ref="G553:Q553">SUM(G541:G552)</f>
        <v>0</v>
      </c>
      <c r="H553" s="19">
        <f t="shared" si="37"/>
        <v>0</v>
      </c>
      <c r="I553" s="19">
        <f t="shared" si="37"/>
        <v>34600</v>
      </c>
      <c r="J553" s="19">
        <f t="shared" si="37"/>
        <v>0</v>
      </c>
      <c r="K553" s="19">
        <f t="shared" si="37"/>
        <v>400</v>
      </c>
      <c r="L553" s="19">
        <f t="shared" si="37"/>
        <v>153061</v>
      </c>
      <c r="M553" s="19">
        <f t="shared" si="37"/>
        <v>373</v>
      </c>
      <c r="N553" s="19">
        <f t="shared" si="37"/>
        <v>22520</v>
      </c>
      <c r="O553" s="19">
        <f t="shared" si="37"/>
        <v>0</v>
      </c>
      <c r="P553" s="19">
        <f t="shared" si="37"/>
        <v>0</v>
      </c>
      <c r="Q553" s="19">
        <f t="shared" si="37"/>
        <v>210954</v>
      </c>
    </row>
    <row r="554" spans="1:17" ht="13.5" customHeight="1">
      <c r="A554" s="23">
        <v>1</v>
      </c>
      <c r="B554" s="23">
        <v>18</v>
      </c>
      <c r="C554" s="342"/>
      <c r="D554" s="28" t="s">
        <v>446</v>
      </c>
      <c r="E554" s="696"/>
      <c r="F554" s="149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ht="13.5" customHeight="1">
      <c r="A555" s="23"/>
      <c r="B555" s="23"/>
      <c r="C555" s="342"/>
      <c r="D555" s="24" t="s">
        <v>410</v>
      </c>
      <c r="E555" s="685"/>
      <c r="F555" s="23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ht="13.5" customHeight="1">
      <c r="A556" s="23"/>
      <c r="B556" s="23"/>
      <c r="C556" s="342"/>
      <c r="D556" s="24" t="s">
        <v>690</v>
      </c>
      <c r="E556" s="16">
        <v>2</v>
      </c>
      <c r="F556" s="13">
        <v>181905</v>
      </c>
      <c r="G556" s="25">
        <f>0+'táj.2.'!G556</f>
        <v>0</v>
      </c>
      <c r="H556" s="25">
        <f>0+'táj.2.'!H556</f>
        <v>0</v>
      </c>
      <c r="I556" s="25">
        <f>8000+'táj.2.'!I556</f>
        <v>8000</v>
      </c>
      <c r="J556" s="25">
        <f>0+'táj.2.'!J556</f>
        <v>0</v>
      </c>
      <c r="K556" s="25">
        <f>0+'táj.2.'!K556</f>
        <v>0</v>
      </c>
      <c r="L556" s="25">
        <f>0+'táj.2.'!L556</f>
        <v>0</v>
      </c>
      <c r="M556" s="25">
        <f>0+'táj.2.'!M556</f>
        <v>0</v>
      </c>
      <c r="N556" s="25">
        <f>0+'táj.2.'!N556</f>
        <v>0</v>
      </c>
      <c r="O556" s="25">
        <f>0+'táj.2.'!O556</f>
        <v>0</v>
      </c>
      <c r="P556" s="25">
        <f>0+'táj.2.'!P556</f>
        <v>0</v>
      </c>
      <c r="Q556" s="25">
        <f>SUM(G556:P556)</f>
        <v>8000</v>
      </c>
    </row>
    <row r="557" spans="1:17" ht="27.75" customHeight="1">
      <c r="A557" s="23"/>
      <c r="B557" s="23"/>
      <c r="C557" s="342"/>
      <c r="D557" s="155" t="s">
        <v>42</v>
      </c>
      <c r="E557" s="16">
        <v>1</v>
      </c>
      <c r="F557" s="13">
        <v>181901</v>
      </c>
      <c r="G557" s="25">
        <f>0+'táj.2.'!G557</f>
        <v>0</v>
      </c>
      <c r="H557" s="25">
        <f>0+'táj.2.'!H557</f>
        <v>0</v>
      </c>
      <c r="I557" s="25">
        <f>27650+'táj.2.'!I557</f>
        <v>27650</v>
      </c>
      <c r="J557" s="25">
        <f>0+'táj.2.'!J557</f>
        <v>0</v>
      </c>
      <c r="K557" s="25">
        <f>0+'táj.2.'!K557</f>
        <v>0</v>
      </c>
      <c r="L557" s="25">
        <f>0+'táj.2.'!L557</f>
        <v>0</v>
      </c>
      <c r="M557" s="25">
        <f>0+'táj.2.'!M557</f>
        <v>0</v>
      </c>
      <c r="N557" s="25">
        <f>0+'táj.2.'!N557</f>
        <v>0</v>
      </c>
      <c r="O557" s="25">
        <f>0+'táj.2.'!O557</f>
        <v>0</v>
      </c>
      <c r="P557" s="25">
        <f>0+'táj.2.'!P557</f>
        <v>0</v>
      </c>
      <c r="Q557" s="25">
        <f>SUM(G557:P557)</f>
        <v>27650</v>
      </c>
    </row>
    <row r="558" spans="1:17" ht="13.5" customHeight="1">
      <c r="A558" s="23"/>
      <c r="B558" s="23"/>
      <c r="C558" s="342"/>
      <c r="D558" s="16" t="s">
        <v>899</v>
      </c>
      <c r="E558" s="16">
        <v>1</v>
      </c>
      <c r="F558" s="13">
        <v>181906</v>
      </c>
      <c r="G558" s="25">
        <f>0+'táj.2.'!G558</f>
        <v>0</v>
      </c>
      <c r="H558" s="25">
        <f>0+'táj.2.'!H558</f>
        <v>0</v>
      </c>
      <c r="I558" s="25">
        <f>1397+'táj.2.'!I558</f>
        <v>1397</v>
      </c>
      <c r="J558" s="25">
        <f>0+'táj.2.'!J558</f>
        <v>0</v>
      </c>
      <c r="K558" s="25">
        <f>0+'táj.2.'!K558</f>
        <v>0</v>
      </c>
      <c r="L558" s="25">
        <f>0+'táj.2.'!L558</f>
        <v>0</v>
      </c>
      <c r="M558" s="25">
        <f>0+'táj.2.'!M558</f>
        <v>0</v>
      </c>
      <c r="N558" s="25">
        <f>0+'táj.2.'!N558</f>
        <v>0</v>
      </c>
      <c r="O558" s="25">
        <f>0+'táj.2.'!O558</f>
        <v>0</v>
      </c>
      <c r="P558" s="25">
        <f>0+'táj.2.'!P558</f>
        <v>0</v>
      </c>
      <c r="Q558" s="25">
        <f>SUM(G558:P558)</f>
        <v>1397</v>
      </c>
    </row>
    <row r="559" spans="1:17" ht="15" customHeight="1">
      <c r="A559" s="23"/>
      <c r="B559" s="23"/>
      <c r="C559" s="342"/>
      <c r="D559" s="297" t="s">
        <v>437</v>
      </c>
      <c r="E559" s="672"/>
      <c r="F559" s="594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ht="24.75" customHeight="1">
      <c r="A560" s="23"/>
      <c r="B560" s="23"/>
      <c r="C560" s="342"/>
      <c r="D560" s="160" t="s">
        <v>900</v>
      </c>
      <c r="E560" s="668">
        <v>1</v>
      </c>
      <c r="F560" s="23">
        <v>181907</v>
      </c>
      <c r="G560" s="25">
        <f>0+'táj.2.'!G560</f>
        <v>0</v>
      </c>
      <c r="H560" s="25">
        <f>0+'táj.2.'!H560</f>
        <v>0</v>
      </c>
      <c r="I560" s="25">
        <f>4255+'táj.2.'!I560</f>
        <v>4255</v>
      </c>
      <c r="J560" s="25">
        <f>0+'táj.2.'!J560</f>
        <v>0</v>
      </c>
      <c r="K560" s="25">
        <f>0+'táj.2.'!K560</f>
        <v>0</v>
      </c>
      <c r="L560" s="25">
        <f>0+'táj.2.'!L560</f>
        <v>0</v>
      </c>
      <c r="M560" s="25">
        <f>0+'táj.2.'!M560</f>
        <v>0</v>
      </c>
      <c r="N560" s="25">
        <f>0+'táj.2.'!N560</f>
        <v>0</v>
      </c>
      <c r="O560" s="25">
        <f>0+'táj.2.'!O560</f>
        <v>0</v>
      </c>
      <c r="P560" s="25"/>
      <c r="Q560" s="25">
        <f>SUM(G560:P560)</f>
        <v>4255</v>
      </c>
    </row>
    <row r="561" spans="1:17" ht="12.75" customHeight="1">
      <c r="A561" s="23"/>
      <c r="B561" s="23"/>
      <c r="C561" s="342"/>
      <c r="D561" s="160" t="s">
        <v>901</v>
      </c>
      <c r="E561" s="668">
        <v>1</v>
      </c>
      <c r="F561" s="23">
        <v>181909</v>
      </c>
      <c r="G561" s="25">
        <f>0+'táj.2.'!G561</f>
        <v>0</v>
      </c>
      <c r="H561" s="25">
        <f>0+'táj.2.'!H561</f>
        <v>0</v>
      </c>
      <c r="I561" s="25">
        <f>724+'táj.2.'!I561</f>
        <v>724</v>
      </c>
      <c r="J561" s="25">
        <f>0+'táj.2.'!J561</f>
        <v>0</v>
      </c>
      <c r="K561" s="25">
        <f>0+'táj.2.'!K561</f>
        <v>0</v>
      </c>
      <c r="L561" s="25">
        <f>0+'táj.2.'!L561</f>
        <v>0</v>
      </c>
      <c r="M561" s="25">
        <f>0+'táj.2.'!M561</f>
        <v>0</v>
      </c>
      <c r="N561" s="25">
        <f>0+'táj.2.'!N561</f>
        <v>0</v>
      </c>
      <c r="O561" s="25">
        <f>0+'táj.2.'!O561</f>
        <v>0</v>
      </c>
      <c r="P561" s="25">
        <f>0+'táj.2.'!P561</f>
        <v>0</v>
      </c>
      <c r="Q561" s="25">
        <f>SUM(G561:P561)</f>
        <v>724</v>
      </c>
    </row>
    <row r="562" spans="1:17" ht="17.25" customHeight="1">
      <c r="A562" s="23"/>
      <c r="B562" s="23"/>
      <c r="C562" s="342"/>
      <c r="D562" s="160" t="s">
        <v>902</v>
      </c>
      <c r="E562" s="668">
        <v>1</v>
      </c>
      <c r="F562" s="23">
        <v>181913</v>
      </c>
      <c r="G562" s="25">
        <f>0+'táj.2.'!G562</f>
        <v>0</v>
      </c>
      <c r="H562" s="25">
        <f>0+'táj.2.'!H562</f>
        <v>0</v>
      </c>
      <c r="I562" s="25">
        <f>300+'táj.2.'!I562</f>
        <v>300</v>
      </c>
      <c r="J562" s="25">
        <f>0+'táj.2.'!J562</f>
        <v>0</v>
      </c>
      <c r="K562" s="25">
        <f>0+'táj.2.'!K562</f>
        <v>0</v>
      </c>
      <c r="L562" s="25">
        <f>0+'táj.2.'!L562</f>
        <v>0</v>
      </c>
      <c r="M562" s="25">
        <f>0+'táj.2.'!M562</f>
        <v>0</v>
      </c>
      <c r="N562" s="25">
        <f>0+'táj.2.'!N562</f>
        <v>0</v>
      </c>
      <c r="O562" s="25">
        <f>0+'táj.2.'!O562</f>
        <v>0</v>
      </c>
      <c r="P562" s="25">
        <f>0+'táj.2.'!P562</f>
        <v>0</v>
      </c>
      <c r="Q562" s="25">
        <f>SUM(G562:P562)</f>
        <v>300</v>
      </c>
    </row>
    <row r="563" spans="1:17" ht="15" customHeight="1">
      <c r="A563" s="23"/>
      <c r="B563" s="23"/>
      <c r="C563" s="342"/>
      <c r="D563" s="160" t="s">
        <v>903</v>
      </c>
      <c r="E563" s="668"/>
      <c r="F563" s="23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ht="15" customHeight="1">
      <c r="A564" s="23"/>
      <c r="B564" s="23"/>
      <c r="C564" s="342"/>
      <c r="D564" s="160" t="s">
        <v>904</v>
      </c>
      <c r="E564" s="668">
        <v>1</v>
      </c>
      <c r="F564" s="23">
        <v>181902</v>
      </c>
      <c r="G564" s="25">
        <f>0+'táj.2.'!G564</f>
        <v>0</v>
      </c>
      <c r="H564" s="25">
        <f>0+'táj.2.'!H564</f>
        <v>0</v>
      </c>
      <c r="I564" s="25">
        <f>200+'táj.2.'!I564</f>
        <v>200</v>
      </c>
      <c r="J564" s="25">
        <f>0+'táj.2.'!J564</f>
        <v>0</v>
      </c>
      <c r="K564" s="25">
        <f>0+'táj.2.'!K564</f>
        <v>0</v>
      </c>
      <c r="L564" s="25">
        <f>0+'táj.2.'!L564</f>
        <v>0</v>
      </c>
      <c r="M564" s="25">
        <f>0+'táj.2.'!M564</f>
        <v>0</v>
      </c>
      <c r="N564" s="25">
        <f>0+'táj.2.'!N564</f>
        <v>0</v>
      </c>
      <c r="O564" s="25">
        <f>0+'táj.2.'!O564</f>
        <v>0</v>
      </c>
      <c r="P564" s="25">
        <f>0+'táj.2.'!P564</f>
        <v>0</v>
      </c>
      <c r="Q564" s="25">
        <f>SUM(G564:P564)</f>
        <v>200</v>
      </c>
    </row>
    <row r="565" spans="1:17" ht="13.5" customHeight="1">
      <c r="A565" s="440"/>
      <c r="B565" s="440"/>
      <c r="C565" s="440"/>
      <c r="D565" s="24" t="s">
        <v>905</v>
      </c>
      <c r="E565" s="24">
        <v>1</v>
      </c>
      <c r="F565" s="23">
        <v>181904</v>
      </c>
      <c r="G565" s="25">
        <f>0+'táj.2.'!G565</f>
        <v>0</v>
      </c>
      <c r="H565" s="25">
        <f>0+'táj.2.'!H565</f>
        <v>0</v>
      </c>
      <c r="I565" s="25">
        <f>150+'táj.2.'!I565</f>
        <v>150</v>
      </c>
      <c r="J565" s="25">
        <f>0+'táj.2.'!J565</f>
        <v>0</v>
      </c>
      <c r="K565" s="25">
        <f>0+'táj.2.'!K565</f>
        <v>0</v>
      </c>
      <c r="L565" s="25">
        <f>0+'táj.2.'!L565</f>
        <v>0</v>
      </c>
      <c r="M565" s="25">
        <f>0+'táj.2.'!M565</f>
        <v>0</v>
      </c>
      <c r="N565" s="25">
        <f>0+'táj.2.'!N565</f>
        <v>0</v>
      </c>
      <c r="O565" s="25">
        <f>0+'táj.2.'!O565</f>
        <v>0</v>
      </c>
      <c r="P565" s="25">
        <f>0+'táj.2.'!P565</f>
        <v>0</v>
      </c>
      <c r="Q565" s="25">
        <f>SUM(G565:P565)</f>
        <v>150</v>
      </c>
    </row>
    <row r="566" spans="1:17" ht="15" customHeight="1">
      <c r="A566" s="19"/>
      <c r="B566" s="19"/>
      <c r="C566" s="18"/>
      <c r="D566" s="18" t="s">
        <v>906</v>
      </c>
      <c r="E566" s="669"/>
      <c r="F566" s="17"/>
      <c r="G566" s="19"/>
      <c r="H566" s="19"/>
      <c r="I566" s="19">
        <f aca="true" t="shared" si="38" ref="I566:N566">SUM(I554:I565)</f>
        <v>42676</v>
      </c>
      <c r="J566" s="19">
        <f t="shared" si="38"/>
        <v>0</v>
      </c>
      <c r="K566" s="19">
        <f t="shared" si="38"/>
        <v>0</v>
      </c>
      <c r="L566" s="19">
        <f t="shared" si="38"/>
        <v>0</v>
      </c>
      <c r="M566" s="19">
        <f t="shared" si="38"/>
        <v>0</v>
      </c>
      <c r="N566" s="19">
        <f t="shared" si="38"/>
        <v>0</v>
      </c>
      <c r="O566" s="19"/>
      <c r="P566" s="19">
        <f>SUM(P554:P565)</f>
        <v>0</v>
      </c>
      <c r="Q566" s="19">
        <f>SUM(Q554:Q565)</f>
        <v>42676</v>
      </c>
    </row>
    <row r="567" spans="1:17" ht="15" customHeight="1">
      <c r="A567" s="20"/>
      <c r="B567" s="20"/>
      <c r="C567" s="21"/>
      <c r="D567" s="443" t="s">
        <v>907</v>
      </c>
      <c r="E567" s="682"/>
      <c r="F567" s="145"/>
      <c r="G567" s="20"/>
      <c r="H567" s="20"/>
      <c r="I567" s="20"/>
      <c r="J567" s="20"/>
      <c r="K567" s="20"/>
      <c r="L567" s="15"/>
      <c r="M567" s="15"/>
      <c r="N567" s="15"/>
      <c r="O567" s="15"/>
      <c r="P567" s="15"/>
      <c r="Q567" s="15"/>
    </row>
    <row r="568" spans="1:17" ht="15" customHeight="1">
      <c r="A568" s="20"/>
      <c r="B568" s="20"/>
      <c r="C568" s="319" t="s">
        <v>592</v>
      </c>
      <c r="D568" s="101" t="s">
        <v>908</v>
      </c>
      <c r="E568" s="682"/>
      <c r="F568" s="13">
        <v>182903</v>
      </c>
      <c r="G568" s="15">
        <f>0+'táj.2.'!G568</f>
        <v>0</v>
      </c>
      <c r="H568" s="15">
        <f>0+'táj.2.'!H568</f>
        <v>0</v>
      </c>
      <c r="I568" s="15">
        <f>0+'táj.2.'!I568</f>
        <v>0</v>
      </c>
      <c r="J568" s="15">
        <f>0+'táj.2.'!J568</f>
        <v>0</v>
      </c>
      <c r="K568" s="15">
        <f>0+'táj.2.'!K568</f>
        <v>0</v>
      </c>
      <c r="L568" s="15">
        <f>700+'táj.2.'!L568</f>
        <v>700</v>
      </c>
      <c r="M568" s="15">
        <f>0+'táj.2.'!M568</f>
        <v>0</v>
      </c>
      <c r="N568" s="15">
        <f>0+'táj.2.'!N568</f>
        <v>0</v>
      </c>
      <c r="O568" s="15">
        <f>0+'táj.2.'!O568</f>
        <v>0</v>
      </c>
      <c r="P568" s="15">
        <f>0+'táj.2.'!P568</f>
        <v>0</v>
      </c>
      <c r="Q568" s="15">
        <f>SUM(G568:P568)</f>
        <v>700</v>
      </c>
    </row>
    <row r="569" spans="1:17" ht="15" customHeight="1">
      <c r="A569" s="20"/>
      <c r="B569" s="20"/>
      <c r="C569" s="319"/>
      <c r="D569" s="101" t="s">
        <v>160</v>
      </c>
      <c r="E569" s="682"/>
      <c r="F569" s="13"/>
      <c r="G569" s="15"/>
      <c r="H569" s="20"/>
      <c r="I569" s="20"/>
      <c r="J569" s="20"/>
      <c r="K569" s="20"/>
      <c r="L569" s="15"/>
      <c r="M569" s="15"/>
      <c r="N569" s="15"/>
      <c r="O569" s="15"/>
      <c r="P569" s="15"/>
      <c r="Q569" s="15"/>
    </row>
    <row r="570" spans="1:17" ht="15" customHeight="1">
      <c r="A570" s="20"/>
      <c r="B570" s="20"/>
      <c r="C570" s="319" t="s">
        <v>492</v>
      </c>
      <c r="D570" s="106" t="s">
        <v>1099</v>
      </c>
      <c r="E570" s="682"/>
      <c r="F570" s="13">
        <v>182904</v>
      </c>
      <c r="G570" s="15">
        <f>0+'táj.2.'!G570</f>
        <v>0</v>
      </c>
      <c r="H570" s="15">
        <f>0+'táj.2.'!H570</f>
        <v>0</v>
      </c>
      <c r="I570" s="15">
        <f>0+'táj.2.'!I570</f>
        <v>0</v>
      </c>
      <c r="J570" s="15">
        <f>0+'táj.2.'!J570</f>
        <v>0</v>
      </c>
      <c r="K570" s="15">
        <f>0+'táj.2.'!K570</f>
        <v>0</v>
      </c>
      <c r="L570" s="15">
        <f>500+'táj.2.'!L570</f>
        <v>500</v>
      </c>
      <c r="M570" s="15">
        <f>0+'táj.2.'!M570</f>
        <v>0</v>
      </c>
      <c r="N570" s="15">
        <f>0+'táj.2.'!N570</f>
        <v>0</v>
      </c>
      <c r="O570" s="15">
        <f>0+'táj.2.'!O570</f>
        <v>0</v>
      </c>
      <c r="P570" s="15">
        <f>0+'táj.2.'!P570</f>
        <v>0</v>
      </c>
      <c r="Q570" s="15">
        <f>SUM(L570:P570)</f>
        <v>500</v>
      </c>
    </row>
    <row r="571" spans="1:17" ht="15" customHeight="1">
      <c r="A571" s="19"/>
      <c r="B571" s="19"/>
      <c r="C571" s="18"/>
      <c r="D571" s="18" t="s">
        <v>465</v>
      </c>
      <c r="E571" s="669"/>
      <c r="F571" s="17"/>
      <c r="G571" s="19">
        <f aca="true" t="shared" si="39" ref="G571:Q571">SUM(G566:G570)</f>
        <v>0</v>
      </c>
      <c r="H571" s="19">
        <f t="shared" si="39"/>
        <v>0</v>
      </c>
      <c r="I571" s="19">
        <f t="shared" si="39"/>
        <v>42676</v>
      </c>
      <c r="J571" s="19">
        <f t="shared" si="39"/>
        <v>0</v>
      </c>
      <c r="K571" s="19">
        <f t="shared" si="39"/>
        <v>0</v>
      </c>
      <c r="L571" s="19">
        <f t="shared" si="39"/>
        <v>1200</v>
      </c>
      <c r="M571" s="19">
        <f t="shared" si="39"/>
        <v>0</v>
      </c>
      <c r="N571" s="19">
        <f t="shared" si="39"/>
        <v>0</v>
      </c>
      <c r="O571" s="19">
        <f t="shared" si="39"/>
        <v>0</v>
      </c>
      <c r="P571" s="19">
        <f t="shared" si="39"/>
        <v>0</v>
      </c>
      <c r="Q571" s="19">
        <f t="shared" si="39"/>
        <v>43876</v>
      </c>
    </row>
    <row r="572" spans="1:17" ht="15" customHeight="1">
      <c r="A572" s="23">
        <v>1</v>
      </c>
      <c r="B572" s="23">
        <v>19</v>
      </c>
      <c r="C572" s="342"/>
      <c r="D572" s="28" t="s">
        <v>909</v>
      </c>
      <c r="E572" s="681"/>
      <c r="F572" s="23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ht="15" customHeight="1">
      <c r="A573" s="23"/>
      <c r="B573" s="23"/>
      <c r="C573" s="342"/>
      <c r="D573" s="100" t="s">
        <v>910</v>
      </c>
      <c r="E573" s="685"/>
      <c r="F573" s="23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ht="15" customHeight="1">
      <c r="A574" s="23"/>
      <c r="B574" s="23"/>
      <c r="C574" s="342"/>
      <c r="D574" s="24" t="s">
        <v>911</v>
      </c>
      <c r="E574" s="668">
        <v>1</v>
      </c>
      <c r="F574" s="23">
        <v>191101</v>
      </c>
      <c r="G574" s="25">
        <f>0+'táj.2.'!G574</f>
        <v>0</v>
      </c>
      <c r="H574" s="25">
        <f>0+'táj.2.'!H574</f>
        <v>0</v>
      </c>
      <c r="I574" s="25">
        <f>10000+'táj.2.'!I574</f>
        <v>10000</v>
      </c>
      <c r="J574" s="25">
        <f>0+'táj.2.'!J574</f>
        <v>0</v>
      </c>
      <c r="K574" s="25">
        <f>0+'táj.2.'!K574</f>
        <v>0</v>
      </c>
      <c r="L574" s="25">
        <f>0+'táj.2.'!L574</f>
        <v>0</v>
      </c>
      <c r="M574" s="25">
        <f>0+'táj.2.'!M574</f>
        <v>0</v>
      </c>
      <c r="N574" s="25">
        <f>0+'táj.2.'!N574</f>
        <v>0</v>
      </c>
      <c r="O574" s="25">
        <f>0+'táj.2.'!O574</f>
        <v>0</v>
      </c>
      <c r="P574" s="25">
        <f>0+'táj.2.'!P574</f>
        <v>0</v>
      </c>
      <c r="Q574" s="25">
        <f>SUM(G574:P574)</f>
        <v>10000</v>
      </c>
    </row>
    <row r="575" spans="1:17" ht="15" customHeight="1">
      <c r="A575" s="23"/>
      <c r="B575" s="23"/>
      <c r="C575" s="342"/>
      <c r="D575" s="297" t="s">
        <v>437</v>
      </c>
      <c r="E575" s="672"/>
      <c r="F575" s="594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ht="15" customHeight="1">
      <c r="A576" s="23"/>
      <c r="B576" s="23"/>
      <c r="C576" s="342"/>
      <c r="D576" s="24" t="s">
        <v>912</v>
      </c>
      <c r="E576" s="668">
        <v>1</v>
      </c>
      <c r="F576" s="23">
        <v>191102</v>
      </c>
      <c r="G576" s="25">
        <f>0+'táj.2.'!G576</f>
        <v>0</v>
      </c>
      <c r="H576" s="25">
        <f>0+'táj.2.'!H576</f>
        <v>0</v>
      </c>
      <c r="I576" s="25">
        <f>20000+'táj.2.'!I576</f>
        <v>20000</v>
      </c>
      <c r="J576" s="25">
        <f>0+'táj.2.'!J576</f>
        <v>0</v>
      </c>
      <c r="K576" s="25">
        <f>0+'táj.2.'!K576</f>
        <v>0</v>
      </c>
      <c r="L576" s="25">
        <f>0+'táj.2.'!L576</f>
        <v>0</v>
      </c>
      <c r="M576" s="25">
        <f>0+'táj.2.'!M576</f>
        <v>0</v>
      </c>
      <c r="N576" s="25">
        <f>0+'táj.2.'!N576</f>
        <v>0</v>
      </c>
      <c r="O576" s="25">
        <f>0+'táj.2.'!O576</f>
        <v>0</v>
      </c>
      <c r="P576" s="25">
        <f>0+'táj.2.'!P576</f>
        <v>0</v>
      </c>
      <c r="Q576" s="25">
        <f>SUM(G576:P576)</f>
        <v>20000</v>
      </c>
    </row>
    <row r="577" spans="1:17" ht="15" customHeight="1">
      <c r="A577" s="23"/>
      <c r="B577" s="23"/>
      <c r="C577" s="342"/>
      <c r="D577" s="24" t="s">
        <v>654</v>
      </c>
      <c r="E577" s="24">
        <v>1</v>
      </c>
      <c r="F577" s="23">
        <v>191103</v>
      </c>
      <c r="G577" s="25">
        <f>0+'táj.2.'!G577</f>
        <v>0</v>
      </c>
      <c r="H577" s="25">
        <f>0+'táj.2.'!H577</f>
        <v>0</v>
      </c>
      <c r="I577" s="25">
        <f>238762+'táj.2.'!I577</f>
        <v>238762</v>
      </c>
      <c r="J577" s="25">
        <f>0+'táj.2.'!J577</f>
        <v>0</v>
      </c>
      <c r="K577" s="25">
        <f>0+'táj.2.'!K577</f>
        <v>0</v>
      </c>
      <c r="L577" s="25">
        <f>0+'táj.2.'!L577</f>
        <v>0</v>
      </c>
      <c r="M577" s="25">
        <f>0+'táj.2.'!M577</f>
        <v>0</v>
      </c>
      <c r="N577" s="25">
        <f>0+'táj.2.'!N577</f>
        <v>0</v>
      </c>
      <c r="O577" s="25">
        <f>0+'táj.2.'!O577</f>
        <v>0</v>
      </c>
      <c r="P577" s="25">
        <f>0+'táj.2.'!P577</f>
        <v>0</v>
      </c>
      <c r="Q577" s="25">
        <f>SUM(G577:P577)</f>
        <v>238762</v>
      </c>
    </row>
    <row r="578" spans="1:17" ht="15" customHeight="1">
      <c r="A578" s="23"/>
      <c r="B578" s="23"/>
      <c r="C578" s="342"/>
      <c r="D578" s="24" t="s">
        <v>913</v>
      </c>
      <c r="E578" s="24">
        <v>1</v>
      </c>
      <c r="F578" s="23">
        <v>191105</v>
      </c>
      <c r="G578" s="25">
        <f>0+'táj.2.'!G578</f>
        <v>0</v>
      </c>
      <c r="H578" s="25">
        <f>0+'táj.2.'!H578</f>
        <v>0</v>
      </c>
      <c r="I578" s="25">
        <f>2900+'táj.2.'!I578</f>
        <v>2900</v>
      </c>
      <c r="J578" s="25">
        <f>0+'táj.2.'!J578</f>
        <v>0</v>
      </c>
      <c r="K578" s="25">
        <f>0+'táj.2.'!K578</f>
        <v>0</v>
      </c>
      <c r="L578" s="25">
        <f>0+'táj.2.'!L578</f>
        <v>0</v>
      </c>
      <c r="M578" s="25">
        <f>0+'táj.2.'!M578</f>
        <v>0</v>
      </c>
      <c r="N578" s="25">
        <f>0+'táj.2.'!N578</f>
        <v>0</v>
      </c>
      <c r="O578" s="25">
        <f>0+'táj.2.'!O578</f>
        <v>0</v>
      </c>
      <c r="P578" s="25">
        <f>0+'táj.2.'!P578</f>
        <v>0</v>
      </c>
      <c r="Q578" s="25">
        <f>SUM(G578:P578)</f>
        <v>2900</v>
      </c>
    </row>
    <row r="579" spans="1:17" ht="15" customHeight="1">
      <c r="A579" s="23"/>
      <c r="B579" s="23"/>
      <c r="C579" s="342"/>
      <c r="D579" s="24" t="s">
        <v>914</v>
      </c>
      <c r="E579" s="24">
        <v>1</v>
      </c>
      <c r="F579" s="23">
        <v>196901</v>
      </c>
      <c r="G579" s="25">
        <f>0+'táj.2.'!G579</f>
        <v>0</v>
      </c>
      <c r="H579" s="25">
        <f>0+'táj.2.'!H579</f>
        <v>0</v>
      </c>
      <c r="I579" s="25">
        <f>400+'táj.2.'!I579</f>
        <v>400</v>
      </c>
      <c r="J579" s="25">
        <f>0+'táj.2.'!J579</f>
        <v>0</v>
      </c>
      <c r="K579" s="25">
        <f>0+'táj.2.'!K579</f>
        <v>0</v>
      </c>
      <c r="L579" s="25">
        <f>0+'táj.2.'!L579</f>
        <v>0</v>
      </c>
      <c r="M579" s="25">
        <f>0+'táj.2.'!M579</f>
        <v>0</v>
      </c>
      <c r="N579" s="25">
        <f>4600+'táj.2.'!N579</f>
        <v>4600</v>
      </c>
      <c r="O579" s="25">
        <f>0+'táj.2.'!O579</f>
        <v>0</v>
      </c>
      <c r="P579" s="25">
        <f>0+'táj.2.'!P579</f>
        <v>0</v>
      </c>
      <c r="Q579" s="25">
        <f>SUM(G579:P579)</f>
        <v>5000</v>
      </c>
    </row>
    <row r="580" spans="1:17" ht="15" customHeight="1">
      <c r="A580" s="23"/>
      <c r="B580" s="23"/>
      <c r="C580" s="342"/>
      <c r="D580" s="24" t="s">
        <v>410</v>
      </c>
      <c r="E580" s="24"/>
      <c r="F580" s="23"/>
      <c r="G580" s="25"/>
      <c r="H580" s="25"/>
      <c r="I580" s="15"/>
      <c r="J580" s="25"/>
      <c r="K580" s="25"/>
      <c r="L580" s="25"/>
      <c r="M580" s="25"/>
      <c r="N580" s="25"/>
      <c r="O580" s="25"/>
      <c r="P580" s="25"/>
      <c r="Q580" s="25"/>
    </row>
    <row r="581" spans="1:17" ht="15" customHeight="1">
      <c r="A581" s="23"/>
      <c r="B581" s="23"/>
      <c r="C581" s="342"/>
      <c r="D581" s="24" t="s">
        <v>915</v>
      </c>
      <c r="E581" s="24">
        <v>1</v>
      </c>
      <c r="F581" s="23">
        <v>191104</v>
      </c>
      <c r="G581" s="25">
        <f>0+'táj.2.'!G581</f>
        <v>0</v>
      </c>
      <c r="H581" s="25">
        <f>0+'táj.2.'!H581</f>
        <v>0</v>
      </c>
      <c r="I581" s="25">
        <f>5000+'táj.2.'!I581</f>
        <v>5000</v>
      </c>
      <c r="J581" s="25">
        <f>0+'táj.2.'!J581</f>
        <v>0</v>
      </c>
      <c r="K581" s="25">
        <f>0+'táj.2.'!K581</f>
        <v>0</v>
      </c>
      <c r="L581" s="25">
        <f>0+'táj.2.'!L581</f>
        <v>0</v>
      </c>
      <c r="M581" s="25">
        <f>0+'táj.2.'!M581</f>
        <v>0</v>
      </c>
      <c r="N581" s="25">
        <f>0+'táj.2.'!N581</f>
        <v>0</v>
      </c>
      <c r="O581" s="25">
        <f>0+'táj.2.'!O581</f>
        <v>0</v>
      </c>
      <c r="P581" s="25">
        <f>0+'táj.2.'!P581</f>
        <v>0</v>
      </c>
      <c r="Q581" s="25">
        <f>SUM(G581:P581)</f>
        <v>5000</v>
      </c>
    </row>
    <row r="582" spans="1:17" ht="13.5" customHeight="1">
      <c r="A582" s="23"/>
      <c r="B582" s="23"/>
      <c r="C582" s="342"/>
      <c r="D582" s="101" t="s">
        <v>916</v>
      </c>
      <c r="E582" s="24"/>
      <c r="F582" s="23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ht="13.5" customHeight="1">
      <c r="A583" s="23"/>
      <c r="B583" s="23"/>
      <c r="C583" s="342"/>
      <c r="D583" s="24" t="s">
        <v>917</v>
      </c>
      <c r="E583" s="24">
        <v>2</v>
      </c>
      <c r="F583" s="23">
        <v>191109</v>
      </c>
      <c r="G583" s="25">
        <f>0+'táj.2.'!G583</f>
        <v>0</v>
      </c>
      <c r="H583" s="25">
        <f>0+'táj.2.'!H583</f>
        <v>0</v>
      </c>
      <c r="I583" s="25">
        <f>0+'táj.2.'!I583</f>
        <v>0</v>
      </c>
      <c r="J583" s="25">
        <f>0+'táj.2.'!J583</f>
        <v>0</v>
      </c>
      <c r="K583" s="25">
        <f>3500+'táj.2.'!K583</f>
        <v>3500</v>
      </c>
      <c r="L583" s="25">
        <f>0+'táj.2.'!L583</f>
        <v>0</v>
      </c>
      <c r="M583" s="25">
        <f>0+'táj.2.'!M583</f>
        <v>0</v>
      </c>
      <c r="N583" s="25">
        <f>0+'táj.2.'!N583</f>
        <v>0</v>
      </c>
      <c r="O583" s="25">
        <f>0+'táj.2.'!O583</f>
        <v>0</v>
      </c>
      <c r="P583" s="25">
        <f>0+'táj.2.'!P583</f>
        <v>0</v>
      </c>
      <c r="Q583" s="25">
        <f>SUM(G583:P583)</f>
        <v>3500</v>
      </c>
    </row>
    <row r="584" spans="1:17" ht="13.5" customHeight="1">
      <c r="A584" s="23"/>
      <c r="B584" s="23"/>
      <c r="C584" s="342"/>
      <c r="D584" s="24" t="s">
        <v>918</v>
      </c>
      <c r="E584" s="24"/>
      <c r="F584" s="23"/>
      <c r="G584" s="25"/>
      <c r="H584" s="15"/>
      <c r="I584" s="15"/>
      <c r="J584" s="15"/>
      <c r="K584" s="15"/>
      <c r="L584" s="25"/>
      <c r="M584" s="25"/>
      <c r="N584" s="25"/>
      <c r="O584" s="25"/>
      <c r="P584" s="25"/>
      <c r="Q584" s="25"/>
    </row>
    <row r="585" spans="1:17" ht="13.5" customHeight="1">
      <c r="A585" s="23"/>
      <c r="B585" s="23"/>
      <c r="C585" s="342"/>
      <c r="D585" s="24" t="s">
        <v>919</v>
      </c>
      <c r="E585" s="24">
        <v>2</v>
      </c>
      <c r="F585" s="23">
        <v>191401</v>
      </c>
      <c r="G585" s="25">
        <f>0+'táj.2.'!G585</f>
        <v>0</v>
      </c>
      <c r="H585" s="25">
        <f>0+'táj.2.'!H585</f>
        <v>0</v>
      </c>
      <c r="I585" s="25">
        <f>0+'táj.2.'!I585</f>
        <v>0</v>
      </c>
      <c r="J585" s="25">
        <f>0+'táj.2.'!J585</f>
        <v>0</v>
      </c>
      <c r="K585" s="25">
        <f>3000+'táj.2.'!K585</f>
        <v>3000</v>
      </c>
      <c r="L585" s="25">
        <f>0+'táj.2.'!L585</f>
        <v>0</v>
      </c>
      <c r="M585" s="25">
        <f>0+'táj.2.'!M585</f>
        <v>0</v>
      </c>
      <c r="N585" s="25">
        <f>0+'táj.2.'!N585</f>
        <v>0</v>
      </c>
      <c r="O585" s="25">
        <f>0+'táj.2.'!O585</f>
        <v>0</v>
      </c>
      <c r="P585" s="25">
        <f>0+'táj.2.'!P585</f>
        <v>0</v>
      </c>
      <c r="Q585" s="25">
        <f>SUM(G585:P585)</f>
        <v>3000</v>
      </c>
    </row>
    <row r="586" spans="1:17" ht="15" customHeight="1">
      <c r="A586" s="23"/>
      <c r="B586" s="23"/>
      <c r="C586" s="342"/>
      <c r="D586" s="297" t="s">
        <v>437</v>
      </c>
      <c r="E586" s="672"/>
      <c r="F586" s="594"/>
      <c r="G586" s="25"/>
      <c r="H586" s="15"/>
      <c r="I586" s="15"/>
      <c r="J586" s="15"/>
      <c r="K586" s="15"/>
      <c r="L586" s="25"/>
      <c r="M586" s="25"/>
      <c r="N586" s="25"/>
      <c r="O586" s="25"/>
      <c r="P586" s="25"/>
      <c r="Q586" s="25"/>
    </row>
    <row r="587" spans="1:17" ht="24.75" customHeight="1">
      <c r="A587" s="23"/>
      <c r="B587" s="23"/>
      <c r="C587" s="342"/>
      <c r="D587" s="162" t="s">
        <v>411</v>
      </c>
      <c r="E587" s="668">
        <v>1</v>
      </c>
      <c r="F587" s="23">
        <v>191905</v>
      </c>
      <c r="G587" s="25">
        <f>0+'táj.2.'!G587</f>
        <v>0</v>
      </c>
      <c r="H587" s="25">
        <f>0+'táj.2.'!H587</f>
        <v>0</v>
      </c>
      <c r="I587" s="25">
        <f>0+'táj.2.'!I587</f>
        <v>0</v>
      </c>
      <c r="J587" s="25">
        <f>0+'táj.2.'!J587</f>
        <v>0</v>
      </c>
      <c r="K587" s="25">
        <f>362129+'táj.2.'!K587</f>
        <v>362129</v>
      </c>
      <c r="L587" s="25">
        <f>0+'táj.2.'!L587</f>
        <v>0</v>
      </c>
      <c r="M587" s="25">
        <f>0+'táj.2.'!M587</f>
        <v>0</v>
      </c>
      <c r="N587" s="25">
        <f>0+'táj.2.'!N587</f>
        <v>0</v>
      </c>
      <c r="O587" s="25">
        <f>0+'táj.2.'!O587</f>
        <v>0</v>
      </c>
      <c r="P587" s="25">
        <f>0+'táj.2.'!P587</f>
        <v>0</v>
      </c>
      <c r="Q587" s="25">
        <f>SUM(G587:P587)</f>
        <v>362129</v>
      </c>
    </row>
    <row r="588" spans="1:17" ht="24.75" customHeight="1">
      <c r="A588" s="23"/>
      <c r="B588" s="23"/>
      <c r="C588" s="342"/>
      <c r="D588" s="160" t="s">
        <v>1008</v>
      </c>
      <c r="E588" s="668">
        <v>1</v>
      </c>
      <c r="F588" s="23">
        <v>191128</v>
      </c>
      <c r="G588" s="25">
        <f>'táj.2.'!G588</f>
        <v>0</v>
      </c>
      <c r="H588" s="25">
        <f>'táj.2.'!H588</f>
        <v>0</v>
      </c>
      <c r="I588" s="25">
        <f>'táj.2.'!I588</f>
        <v>0</v>
      </c>
      <c r="J588" s="25">
        <f>'táj.2.'!J588</f>
        <v>0</v>
      </c>
      <c r="K588" s="25">
        <f>4167+'táj.2.'!K588</f>
        <v>4167</v>
      </c>
      <c r="L588" s="25">
        <f>'táj.2.'!L588</f>
        <v>0</v>
      </c>
      <c r="M588" s="25">
        <f>'táj.2.'!M588</f>
        <v>0</v>
      </c>
      <c r="N588" s="25">
        <f>'táj.2.'!N588</f>
        <v>0</v>
      </c>
      <c r="O588" s="25">
        <f>'táj.2.'!O588</f>
        <v>0</v>
      </c>
      <c r="P588" s="25">
        <f>'táj.2.'!P588</f>
        <v>0</v>
      </c>
      <c r="Q588" s="25">
        <f>SUM(G588:P588)</f>
        <v>4167</v>
      </c>
    </row>
    <row r="589" spans="1:17" ht="13.5" customHeight="1">
      <c r="A589" s="23"/>
      <c r="B589" s="23"/>
      <c r="C589" s="342"/>
      <c r="D589" s="24" t="s">
        <v>920</v>
      </c>
      <c r="E589" s="668"/>
      <c r="F589" s="23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ht="13.5" customHeight="1">
      <c r="A590" s="23"/>
      <c r="B590" s="23"/>
      <c r="C590" s="342"/>
      <c r="D590" s="24" t="s">
        <v>921</v>
      </c>
      <c r="E590" s="24">
        <v>2</v>
      </c>
      <c r="F590" s="23">
        <v>191151</v>
      </c>
      <c r="G590" s="25">
        <f>0+'táj.2.'!G590</f>
        <v>0</v>
      </c>
      <c r="H590" s="25">
        <f>0+'táj.2.'!H590</f>
        <v>0</v>
      </c>
      <c r="I590" s="25">
        <f>0+'táj.2.'!I590</f>
        <v>0</v>
      </c>
      <c r="J590" s="25">
        <f>0+'táj.2.'!J590</f>
        <v>0</v>
      </c>
      <c r="K590" s="25">
        <f>50000+'táj.2.'!K590</f>
        <v>50000</v>
      </c>
      <c r="L590" s="25">
        <f>0+'táj.2.'!L590</f>
        <v>0</v>
      </c>
      <c r="M590" s="25">
        <f>0+'táj.2.'!M590</f>
        <v>0</v>
      </c>
      <c r="N590" s="25">
        <f>0+'táj.2.'!N590</f>
        <v>0</v>
      </c>
      <c r="O590" s="25">
        <f>0+'táj.2.'!O590</f>
        <v>0</v>
      </c>
      <c r="P590" s="25">
        <f>0+'táj.2.'!P590</f>
        <v>0</v>
      </c>
      <c r="Q590" s="25">
        <f>SUM(G590:P590)</f>
        <v>50000</v>
      </c>
    </row>
    <row r="591" spans="1:17" ht="15" customHeight="1">
      <c r="A591" s="23"/>
      <c r="B591" s="23"/>
      <c r="C591" s="342"/>
      <c r="D591" s="297" t="s">
        <v>437</v>
      </c>
      <c r="E591" s="672"/>
      <c r="F591" s="594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13.5" customHeight="1">
      <c r="A592" s="23"/>
      <c r="B592" s="23"/>
      <c r="C592" s="342"/>
      <c r="D592" s="24" t="s">
        <v>922</v>
      </c>
      <c r="E592" s="24">
        <v>1</v>
      </c>
      <c r="F592" s="23">
        <v>191121</v>
      </c>
      <c r="G592" s="25">
        <f>0+'táj.2.'!G592</f>
        <v>0</v>
      </c>
      <c r="H592" s="25">
        <f>0+'táj.2.'!H592</f>
        <v>0</v>
      </c>
      <c r="I592" s="25">
        <f>13000+'táj.2.'!I592</f>
        <v>13000</v>
      </c>
      <c r="J592" s="25">
        <f>0+'táj.2.'!J592</f>
        <v>0</v>
      </c>
      <c r="K592" s="25">
        <f>0+'táj.2.'!K592</f>
        <v>0</v>
      </c>
      <c r="L592" s="25">
        <f>0+'táj.2.'!L592</f>
        <v>0</v>
      </c>
      <c r="M592" s="25">
        <f>0+'táj.2.'!M592</f>
        <v>0</v>
      </c>
      <c r="N592" s="25">
        <f>0+'táj.2.'!N592</f>
        <v>0</v>
      </c>
      <c r="O592" s="25">
        <f>0+'táj.2.'!O592</f>
        <v>0</v>
      </c>
      <c r="P592" s="25">
        <f>0+'táj.2.'!P592</f>
        <v>0</v>
      </c>
      <c r="Q592" s="25">
        <f>SUM(G592:P592)</f>
        <v>13000</v>
      </c>
    </row>
    <row r="593" spans="1:17" ht="13.5" customHeight="1">
      <c r="A593" s="23"/>
      <c r="B593" s="23"/>
      <c r="C593" s="342"/>
      <c r="D593" s="24" t="s">
        <v>923</v>
      </c>
      <c r="E593" s="668"/>
      <c r="F593" s="23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ht="24.75" customHeight="1">
      <c r="A594" s="23"/>
      <c r="B594" s="23"/>
      <c r="C594" s="342"/>
      <c r="D594" s="160" t="s">
        <v>924</v>
      </c>
      <c r="E594" s="672">
        <v>2</v>
      </c>
      <c r="F594" s="594">
        <v>191142</v>
      </c>
      <c r="G594" s="25">
        <f>0+'táj.2.'!G594</f>
        <v>0</v>
      </c>
      <c r="H594" s="25">
        <f>0+'táj.2.'!H594</f>
        <v>0</v>
      </c>
      <c r="I594" s="25">
        <f>0+'táj.2.'!I594</f>
        <v>0</v>
      </c>
      <c r="J594" s="25">
        <f>0+'táj.2.'!J594</f>
        <v>0</v>
      </c>
      <c r="K594" s="25">
        <f>1000+'táj.2.'!K594</f>
        <v>1000</v>
      </c>
      <c r="L594" s="25">
        <f>0+'táj.2.'!L594</f>
        <v>0</v>
      </c>
      <c r="M594" s="25">
        <f>0+'táj.2.'!M594</f>
        <v>0</v>
      </c>
      <c r="N594" s="25">
        <f>0+'táj.2.'!N594</f>
        <v>0</v>
      </c>
      <c r="O594" s="25">
        <f>0+'táj.2.'!O594</f>
        <v>0</v>
      </c>
      <c r="P594" s="25">
        <f>0+'táj.2.'!P594</f>
        <v>0</v>
      </c>
      <c r="Q594" s="25">
        <f>SUM(G594:P594)</f>
        <v>1000</v>
      </c>
    </row>
    <row r="595" spans="1:17" ht="21.75" customHeight="1">
      <c r="A595" s="23"/>
      <c r="B595" s="23"/>
      <c r="C595" s="342"/>
      <c r="D595" s="160" t="s">
        <v>925</v>
      </c>
      <c r="E595" s="672">
        <v>2</v>
      </c>
      <c r="F595" s="594">
        <v>191154</v>
      </c>
      <c r="G595" s="25">
        <f>0+'táj.2.'!G595</f>
        <v>0</v>
      </c>
      <c r="H595" s="25">
        <f>0+'táj.2.'!H595</f>
        <v>0</v>
      </c>
      <c r="I595" s="25">
        <f>0+'táj.2.'!I595</f>
        <v>0</v>
      </c>
      <c r="J595" s="25">
        <f>0+'táj.2.'!J595</f>
        <v>0</v>
      </c>
      <c r="K595" s="25">
        <f>2000+'táj.2.'!K595</f>
        <v>2000</v>
      </c>
      <c r="L595" s="25">
        <f>0+'táj.2.'!L595</f>
        <v>0</v>
      </c>
      <c r="M595" s="25">
        <f>0+'táj.2.'!M595</f>
        <v>0</v>
      </c>
      <c r="N595" s="25">
        <f>0+'táj.2.'!N595</f>
        <v>0</v>
      </c>
      <c r="O595" s="25">
        <f>0+'táj.2.'!O595</f>
        <v>0</v>
      </c>
      <c r="P595" s="25">
        <f>0+'táj.2.'!P595</f>
        <v>0</v>
      </c>
      <c r="Q595" s="25">
        <f>SUM(G595:P595)</f>
        <v>2000</v>
      </c>
    </row>
    <row r="596" spans="1:17" ht="13.5" customHeight="1">
      <c r="A596" s="23"/>
      <c r="B596" s="23"/>
      <c r="C596" s="342"/>
      <c r="D596" s="24" t="s">
        <v>926</v>
      </c>
      <c r="E596" s="668"/>
      <c r="F596" s="23"/>
      <c r="G596" s="25">
        <f>0+'táj.2.'!G596</f>
        <v>0</v>
      </c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13.5" customHeight="1">
      <c r="A597" s="23"/>
      <c r="B597" s="23"/>
      <c r="C597" s="342"/>
      <c r="D597" s="160" t="s">
        <v>927</v>
      </c>
      <c r="E597" s="676">
        <v>1</v>
      </c>
      <c r="F597" s="595">
        <v>191129</v>
      </c>
      <c r="G597" s="25">
        <f>0+'táj.2.'!G597</f>
        <v>0</v>
      </c>
      <c r="H597" s="25">
        <f>0+'táj.2.'!H597</f>
        <v>0</v>
      </c>
      <c r="I597" s="25">
        <f>0+'táj.2.'!I597</f>
        <v>0</v>
      </c>
      <c r="J597" s="25">
        <f>0+'táj.2.'!J597</f>
        <v>0</v>
      </c>
      <c r="K597" s="25">
        <f>150000+'táj.2.'!K597</f>
        <v>150000</v>
      </c>
      <c r="L597" s="25">
        <f>0+'táj.2.'!L597</f>
        <v>0</v>
      </c>
      <c r="M597" s="25">
        <f>0+'táj.2.'!M597</f>
        <v>0</v>
      </c>
      <c r="N597" s="25">
        <f>0+'táj.2.'!N597</f>
        <v>0</v>
      </c>
      <c r="O597" s="25">
        <f>0+'táj.2.'!O597</f>
        <v>0</v>
      </c>
      <c r="P597" s="25">
        <f>0+'táj.2.'!P597</f>
        <v>0</v>
      </c>
      <c r="Q597" s="25">
        <f>SUM(G597:P597)</f>
        <v>150000</v>
      </c>
    </row>
    <row r="598" spans="1:17" ht="24.75" customHeight="1">
      <c r="A598" s="23"/>
      <c r="B598" s="23"/>
      <c r="C598" s="342"/>
      <c r="D598" s="160" t="s">
        <v>0</v>
      </c>
      <c r="E598" s="672"/>
      <c r="F598" s="594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ht="21.75" customHeight="1">
      <c r="A599" s="23"/>
      <c r="B599" s="23"/>
      <c r="C599" s="342"/>
      <c r="D599" s="160" t="s">
        <v>928</v>
      </c>
      <c r="E599" s="672">
        <v>1</v>
      </c>
      <c r="F599" s="594">
        <v>191152</v>
      </c>
      <c r="G599" s="25">
        <f>0+'táj.2.'!G599</f>
        <v>0</v>
      </c>
      <c r="H599" s="25">
        <f>0+'táj.2.'!H599</f>
        <v>0</v>
      </c>
      <c r="I599" s="25">
        <f>22050+'táj.2.'!I599</f>
        <v>22050</v>
      </c>
      <c r="J599" s="25">
        <f>0+'táj.2.'!J599</f>
        <v>0</v>
      </c>
      <c r="K599" s="25">
        <f>0+'táj.2.'!K599</f>
        <v>0</v>
      </c>
      <c r="L599" s="25">
        <f>0+'táj.2.'!L599</f>
        <v>0</v>
      </c>
      <c r="M599" s="25">
        <f>0+'táj.2.'!M599</f>
        <v>0</v>
      </c>
      <c r="N599" s="25">
        <f>0+'táj.2.'!N599</f>
        <v>0</v>
      </c>
      <c r="O599" s="25">
        <f>0+'táj.2.'!O599</f>
        <v>0</v>
      </c>
      <c r="P599" s="25">
        <f>0+'táj.2.'!P599</f>
        <v>0</v>
      </c>
      <c r="Q599" s="25">
        <f>SUM(G599:P599)</f>
        <v>22050</v>
      </c>
    </row>
    <row r="600" spans="1:17" ht="13.5" customHeight="1">
      <c r="A600" s="23"/>
      <c r="B600" s="23"/>
      <c r="C600" s="342"/>
      <c r="D600" s="100" t="s">
        <v>85</v>
      </c>
      <c r="E600" s="668"/>
      <c r="F600" s="23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>
        <f>SUM(G600:P600)</f>
        <v>0</v>
      </c>
    </row>
    <row r="601" spans="1:17" ht="13.5" customHeight="1">
      <c r="A601" s="23"/>
      <c r="B601" s="23"/>
      <c r="C601" s="342"/>
      <c r="D601" s="24" t="s">
        <v>84</v>
      </c>
      <c r="E601" s="24">
        <v>2</v>
      </c>
      <c r="F601" s="23">
        <v>191801</v>
      </c>
      <c r="G601" s="25">
        <f>0+'táj.2.'!G601</f>
        <v>0</v>
      </c>
      <c r="H601" s="25">
        <f>0+'táj.2.'!H601</f>
        <v>0</v>
      </c>
      <c r="I601" s="25">
        <f>0+'táj.2.'!I601</f>
        <v>0</v>
      </c>
      <c r="J601" s="25">
        <f>0+'táj.2.'!J601</f>
        <v>0</v>
      </c>
      <c r="K601" s="25">
        <f>39240+'táj.2.'!K601</f>
        <v>39240</v>
      </c>
      <c r="L601" s="25">
        <f>0+'táj.2.'!L601</f>
        <v>0</v>
      </c>
      <c r="M601" s="25">
        <f>0+'táj.2.'!M601</f>
        <v>0</v>
      </c>
      <c r="N601" s="25">
        <f>0+'táj.2.'!N601</f>
        <v>0</v>
      </c>
      <c r="O601" s="25">
        <f>0+'táj.2.'!O601</f>
        <v>0</v>
      </c>
      <c r="P601" s="25">
        <f>0+'táj.2.'!P601</f>
        <v>0</v>
      </c>
      <c r="Q601" s="25">
        <f>SUM(G601:P601)</f>
        <v>39240</v>
      </c>
    </row>
    <row r="602" spans="1:17" ht="13.5" customHeight="1">
      <c r="A602" s="17"/>
      <c r="B602" s="17"/>
      <c r="C602" s="300"/>
      <c r="D602" s="18" t="s">
        <v>930</v>
      </c>
      <c r="E602" s="669"/>
      <c r="F602" s="17"/>
      <c r="G602" s="19">
        <f aca="true" t="shared" si="40" ref="G602:Q602">SUM(G572:G601)</f>
        <v>0</v>
      </c>
      <c r="H602" s="19">
        <f t="shared" si="40"/>
        <v>0</v>
      </c>
      <c r="I602" s="19">
        <f t="shared" si="40"/>
        <v>312112</v>
      </c>
      <c r="J602" s="19">
        <f t="shared" si="40"/>
        <v>0</v>
      </c>
      <c r="K602" s="19">
        <f t="shared" si="40"/>
        <v>615036</v>
      </c>
      <c r="L602" s="19">
        <f t="shared" si="40"/>
        <v>0</v>
      </c>
      <c r="M602" s="19">
        <f t="shared" si="40"/>
        <v>0</v>
      </c>
      <c r="N602" s="19">
        <f t="shared" si="40"/>
        <v>4600</v>
      </c>
      <c r="O602" s="19">
        <f t="shared" si="40"/>
        <v>0</v>
      </c>
      <c r="P602" s="19">
        <f t="shared" si="40"/>
        <v>0</v>
      </c>
      <c r="Q602" s="19">
        <f t="shared" si="40"/>
        <v>931748</v>
      </c>
    </row>
    <row r="603" spans="1:17" ht="13.5" customHeight="1">
      <c r="A603" s="149"/>
      <c r="B603" s="149"/>
      <c r="C603" s="430"/>
      <c r="D603" s="24" t="s">
        <v>931</v>
      </c>
      <c r="E603" s="681"/>
      <c r="F603" s="23"/>
      <c r="G603" s="26"/>
      <c r="H603" s="26"/>
      <c r="I603" s="26"/>
      <c r="J603" s="25"/>
      <c r="K603" s="25"/>
      <c r="L603" s="26"/>
      <c r="M603" s="26"/>
      <c r="N603" s="25"/>
      <c r="O603" s="25"/>
      <c r="P603" s="26"/>
      <c r="Q603" s="25"/>
    </row>
    <row r="604" spans="1:17" ht="13.5" customHeight="1">
      <c r="A604" s="149"/>
      <c r="B604" s="149"/>
      <c r="C604" s="430"/>
      <c r="D604" s="24"/>
      <c r="E604" s="681"/>
      <c r="F604" s="23"/>
      <c r="G604" s="26"/>
      <c r="H604" s="26"/>
      <c r="I604" s="26"/>
      <c r="J604" s="25"/>
      <c r="K604" s="25"/>
      <c r="L604" s="25"/>
      <c r="M604" s="25"/>
      <c r="N604" s="25"/>
      <c r="O604" s="25"/>
      <c r="P604" s="26"/>
      <c r="Q604" s="25">
        <f>SUM(G604:P604)</f>
        <v>0</v>
      </c>
    </row>
    <row r="605" spans="1:17" ht="13.5" customHeight="1">
      <c r="A605" s="17"/>
      <c r="B605" s="17"/>
      <c r="C605" s="300"/>
      <c r="D605" s="18" t="s">
        <v>641</v>
      </c>
      <c r="E605" s="669"/>
      <c r="F605" s="17"/>
      <c r="G605" s="19">
        <f aca="true" t="shared" si="41" ref="G605:Q605">SUM(G602:G604)</f>
        <v>0</v>
      </c>
      <c r="H605" s="19">
        <f t="shared" si="41"/>
        <v>0</v>
      </c>
      <c r="I605" s="19">
        <f t="shared" si="41"/>
        <v>312112</v>
      </c>
      <c r="J605" s="19">
        <f t="shared" si="41"/>
        <v>0</v>
      </c>
      <c r="K605" s="19">
        <f t="shared" si="41"/>
        <v>615036</v>
      </c>
      <c r="L605" s="19">
        <f t="shared" si="41"/>
        <v>0</v>
      </c>
      <c r="M605" s="19">
        <f t="shared" si="41"/>
        <v>0</v>
      </c>
      <c r="N605" s="19">
        <f t="shared" si="41"/>
        <v>4600</v>
      </c>
      <c r="O605" s="19">
        <f t="shared" si="41"/>
        <v>0</v>
      </c>
      <c r="P605" s="19">
        <f t="shared" si="41"/>
        <v>0</v>
      </c>
      <c r="Q605" s="19">
        <f t="shared" si="41"/>
        <v>931748</v>
      </c>
    </row>
    <row r="606" spans="1:17" ht="18.75" customHeight="1">
      <c r="A606" s="145">
        <v>1</v>
      </c>
      <c r="B606" s="145">
        <v>20</v>
      </c>
      <c r="C606" s="319"/>
      <c r="D606" s="159" t="s">
        <v>437</v>
      </c>
      <c r="E606" s="685"/>
      <c r="F606" s="23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1:17" ht="13.5" customHeight="1">
      <c r="A607" s="17"/>
      <c r="B607" s="17"/>
      <c r="C607" s="300"/>
      <c r="D607" s="18" t="s">
        <v>142</v>
      </c>
      <c r="E607" s="669"/>
      <c r="F607" s="17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>
        <f>SUM(G607:P607)</f>
        <v>0</v>
      </c>
    </row>
    <row r="608" spans="1:17" ht="13.5" customHeight="1">
      <c r="A608" s="346">
        <v>1</v>
      </c>
      <c r="B608" s="346" t="s">
        <v>932</v>
      </c>
      <c r="C608" s="444"/>
      <c r="D608" s="445" t="s">
        <v>933</v>
      </c>
      <c r="E608" s="697"/>
      <c r="F608" s="346"/>
      <c r="G608" s="329"/>
      <c r="H608" s="329"/>
      <c r="I608" s="343"/>
      <c r="J608" s="329"/>
      <c r="K608" s="329"/>
      <c r="L608" s="329"/>
      <c r="M608" s="329"/>
      <c r="N608" s="329"/>
      <c r="O608" s="329"/>
      <c r="P608" s="329"/>
      <c r="Q608" s="329"/>
    </row>
    <row r="609" spans="1:17" ht="13.5" customHeight="1">
      <c r="A609" s="346"/>
      <c r="B609" s="346"/>
      <c r="C609" s="444"/>
      <c r="D609" s="297" t="s">
        <v>437</v>
      </c>
      <c r="E609" s="685"/>
      <c r="F609" s="23"/>
      <c r="G609" s="329"/>
      <c r="H609" s="329"/>
      <c r="I609" s="343"/>
      <c r="J609" s="329"/>
      <c r="K609" s="329"/>
      <c r="L609" s="329"/>
      <c r="M609" s="329"/>
      <c r="N609" s="329"/>
      <c r="O609" s="329"/>
      <c r="P609" s="329"/>
      <c r="Q609" s="329"/>
    </row>
    <row r="610" spans="1:17" ht="13.5" customHeight="1">
      <c r="A610" s="346"/>
      <c r="B610" s="346"/>
      <c r="C610" s="444"/>
      <c r="D610" s="101" t="s">
        <v>934</v>
      </c>
      <c r="E610" s="101">
        <v>2</v>
      </c>
      <c r="F610" s="144">
        <v>221901</v>
      </c>
      <c r="G610" s="447">
        <f>1600+'táj.2.'!G610</f>
        <v>1600</v>
      </c>
      <c r="H610" s="447">
        <f>2000+'táj.2.'!H610</f>
        <v>2000</v>
      </c>
      <c r="I610" s="447">
        <f>20661+'táj.2.'!I610</f>
        <v>20661</v>
      </c>
      <c r="J610" s="447">
        <f>0+'táj.2.'!J610</f>
        <v>0</v>
      </c>
      <c r="K610" s="447">
        <f>1200+'táj.2.'!K610</f>
        <v>1200</v>
      </c>
      <c r="L610" s="447">
        <f>0+'táj.2.'!L610</f>
        <v>0</v>
      </c>
      <c r="M610" s="447">
        <f>0+'táj.2.'!M610</f>
        <v>0</v>
      </c>
      <c r="N610" s="447">
        <f>0+'táj.2.'!N610</f>
        <v>0</v>
      </c>
      <c r="O610" s="447">
        <f>0+'táj.2.'!O610</f>
        <v>0</v>
      </c>
      <c r="P610" s="447">
        <f>0+'táj.2.'!P610</f>
        <v>0</v>
      </c>
      <c r="Q610" s="330">
        <f aca="true" t="shared" si="42" ref="Q610:Q620">SUM(G610:P610)</f>
        <v>25461</v>
      </c>
    </row>
    <row r="611" spans="1:17" ht="13.5" customHeight="1">
      <c r="A611" s="346"/>
      <c r="B611" s="346"/>
      <c r="C611" s="444"/>
      <c r="D611" s="98" t="s">
        <v>44</v>
      </c>
      <c r="E611" s="698">
        <v>1</v>
      </c>
      <c r="F611" s="13">
        <v>221912</v>
      </c>
      <c r="G611" s="447">
        <f>0+'táj.2.'!G611</f>
        <v>0</v>
      </c>
      <c r="H611" s="447">
        <f>0+'táj.2.'!H611</f>
        <v>0</v>
      </c>
      <c r="I611" s="447">
        <f>5045+'táj.2.'!I611</f>
        <v>5045</v>
      </c>
      <c r="J611" s="447">
        <f>0+'táj.2.'!J611</f>
        <v>0</v>
      </c>
      <c r="K611" s="447">
        <f>2000+'táj.2.'!K611</f>
        <v>2000</v>
      </c>
      <c r="L611" s="447">
        <f>0+'táj.2.'!L611</f>
        <v>0</v>
      </c>
      <c r="M611" s="447">
        <f>0+'táj.2.'!M611</f>
        <v>0</v>
      </c>
      <c r="N611" s="447">
        <f>0+'táj.2.'!N611</f>
        <v>0</v>
      </c>
      <c r="O611" s="447">
        <f>0+'táj.2.'!O611</f>
        <v>0</v>
      </c>
      <c r="P611" s="447">
        <f>0+'táj.2.'!P611</f>
        <v>0</v>
      </c>
      <c r="Q611" s="330">
        <f t="shared" si="42"/>
        <v>7045</v>
      </c>
    </row>
    <row r="612" spans="1:17" ht="13.5" customHeight="1">
      <c r="A612" s="346"/>
      <c r="B612" s="346"/>
      <c r="C612" s="444"/>
      <c r="D612" s="98" t="s">
        <v>935</v>
      </c>
      <c r="E612" s="698">
        <v>2</v>
      </c>
      <c r="F612" s="13">
        <v>221916</v>
      </c>
      <c r="G612" s="447">
        <f>0+'táj.2.'!G612</f>
        <v>0</v>
      </c>
      <c r="H612" s="447">
        <f>0+'táj.2.'!H612</f>
        <v>0</v>
      </c>
      <c r="I612" s="447">
        <f>0+'táj.2.'!I612</f>
        <v>0</v>
      </c>
      <c r="J612" s="447">
        <f>0+'táj.2.'!J612</f>
        <v>0</v>
      </c>
      <c r="K612" s="447">
        <f>8000+'táj.2.'!K612</f>
        <v>8000</v>
      </c>
      <c r="L612" s="447">
        <f>0+'táj.2.'!L612</f>
        <v>0</v>
      </c>
      <c r="M612" s="447">
        <f>0+'táj.2.'!M612</f>
        <v>0</v>
      </c>
      <c r="N612" s="447">
        <f>0+'táj.2.'!N612</f>
        <v>0</v>
      </c>
      <c r="O612" s="447">
        <f>0+'táj.2.'!O612</f>
        <v>0</v>
      </c>
      <c r="P612" s="447">
        <f>0+'táj.2.'!P612</f>
        <v>0</v>
      </c>
      <c r="Q612" s="330">
        <f t="shared" si="42"/>
        <v>8000</v>
      </c>
    </row>
    <row r="613" spans="1:17" ht="13.5" customHeight="1">
      <c r="A613" s="346"/>
      <c r="B613" s="346"/>
      <c r="C613" s="444"/>
      <c r="D613" s="98" t="s">
        <v>936</v>
      </c>
      <c r="E613" s="698">
        <v>2</v>
      </c>
      <c r="F613" s="13">
        <v>221903</v>
      </c>
      <c r="G613" s="447">
        <f>0+'táj.2.'!G613</f>
        <v>0</v>
      </c>
      <c r="H613" s="447">
        <f>0+'táj.2.'!H613</f>
        <v>0</v>
      </c>
      <c r="I613" s="447">
        <f>1964+'táj.2.'!I613</f>
        <v>1964</v>
      </c>
      <c r="J613" s="447">
        <f>0+'táj.2.'!J613</f>
        <v>0</v>
      </c>
      <c r="K613" s="447">
        <f>0+'táj.2.'!K613</f>
        <v>0</v>
      </c>
      <c r="L613" s="447">
        <f>0+'táj.2.'!L613</f>
        <v>0</v>
      </c>
      <c r="M613" s="447">
        <f>0+'táj.2.'!M613</f>
        <v>0</v>
      </c>
      <c r="N613" s="447">
        <f>0+'táj.2.'!N613</f>
        <v>0</v>
      </c>
      <c r="O613" s="447">
        <f>0+'táj.2.'!O613</f>
        <v>0</v>
      </c>
      <c r="P613" s="447">
        <f>0+'táj.2.'!P613</f>
        <v>0</v>
      </c>
      <c r="Q613" s="330">
        <f t="shared" si="42"/>
        <v>1964</v>
      </c>
    </row>
    <row r="614" spans="1:17" ht="13.5" customHeight="1">
      <c r="A614" s="346"/>
      <c r="B614" s="346"/>
      <c r="C614" s="444"/>
      <c r="D614" s="16" t="s">
        <v>937</v>
      </c>
      <c r="E614" s="698">
        <v>1</v>
      </c>
      <c r="F614" s="13">
        <v>221950</v>
      </c>
      <c r="G614" s="447">
        <f>98295+'táj.2.'!G614</f>
        <v>98295</v>
      </c>
      <c r="H614" s="447">
        <f>26540+'táj.2.'!H614</f>
        <v>26540</v>
      </c>
      <c r="I614" s="447">
        <f>1330+'táj.2.'!I614</f>
        <v>1330</v>
      </c>
      <c r="J614" s="447">
        <f>0+'táj.2.'!J614</f>
        <v>0</v>
      </c>
      <c r="K614" s="447">
        <f>0+'táj.2.'!K614</f>
        <v>0</v>
      </c>
      <c r="L614" s="447">
        <f>0+'táj.2.'!L614</f>
        <v>0</v>
      </c>
      <c r="M614" s="447">
        <f>0+'táj.2.'!M614</f>
        <v>0</v>
      </c>
      <c r="N614" s="447">
        <f>0+'táj.2.'!N614</f>
        <v>0</v>
      </c>
      <c r="O614" s="447">
        <f>0+'táj.2.'!O614</f>
        <v>0</v>
      </c>
      <c r="P614" s="447">
        <f>0+'táj.2.'!P614</f>
        <v>0</v>
      </c>
      <c r="Q614" s="330">
        <f t="shared" si="42"/>
        <v>126165</v>
      </c>
    </row>
    <row r="615" spans="1:17" ht="13.5" customHeight="1">
      <c r="A615" s="346"/>
      <c r="B615" s="346"/>
      <c r="C615" s="444"/>
      <c r="D615" s="16" t="s">
        <v>938</v>
      </c>
      <c r="E615" s="698">
        <v>2</v>
      </c>
      <c r="F615" s="13">
        <v>221904</v>
      </c>
      <c r="G615" s="447">
        <f>0+'táj.2.'!G615</f>
        <v>0</v>
      </c>
      <c r="H615" s="447">
        <f>0+'táj.2.'!H615</f>
        <v>0</v>
      </c>
      <c r="I615" s="447">
        <f>2000+'táj.2.'!I615</f>
        <v>2000</v>
      </c>
      <c r="J615" s="447">
        <f>0+'táj.2.'!J615</f>
        <v>0</v>
      </c>
      <c r="K615" s="447">
        <f>0+'táj.2.'!K615</f>
        <v>0</v>
      </c>
      <c r="L615" s="447">
        <f>0+'táj.2.'!L615</f>
        <v>0</v>
      </c>
      <c r="M615" s="447">
        <f>0+'táj.2.'!M615</f>
        <v>0</v>
      </c>
      <c r="N615" s="447">
        <f>0+'táj.2.'!N615</f>
        <v>0</v>
      </c>
      <c r="O615" s="447">
        <f>0+'táj.2.'!O615</f>
        <v>0</v>
      </c>
      <c r="P615" s="447">
        <f>0+'táj.2.'!P615</f>
        <v>0</v>
      </c>
      <c r="Q615" s="330">
        <f t="shared" si="42"/>
        <v>2000</v>
      </c>
    </row>
    <row r="616" spans="1:17" ht="13.5" customHeight="1">
      <c r="A616" s="346"/>
      <c r="B616" s="346"/>
      <c r="C616" s="444"/>
      <c r="D616" s="24" t="s">
        <v>939</v>
      </c>
      <c r="E616" s="24">
        <v>2</v>
      </c>
      <c r="F616" s="23">
        <v>221922</v>
      </c>
      <c r="G616" s="447">
        <f>0+'táj.2.'!G616</f>
        <v>0</v>
      </c>
      <c r="H616" s="447">
        <f>0+'táj.2.'!H616</f>
        <v>0</v>
      </c>
      <c r="I616" s="447">
        <f>5000+'táj.2.'!I616</f>
        <v>5000</v>
      </c>
      <c r="J616" s="447">
        <f>0+'táj.2.'!J616</f>
        <v>0</v>
      </c>
      <c r="K616" s="447">
        <f>0+'táj.2.'!K616</f>
        <v>0</v>
      </c>
      <c r="L616" s="447">
        <f>0+'táj.2.'!L616</f>
        <v>0</v>
      </c>
      <c r="M616" s="447">
        <f>0+'táj.2.'!M616</f>
        <v>0</v>
      </c>
      <c r="N616" s="447">
        <f>0+'táj.2.'!N616</f>
        <v>0</v>
      </c>
      <c r="O616" s="447">
        <f>0+'táj.2.'!O616</f>
        <v>0</v>
      </c>
      <c r="P616" s="447">
        <f>0+'táj.2.'!P616</f>
        <v>0</v>
      </c>
      <c r="Q616" s="330">
        <f t="shared" si="42"/>
        <v>5000</v>
      </c>
    </row>
    <row r="617" spans="1:17" ht="13.5" customHeight="1">
      <c r="A617" s="346"/>
      <c r="B617" s="346"/>
      <c r="C617" s="444"/>
      <c r="D617" s="24" t="s">
        <v>940</v>
      </c>
      <c r="E617" s="668">
        <v>2</v>
      </c>
      <c r="F617" s="23">
        <v>191139</v>
      </c>
      <c r="G617" s="447">
        <f>0+'táj.2.'!G617</f>
        <v>0</v>
      </c>
      <c r="H617" s="447">
        <f>0+'táj.2.'!H617</f>
        <v>0</v>
      </c>
      <c r="I617" s="447">
        <f>0+'táj.2.'!I617</f>
        <v>0</v>
      </c>
      <c r="J617" s="447">
        <f>0+'táj.2.'!J617</f>
        <v>0</v>
      </c>
      <c r="K617" s="447">
        <f>4000+'táj.2.'!K617</f>
        <v>4000</v>
      </c>
      <c r="L617" s="447">
        <f>0+'táj.2.'!L617</f>
        <v>0</v>
      </c>
      <c r="M617" s="447">
        <f>0+'táj.2.'!M617</f>
        <v>0</v>
      </c>
      <c r="N617" s="447">
        <f>0+'táj.2.'!N617</f>
        <v>0</v>
      </c>
      <c r="O617" s="447">
        <f>0+'táj.2.'!O617</f>
        <v>0</v>
      </c>
      <c r="P617" s="447">
        <f>0+'táj.2.'!P617</f>
        <v>0</v>
      </c>
      <c r="Q617" s="330">
        <f t="shared" si="42"/>
        <v>4000</v>
      </c>
    </row>
    <row r="618" spans="1:17" ht="13.5" customHeight="1">
      <c r="A618" s="346"/>
      <c r="B618" s="346"/>
      <c r="C618" s="444"/>
      <c r="D618" s="24" t="s">
        <v>941</v>
      </c>
      <c r="E618" s="668">
        <v>2</v>
      </c>
      <c r="F618" s="23">
        <v>221926</v>
      </c>
      <c r="G618" s="447">
        <f>0+'táj.2.'!G618</f>
        <v>411</v>
      </c>
      <c r="H618" s="447">
        <f>0+'táj.2.'!H618</f>
        <v>100</v>
      </c>
      <c r="I618" s="447">
        <f>4795+'táj.2.'!I618</f>
        <v>4384</v>
      </c>
      <c r="J618" s="447">
        <f>0+'táj.2.'!J618</f>
        <v>0</v>
      </c>
      <c r="K618" s="447">
        <f>0+'táj.2.'!K618</f>
        <v>0</v>
      </c>
      <c r="L618" s="447">
        <f>0+'táj.2.'!L618</f>
        <v>0</v>
      </c>
      <c r="M618" s="447">
        <f>0+'táj.2.'!M618</f>
        <v>0</v>
      </c>
      <c r="N618" s="447">
        <f>0+'táj.2.'!N618</f>
        <v>0</v>
      </c>
      <c r="O618" s="447">
        <f>0+'táj.2.'!O618</f>
        <v>0</v>
      </c>
      <c r="P618" s="447">
        <f>0+'táj.2.'!P618</f>
        <v>0</v>
      </c>
      <c r="Q618" s="330">
        <f t="shared" si="42"/>
        <v>4895</v>
      </c>
    </row>
    <row r="619" spans="1:17" ht="13.5" customHeight="1">
      <c r="A619" s="346"/>
      <c r="B619" s="346"/>
      <c r="C619" s="444"/>
      <c r="D619" s="24" t="s">
        <v>942</v>
      </c>
      <c r="E619" s="668">
        <v>2</v>
      </c>
      <c r="F619" s="23">
        <v>221927</v>
      </c>
      <c r="G619" s="447">
        <f>0+'táj.2.'!G619</f>
        <v>0</v>
      </c>
      <c r="H619" s="447">
        <f>0+'táj.2.'!H619</f>
        <v>0</v>
      </c>
      <c r="I619" s="447">
        <f>2000+'táj.2.'!I619</f>
        <v>2000</v>
      </c>
      <c r="J619" s="447">
        <f>0+'táj.2.'!J619</f>
        <v>0</v>
      </c>
      <c r="K619" s="447">
        <f>0+'táj.2.'!K619</f>
        <v>0</v>
      </c>
      <c r="L619" s="447">
        <f>0+'táj.2.'!L619</f>
        <v>0</v>
      </c>
      <c r="M619" s="447">
        <f>0+'táj.2.'!M619</f>
        <v>0</v>
      </c>
      <c r="N619" s="447">
        <f>0+'táj.2.'!N619</f>
        <v>0</v>
      </c>
      <c r="O619" s="447">
        <f>0+'táj.2.'!O619</f>
        <v>0</v>
      </c>
      <c r="P619" s="447">
        <f>0+'táj.2.'!P619</f>
        <v>0</v>
      </c>
      <c r="Q619" s="330">
        <f t="shared" si="42"/>
        <v>2000</v>
      </c>
    </row>
    <row r="620" spans="1:17" ht="13.5" customHeight="1">
      <c r="A620" s="346"/>
      <c r="B620" s="346"/>
      <c r="C620" s="444"/>
      <c r="D620" s="24" t="s">
        <v>943</v>
      </c>
      <c r="E620" s="668">
        <v>2</v>
      </c>
      <c r="F620" s="23">
        <v>221928</v>
      </c>
      <c r="G620" s="447">
        <f>0+'táj.2.'!G620</f>
        <v>0</v>
      </c>
      <c r="H620" s="447">
        <f>0+'táj.2.'!H620</f>
        <v>0</v>
      </c>
      <c r="I620" s="447">
        <f>0+'táj.2.'!I620</f>
        <v>0</v>
      </c>
      <c r="J620" s="447">
        <f>0+'táj.2.'!J620</f>
        <v>0</v>
      </c>
      <c r="K620" s="447">
        <f>23000+'táj.2.'!K620</f>
        <v>23000</v>
      </c>
      <c r="L620" s="447">
        <f>0+'táj.2.'!L620</f>
        <v>0</v>
      </c>
      <c r="M620" s="447">
        <f>0+'táj.2.'!M620</f>
        <v>0</v>
      </c>
      <c r="N620" s="447">
        <f>0+'táj.2.'!N620</f>
        <v>0</v>
      </c>
      <c r="O620" s="447">
        <f>0+'táj.2.'!O620</f>
        <v>0</v>
      </c>
      <c r="P620" s="447">
        <f>0+'táj.2.'!P620</f>
        <v>0</v>
      </c>
      <c r="Q620" s="330">
        <f t="shared" si="42"/>
        <v>23000</v>
      </c>
    </row>
    <row r="621" spans="1:17" ht="13.5" customHeight="1">
      <c r="A621" s="346"/>
      <c r="B621" s="346"/>
      <c r="C621" s="444"/>
      <c r="D621" s="24" t="s">
        <v>944</v>
      </c>
      <c r="E621" s="668"/>
      <c r="F621" s="23"/>
      <c r="G621" s="447"/>
      <c r="H621" s="25"/>
      <c r="I621" s="15"/>
      <c r="J621" s="15"/>
      <c r="K621" s="15"/>
      <c r="L621" s="25"/>
      <c r="M621" s="25"/>
      <c r="N621" s="25"/>
      <c r="O621" s="25"/>
      <c r="P621" s="25"/>
      <c r="Q621" s="25"/>
    </row>
    <row r="622" spans="1:17" ht="13.5" customHeight="1">
      <c r="A622" s="346"/>
      <c r="B622" s="346"/>
      <c r="C622" s="444"/>
      <c r="D622" s="24" t="s">
        <v>945</v>
      </c>
      <c r="E622" s="24">
        <v>2</v>
      </c>
      <c r="F622" s="23">
        <v>191301</v>
      </c>
      <c r="G622" s="447">
        <f>0+'táj.2.'!G622</f>
        <v>0</v>
      </c>
      <c r="H622" s="447">
        <f>0+'táj.2.'!H622</f>
        <v>0</v>
      </c>
      <c r="I622" s="447">
        <f>0+'táj.2.'!I622</f>
        <v>0</v>
      </c>
      <c r="J622" s="447">
        <f>0+'táj.2.'!J622</f>
        <v>0</v>
      </c>
      <c r="K622" s="447">
        <f>33000+'táj.2.'!K622</f>
        <v>33000</v>
      </c>
      <c r="L622" s="447">
        <f>0+'táj.2.'!L622</f>
        <v>0</v>
      </c>
      <c r="M622" s="447">
        <f>0+'táj.2.'!M622</f>
        <v>0</v>
      </c>
      <c r="N622" s="447">
        <f>0+'táj.2.'!N622</f>
        <v>0</v>
      </c>
      <c r="O622" s="447">
        <f>0+'táj.2.'!O622</f>
        <v>0</v>
      </c>
      <c r="P622" s="447">
        <f>0+'táj.2.'!P622</f>
        <v>0</v>
      </c>
      <c r="Q622" s="25">
        <f>SUM(G622:P622)</f>
        <v>33000</v>
      </c>
    </row>
    <row r="623" spans="1:17" ht="13.5" customHeight="1">
      <c r="A623" s="346"/>
      <c r="B623" s="346"/>
      <c r="C623" s="444"/>
      <c r="D623" s="24" t="s">
        <v>946</v>
      </c>
      <c r="E623" s="24">
        <v>2</v>
      </c>
      <c r="F623" s="23">
        <v>191302</v>
      </c>
      <c r="G623" s="447">
        <f>0+'táj.2.'!G623</f>
        <v>0</v>
      </c>
      <c r="H623" s="447">
        <f>0+'táj.2.'!H623</f>
        <v>0</v>
      </c>
      <c r="I623" s="447">
        <f>8000+'táj.2.'!I623</f>
        <v>8000</v>
      </c>
      <c r="J623" s="447">
        <f>0+'táj.2.'!J623</f>
        <v>0</v>
      </c>
      <c r="K623" s="447">
        <f>0+'táj.2.'!K623</f>
        <v>0</v>
      </c>
      <c r="L623" s="447">
        <f>0+'táj.2.'!L623</f>
        <v>0</v>
      </c>
      <c r="M623" s="447">
        <f>0+'táj.2.'!M623</f>
        <v>0</v>
      </c>
      <c r="N623" s="447">
        <f>0+'táj.2.'!N623</f>
        <v>0</v>
      </c>
      <c r="O623" s="447">
        <f>0+'táj.2.'!O623</f>
        <v>0</v>
      </c>
      <c r="P623" s="447">
        <f>0+'táj.2.'!P623</f>
        <v>0</v>
      </c>
      <c r="Q623" s="25">
        <f>SUM(G623:P623)</f>
        <v>8000</v>
      </c>
    </row>
    <row r="624" spans="1:17" ht="13.5" customHeight="1">
      <c r="A624" s="346"/>
      <c r="B624" s="346"/>
      <c r="C624" s="444"/>
      <c r="D624" s="24" t="s">
        <v>420</v>
      </c>
      <c r="E624" s="668"/>
      <c r="F624" s="23"/>
      <c r="G624" s="447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ht="13.5" customHeight="1">
      <c r="A625" s="346"/>
      <c r="B625" s="346"/>
      <c r="C625" s="444"/>
      <c r="D625" s="24" t="s">
        <v>421</v>
      </c>
      <c r="E625" s="24">
        <v>2</v>
      </c>
      <c r="F625" s="23">
        <v>191110</v>
      </c>
      <c r="G625" s="447">
        <f>0+'táj.2.'!G625</f>
        <v>0</v>
      </c>
      <c r="H625" s="447">
        <f>0+'táj.2.'!H625</f>
        <v>0</v>
      </c>
      <c r="I625" s="447">
        <f>10000+'táj.2.'!I625</f>
        <v>10000</v>
      </c>
      <c r="J625" s="447">
        <f>0+'táj.2.'!J625</f>
        <v>0</v>
      </c>
      <c r="K625" s="447">
        <f>0+'táj.2.'!K625</f>
        <v>0</v>
      </c>
      <c r="L625" s="447">
        <f>0+'táj.2.'!L625</f>
        <v>0</v>
      </c>
      <c r="M625" s="447">
        <f>0+'táj.2.'!M625</f>
        <v>0</v>
      </c>
      <c r="N625" s="447">
        <f>0+'táj.2.'!N625</f>
        <v>0</v>
      </c>
      <c r="O625" s="447">
        <f>0+'táj.2.'!O625</f>
        <v>0</v>
      </c>
      <c r="P625" s="447">
        <f>0+'táj.2.'!P625</f>
        <v>0</v>
      </c>
      <c r="Q625" s="25">
        <f>SUM(G625:P625)</f>
        <v>10000</v>
      </c>
    </row>
    <row r="626" spans="1:17" ht="13.5" customHeight="1">
      <c r="A626" s="346"/>
      <c r="B626" s="346"/>
      <c r="C626" s="444"/>
      <c r="D626" s="98" t="s">
        <v>409</v>
      </c>
      <c r="E626" s="698"/>
      <c r="F626" s="13"/>
      <c r="G626" s="447"/>
      <c r="H626" s="330"/>
      <c r="I626" s="15"/>
      <c r="J626" s="330"/>
      <c r="K626" s="330"/>
      <c r="L626" s="448"/>
      <c r="M626" s="448"/>
      <c r="N626" s="448"/>
      <c r="O626" s="448"/>
      <c r="P626" s="448"/>
      <c r="Q626" s="330"/>
    </row>
    <row r="627" spans="1:17" ht="13.5" customHeight="1">
      <c r="A627" s="346"/>
      <c r="B627" s="346"/>
      <c r="C627" s="444"/>
      <c r="D627" s="160" t="s">
        <v>987</v>
      </c>
      <c r="E627" s="699">
        <v>2</v>
      </c>
      <c r="F627" s="594">
        <v>221951</v>
      </c>
      <c r="G627" s="447">
        <f>0+'táj.2.'!G627</f>
        <v>0</v>
      </c>
      <c r="H627" s="447">
        <f>0+'táj.2.'!H627</f>
        <v>0</v>
      </c>
      <c r="I627" s="447">
        <f>0+'táj.2.'!I627</f>
        <v>0</v>
      </c>
      <c r="J627" s="447">
        <f>0+'táj.2.'!J627</f>
        <v>0</v>
      </c>
      <c r="K627" s="447">
        <f>10000+'táj.2.'!K627</f>
        <v>10000</v>
      </c>
      <c r="L627" s="447">
        <f>0+'táj.2.'!L627</f>
        <v>0</v>
      </c>
      <c r="M627" s="447">
        <f>0+'táj.2.'!M627</f>
        <v>0</v>
      </c>
      <c r="N627" s="447">
        <f>0+'táj.2.'!N627</f>
        <v>0</v>
      </c>
      <c r="O627" s="447">
        <f>0+'táj.2.'!O627</f>
        <v>0</v>
      </c>
      <c r="P627" s="447">
        <f>0+'táj.2.'!P627</f>
        <v>0</v>
      </c>
      <c r="Q627" s="25">
        <f>SUM(G627:P627)</f>
        <v>10000</v>
      </c>
    </row>
    <row r="628" spans="1:17" ht="13.5" customHeight="1">
      <c r="A628" s="346"/>
      <c r="B628" s="346"/>
      <c r="C628" s="451"/>
      <c r="D628" s="452" t="s">
        <v>655</v>
      </c>
      <c r="E628" s="698">
        <v>2</v>
      </c>
      <c r="F628" s="13" t="s">
        <v>1104</v>
      </c>
      <c r="G628" s="447">
        <f>0+'táj.2.'!G628</f>
        <v>0</v>
      </c>
      <c r="H628" s="447">
        <f>0+'táj.2.'!H628</f>
        <v>0</v>
      </c>
      <c r="I628" s="447">
        <f>27066+'táj.2.'!I628</f>
        <v>27066</v>
      </c>
      <c r="J628" s="447">
        <f>0+'táj.2.'!J628</f>
        <v>0</v>
      </c>
      <c r="K628" s="447">
        <f>0+'táj.2.'!K628</f>
        <v>0</v>
      </c>
      <c r="L628" s="447">
        <f>0+'táj.2.'!L628</f>
        <v>0</v>
      </c>
      <c r="M628" s="447">
        <f>0+'táj.2.'!M628</f>
        <v>0</v>
      </c>
      <c r="N628" s="447">
        <f>0+'táj.2.'!N628</f>
        <v>0</v>
      </c>
      <c r="O628" s="447">
        <f>0+'táj.2.'!O628</f>
        <v>0</v>
      </c>
      <c r="P628" s="447">
        <f>0+'táj.2.'!P628</f>
        <v>0</v>
      </c>
      <c r="Q628" s="330">
        <f>SUM(G628:P628)</f>
        <v>27066</v>
      </c>
    </row>
    <row r="629" spans="1:17" ht="13.5" customHeight="1">
      <c r="A629" s="346"/>
      <c r="B629" s="346"/>
      <c r="C629" s="444"/>
      <c r="D629" s="98" t="s">
        <v>947</v>
      </c>
      <c r="E629" s="698"/>
      <c r="F629" s="13"/>
      <c r="G629" s="447"/>
      <c r="H629" s="330"/>
      <c r="I629" s="330"/>
      <c r="J629" s="330"/>
      <c r="K629" s="330"/>
      <c r="L629" s="448"/>
      <c r="M629" s="448"/>
      <c r="N629" s="448"/>
      <c r="O629" s="448"/>
      <c r="P629" s="448"/>
      <c r="Q629" s="330"/>
    </row>
    <row r="630" spans="1:17" ht="13.5" customHeight="1">
      <c r="A630" s="346"/>
      <c r="B630" s="346"/>
      <c r="C630" s="444"/>
      <c r="D630" s="98" t="s">
        <v>948</v>
      </c>
      <c r="E630" s="698">
        <v>2</v>
      </c>
      <c r="F630" s="13">
        <v>221929</v>
      </c>
      <c r="G630" s="447">
        <f>0+'táj.2.'!G630</f>
        <v>0</v>
      </c>
      <c r="H630" s="447">
        <f>0+'táj.2.'!H630</f>
        <v>0</v>
      </c>
      <c r="I630" s="447">
        <f>0+'táj.2.'!I630</f>
        <v>0</v>
      </c>
      <c r="J630" s="447">
        <f>0+'táj.2.'!J630</f>
        <v>0</v>
      </c>
      <c r="K630" s="447">
        <f>17250+'táj.2.'!K630</f>
        <v>17250</v>
      </c>
      <c r="L630" s="447">
        <f>0+'táj.2.'!L630</f>
        <v>0</v>
      </c>
      <c r="M630" s="447">
        <f>0+'táj.2.'!M630</f>
        <v>0</v>
      </c>
      <c r="N630" s="447">
        <f>0+'táj.2.'!N630</f>
        <v>0</v>
      </c>
      <c r="O630" s="447">
        <f>0+'táj.2.'!O630</f>
        <v>0</v>
      </c>
      <c r="P630" s="447">
        <f>0+'táj.2.'!P630</f>
        <v>0</v>
      </c>
      <c r="Q630" s="330">
        <f>SUM(G630:P630)</f>
        <v>17250</v>
      </c>
    </row>
    <row r="631" spans="1:17" ht="13.5" customHeight="1">
      <c r="A631" s="346"/>
      <c r="B631" s="346"/>
      <c r="C631" s="453"/>
      <c r="D631" s="98" t="s">
        <v>949</v>
      </c>
      <c r="E631" s="698"/>
      <c r="F631" s="13"/>
      <c r="G631" s="447"/>
      <c r="H631" s="330"/>
      <c r="I631" s="330"/>
      <c r="J631" s="330"/>
      <c r="K631" s="330"/>
      <c r="L631" s="448"/>
      <c r="M631" s="448"/>
      <c r="N631" s="448"/>
      <c r="O631" s="448"/>
      <c r="P631" s="448"/>
      <c r="Q631" s="330"/>
    </row>
    <row r="632" spans="1:17" ht="13.5" customHeight="1">
      <c r="A632" s="346"/>
      <c r="B632" s="346"/>
      <c r="C632" s="453"/>
      <c r="D632" s="98" t="s">
        <v>950</v>
      </c>
      <c r="E632" s="698">
        <v>1</v>
      </c>
      <c r="F632" s="13">
        <v>221909</v>
      </c>
      <c r="G632" s="447">
        <f>0+'táj.2.'!G632</f>
        <v>0</v>
      </c>
      <c r="H632" s="447">
        <f>0+'táj.2.'!H632</f>
        <v>0</v>
      </c>
      <c r="I632" s="447">
        <f>0+'táj.2.'!I632</f>
        <v>0</v>
      </c>
      <c r="J632" s="447">
        <f>0+'táj.2.'!J632</f>
        <v>0</v>
      </c>
      <c r="K632" s="447">
        <f>24583+'táj.2.'!K632</f>
        <v>24583</v>
      </c>
      <c r="L632" s="447">
        <f>0+'táj.2.'!L632</f>
        <v>0</v>
      </c>
      <c r="M632" s="447">
        <f>0+'táj.2.'!M632</f>
        <v>0</v>
      </c>
      <c r="N632" s="447">
        <f>0+'táj.2.'!N632</f>
        <v>0</v>
      </c>
      <c r="O632" s="447">
        <f>0+'táj.2.'!O632</f>
        <v>0</v>
      </c>
      <c r="P632" s="447">
        <f>0+'táj.2.'!P632</f>
        <v>0</v>
      </c>
      <c r="Q632" s="330">
        <f>SUM(G632:P632)</f>
        <v>24583</v>
      </c>
    </row>
    <row r="633" spans="1:17" ht="13.5" customHeight="1">
      <c r="A633" s="346"/>
      <c r="B633" s="346"/>
      <c r="C633" s="444"/>
      <c r="D633" s="98" t="s">
        <v>951</v>
      </c>
      <c r="E633" s="698">
        <v>1</v>
      </c>
      <c r="F633" s="13">
        <v>221913</v>
      </c>
      <c r="G633" s="447">
        <f>0+'táj.2.'!G633</f>
        <v>0</v>
      </c>
      <c r="H633" s="447">
        <f>0+'táj.2.'!H633</f>
        <v>0</v>
      </c>
      <c r="I633" s="447">
        <f>35873+'táj.2.'!I633</f>
        <v>35873</v>
      </c>
      <c r="J633" s="447">
        <f>0+'táj.2.'!J633</f>
        <v>0</v>
      </c>
      <c r="K633" s="447">
        <f>0+'táj.2.'!K633</f>
        <v>0</v>
      </c>
      <c r="L633" s="447">
        <f>0+'táj.2.'!L633</f>
        <v>0</v>
      </c>
      <c r="M633" s="447">
        <f>0+'táj.2.'!M633</f>
        <v>0</v>
      </c>
      <c r="N633" s="447">
        <f>0+'táj.2.'!N633</f>
        <v>0</v>
      </c>
      <c r="O633" s="447">
        <f>0+'táj.2.'!O633</f>
        <v>0</v>
      </c>
      <c r="P633" s="447">
        <f>0+'táj.2.'!P633</f>
        <v>0</v>
      </c>
      <c r="Q633" s="330">
        <f>SUM(G633:P633)</f>
        <v>35873</v>
      </c>
    </row>
    <row r="634" spans="1:17" ht="24.75" customHeight="1">
      <c r="A634" s="346"/>
      <c r="B634" s="346"/>
      <c r="C634" s="444"/>
      <c r="D634" s="454" t="s">
        <v>952</v>
      </c>
      <c r="E634" s="698">
        <v>2</v>
      </c>
      <c r="F634" s="13">
        <v>221914</v>
      </c>
      <c r="G634" s="447">
        <f>0+'táj.2.'!G634</f>
        <v>0</v>
      </c>
      <c r="H634" s="447">
        <f>0+'táj.2.'!H634</f>
        <v>0</v>
      </c>
      <c r="I634" s="447">
        <f>0+'táj.2.'!I634</f>
        <v>0</v>
      </c>
      <c r="J634" s="447">
        <f>0+'táj.2.'!J634</f>
        <v>0</v>
      </c>
      <c r="K634" s="447">
        <f>5000+'táj.2.'!K634</f>
        <v>5000</v>
      </c>
      <c r="L634" s="447">
        <f>0+'táj.2.'!L634</f>
        <v>0</v>
      </c>
      <c r="M634" s="447">
        <f>0+'táj.2.'!M634</f>
        <v>0</v>
      </c>
      <c r="N634" s="447">
        <f>0+'táj.2.'!N634</f>
        <v>0</v>
      </c>
      <c r="O634" s="447">
        <f>0+'táj.2.'!O634</f>
        <v>0</v>
      </c>
      <c r="P634" s="447">
        <f>0+'táj.2.'!P634</f>
        <v>0</v>
      </c>
      <c r="Q634" s="330">
        <f>SUM(G634:P634)</f>
        <v>5000</v>
      </c>
    </row>
    <row r="635" spans="1:17" ht="14.25" customHeight="1">
      <c r="A635" s="346"/>
      <c r="B635" s="346"/>
      <c r="C635" s="444"/>
      <c r="D635" s="454" t="s">
        <v>953</v>
      </c>
      <c r="E635" s="698">
        <v>2</v>
      </c>
      <c r="F635" s="13">
        <v>221930</v>
      </c>
      <c r="G635" s="447">
        <f>0+'táj.2.'!G635</f>
        <v>0</v>
      </c>
      <c r="H635" s="447">
        <f>0+'táj.2.'!H635</f>
        <v>0</v>
      </c>
      <c r="I635" s="447">
        <f>500+'táj.2.'!I635</f>
        <v>500</v>
      </c>
      <c r="J635" s="447">
        <f>0+'táj.2.'!J635</f>
        <v>0</v>
      </c>
      <c r="K635" s="447">
        <f>0+'táj.2.'!K635</f>
        <v>0</v>
      </c>
      <c r="L635" s="447">
        <f>0+'táj.2.'!L635</f>
        <v>0</v>
      </c>
      <c r="M635" s="447">
        <f>0+'táj.2.'!M635</f>
        <v>0</v>
      </c>
      <c r="N635" s="447">
        <f>0+'táj.2.'!N635</f>
        <v>0</v>
      </c>
      <c r="O635" s="447">
        <f>0+'táj.2.'!O635</f>
        <v>0</v>
      </c>
      <c r="P635" s="447">
        <f>0+'táj.2.'!P635</f>
        <v>0</v>
      </c>
      <c r="Q635" s="330">
        <f>SUM(G635:P635)</f>
        <v>500</v>
      </c>
    </row>
    <row r="636" spans="1:17" ht="15" customHeight="1">
      <c r="A636" s="346"/>
      <c r="B636" s="346"/>
      <c r="C636" s="444"/>
      <c r="D636" s="454" t="s">
        <v>954</v>
      </c>
      <c r="E636" s="698">
        <v>2</v>
      </c>
      <c r="F636" s="13">
        <v>221931</v>
      </c>
      <c r="G636" s="447">
        <f>0+'táj.2.'!G636</f>
        <v>0</v>
      </c>
      <c r="H636" s="447">
        <f>0+'táj.2.'!H636</f>
        <v>0</v>
      </c>
      <c r="I636" s="447">
        <f>500+'táj.2.'!I636</f>
        <v>500</v>
      </c>
      <c r="J636" s="447">
        <f>0+'táj.2.'!J636</f>
        <v>0</v>
      </c>
      <c r="K636" s="447">
        <f>0+'táj.2.'!K636</f>
        <v>0</v>
      </c>
      <c r="L636" s="447">
        <f>0+'táj.2.'!L636</f>
        <v>0</v>
      </c>
      <c r="M636" s="447">
        <f>0+'táj.2.'!M636</f>
        <v>0</v>
      </c>
      <c r="N636" s="447">
        <f>0+'táj.2.'!N636</f>
        <v>0</v>
      </c>
      <c r="O636" s="447">
        <f>0+'táj.2.'!O636</f>
        <v>0</v>
      </c>
      <c r="P636" s="447">
        <f>0+'táj.2.'!P636</f>
        <v>0</v>
      </c>
      <c r="Q636" s="330">
        <f>SUM(G636:P636)</f>
        <v>500</v>
      </c>
    </row>
    <row r="637" spans="1:17" ht="13.5" customHeight="1">
      <c r="A637" s="17"/>
      <c r="B637" s="17"/>
      <c r="C637" s="300"/>
      <c r="D637" s="345" t="s">
        <v>955</v>
      </c>
      <c r="E637" s="700"/>
      <c r="F637" s="17"/>
      <c r="G637" s="456">
        <f aca="true" t="shared" si="43" ref="G637:Q637">SUM(G610:G636)</f>
        <v>100306</v>
      </c>
      <c r="H637" s="456">
        <f t="shared" si="43"/>
        <v>28640</v>
      </c>
      <c r="I637" s="456">
        <f t="shared" si="43"/>
        <v>124323</v>
      </c>
      <c r="J637" s="456">
        <f t="shared" si="43"/>
        <v>0</v>
      </c>
      <c r="K637" s="456">
        <f t="shared" si="43"/>
        <v>128033</v>
      </c>
      <c r="L637" s="456">
        <f t="shared" si="43"/>
        <v>0</v>
      </c>
      <c r="M637" s="456">
        <f t="shared" si="43"/>
        <v>0</v>
      </c>
      <c r="N637" s="456">
        <f t="shared" si="43"/>
        <v>0</v>
      </c>
      <c r="O637" s="456">
        <f t="shared" si="43"/>
        <v>0</v>
      </c>
      <c r="P637" s="456">
        <f t="shared" si="43"/>
        <v>0</v>
      </c>
      <c r="Q637" s="456">
        <f t="shared" si="43"/>
        <v>381302</v>
      </c>
    </row>
    <row r="638" spans="1:17" ht="13.5" customHeight="1">
      <c r="A638" s="145"/>
      <c r="B638" s="145"/>
      <c r="C638" s="319"/>
      <c r="D638" s="515" t="s">
        <v>931</v>
      </c>
      <c r="E638" s="701"/>
      <c r="F638" s="145"/>
      <c r="G638" s="459"/>
      <c r="H638" s="459"/>
      <c r="I638" s="459"/>
      <c r="J638" s="459"/>
      <c r="K638" s="459"/>
      <c r="L638" s="459"/>
      <c r="M638" s="459"/>
      <c r="N638" s="459"/>
      <c r="O638" s="459"/>
      <c r="P638" s="459"/>
      <c r="Q638" s="459"/>
    </row>
    <row r="639" spans="1:17" ht="13.5" customHeight="1">
      <c r="A639" s="346"/>
      <c r="B639" s="346"/>
      <c r="C639" s="444" t="s">
        <v>592</v>
      </c>
      <c r="D639" s="413" t="s">
        <v>956</v>
      </c>
      <c r="E639" s="681"/>
      <c r="F639" s="23">
        <v>222904</v>
      </c>
      <c r="G639" s="25">
        <f>0+'táj.2.'!G639</f>
        <v>0</v>
      </c>
      <c r="H639" s="25">
        <f>0+'táj.2.'!H639</f>
        <v>0</v>
      </c>
      <c r="I639" s="25">
        <f>0+'táj.2.'!I639</f>
        <v>0</v>
      </c>
      <c r="J639" s="25">
        <f>0+'táj.2.'!J639</f>
        <v>0</v>
      </c>
      <c r="K639" s="25">
        <f>0+'táj.2.'!K639</f>
        <v>0</v>
      </c>
      <c r="L639" s="25">
        <f>0+'táj.2.'!L639</f>
        <v>0</v>
      </c>
      <c r="M639" s="25">
        <f>0+'táj.2.'!M639</f>
        <v>0</v>
      </c>
      <c r="N639" s="25">
        <f>10000+'táj.2.'!N639</f>
        <v>10000</v>
      </c>
      <c r="O639" s="25">
        <f>0+'táj.2.'!O639</f>
        <v>0</v>
      </c>
      <c r="P639" s="25">
        <f>0+'táj.2.'!P639</f>
        <v>0</v>
      </c>
      <c r="Q639" s="25">
        <f>SUM(G639:P639)</f>
        <v>10000</v>
      </c>
    </row>
    <row r="640" spans="1:152" s="461" customFormat="1" ht="13.5" customHeight="1">
      <c r="A640" s="17"/>
      <c r="B640" s="17"/>
      <c r="C640" s="300"/>
      <c r="D640" s="18" t="s">
        <v>71</v>
      </c>
      <c r="E640" s="669"/>
      <c r="F640" s="17"/>
      <c r="G640" s="19">
        <f aca="true" t="shared" si="44" ref="G640:N640">SUM(G637:G639)</f>
        <v>100306</v>
      </c>
      <c r="H640" s="19">
        <f t="shared" si="44"/>
        <v>28640</v>
      </c>
      <c r="I640" s="19">
        <f t="shared" si="44"/>
        <v>124323</v>
      </c>
      <c r="J640" s="19">
        <f t="shared" si="44"/>
        <v>0</v>
      </c>
      <c r="K640" s="19">
        <f t="shared" si="44"/>
        <v>128033</v>
      </c>
      <c r="L640" s="19">
        <f t="shared" si="44"/>
        <v>0</v>
      </c>
      <c r="M640" s="19">
        <f t="shared" si="44"/>
        <v>0</v>
      </c>
      <c r="N640" s="19">
        <f t="shared" si="44"/>
        <v>10000</v>
      </c>
      <c r="O640" s="19"/>
      <c r="P640" s="19">
        <f>SUM(P637:P639)</f>
        <v>0</v>
      </c>
      <c r="Q640" s="19">
        <f>SUM(Q637:Q639)</f>
        <v>391302</v>
      </c>
      <c r="R640" s="460"/>
      <c r="S640" s="460"/>
      <c r="T640" s="460"/>
      <c r="U640" s="460"/>
      <c r="V640" s="460"/>
      <c r="W640" s="460"/>
      <c r="X640" s="460"/>
      <c r="Y640" s="460"/>
      <c r="Z640" s="460"/>
      <c r="AA640" s="460"/>
      <c r="AB640" s="460"/>
      <c r="AC640" s="460"/>
      <c r="AD640" s="460"/>
      <c r="AE640" s="460"/>
      <c r="AF640" s="460"/>
      <c r="AG640" s="460"/>
      <c r="AH640" s="460"/>
      <c r="AI640" s="460"/>
      <c r="AJ640" s="460"/>
      <c r="AK640" s="460"/>
      <c r="AL640" s="460"/>
      <c r="AM640" s="460"/>
      <c r="AN640" s="460"/>
      <c r="AO640" s="460"/>
      <c r="AP640" s="460"/>
      <c r="AQ640" s="460"/>
      <c r="AR640" s="460"/>
      <c r="AS640" s="460"/>
      <c r="AT640" s="460"/>
      <c r="AU640" s="460"/>
      <c r="AV640" s="460"/>
      <c r="AW640" s="460"/>
      <c r="AX640" s="460"/>
      <c r="AY640" s="460"/>
      <c r="AZ640" s="460"/>
      <c r="BA640" s="460"/>
      <c r="BB640" s="460"/>
      <c r="BC640" s="460"/>
      <c r="BD640" s="460"/>
      <c r="BE640" s="460"/>
      <c r="BF640" s="460"/>
      <c r="BG640" s="460"/>
      <c r="BH640" s="460"/>
      <c r="BI640" s="460"/>
      <c r="BJ640" s="460"/>
      <c r="BK640" s="460"/>
      <c r="BL640" s="460"/>
      <c r="BM640" s="460"/>
      <c r="BN640" s="460"/>
      <c r="BO640" s="460"/>
      <c r="BP640" s="460"/>
      <c r="BQ640" s="460"/>
      <c r="BR640" s="460"/>
      <c r="BS640" s="460"/>
      <c r="BT640" s="460"/>
      <c r="BU640" s="460"/>
      <c r="BV640" s="460"/>
      <c r="BW640" s="460"/>
      <c r="BX640" s="460"/>
      <c r="BY640" s="460"/>
      <c r="BZ640" s="460"/>
      <c r="CA640" s="460"/>
      <c r="CB640" s="460"/>
      <c r="CC640" s="460"/>
      <c r="CD640" s="460"/>
      <c r="CE640" s="460"/>
      <c r="CF640" s="460"/>
      <c r="CG640" s="460"/>
      <c r="CH640" s="460"/>
      <c r="CI640" s="460"/>
      <c r="CJ640" s="460"/>
      <c r="CK640" s="460"/>
      <c r="CL640" s="460"/>
      <c r="CM640" s="460"/>
      <c r="CN640" s="460"/>
      <c r="CO640" s="460"/>
      <c r="CP640" s="460"/>
      <c r="CQ640" s="460"/>
      <c r="CR640" s="460"/>
      <c r="CS640" s="460"/>
      <c r="CT640" s="460"/>
      <c r="CU640" s="460"/>
      <c r="CV640" s="460"/>
      <c r="CW640" s="460"/>
      <c r="CX640" s="460"/>
      <c r="CY640" s="460"/>
      <c r="CZ640" s="460"/>
      <c r="DA640" s="460"/>
      <c r="DB640" s="460"/>
      <c r="DC640" s="460"/>
      <c r="DD640" s="460"/>
      <c r="DE640" s="460"/>
      <c r="DF640" s="460"/>
      <c r="DG640" s="460"/>
      <c r="DH640" s="460"/>
      <c r="DI640" s="460"/>
      <c r="DJ640" s="460"/>
      <c r="DK640" s="460"/>
      <c r="DL640" s="460"/>
      <c r="DM640" s="460"/>
      <c r="DN640" s="460"/>
      <c r="DO640" s="460"/>
      <c r="DP640" s="460"/>
      <c r="DQ640" s="460"/>
      <c r="DR640" s="460"/>
      <c r="DS640" s="460"/>
      <c r="DT640" s="460"/>
      <c r="DU640" s="460"/>
      <c r="DV640" s="460"/>
      <c r="DW640" s="460"/>
      <c r="DX640" s="460"/>
      <c r="DY640" s="460"/>
      <c r="DZ640" s="460"/>
      <c r="EA640" s="460"/>
      <c r="EB640" s="460"/>
      <c r="EC640" s="460"/>
      <c r="ED640" s="460"/>
      <c r="EE640" s="460"/>
      <c r="EF640" s="460"/>
      <c r="EG640" s="460"/>
      <c r="EH640" s="460"/>
      <c r="EI640" s="460"/>
      <c r="EJ640" s="460"/>
      <c r="EK640" s="460"/>
      <c r="EL640" s="460"/>
      <c r="EM640" s="460"/>
      <c r="EN640" s="460"/>
      <c r="EO640" s="460"/>
      <c r="EP640" s="460"/>
      <c r="EQ640" s="460"/>
      <c r="ER640" s="460"/>
      <c r="ES640" s="460"/>
      <c r="ET640" s="460"/>
      <c r="EU640" s="460"/>
      <c r="EV640" s="460"/>
    </row>
    <row r="641" spans="1:17" ht="13.5" customHeight="1">
      <c r="A641" s="149">
        <v>1</v>
      </c>
      <c r="B641" s="149">
        <v>30</v>
      </c>
      <c r="C641" s="430"/>
      <c r="D641" s="28" t="s">
        <v>957</v>
      </c>
      <c r="E641" s="681"/>
      <c r="F641" s="23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ht="13.5" customHeight="1">
      <c r="A642" s="149"/>
      <c r="B642" s="149">
        <v>31</v>
      </c>
      <c r="C642" s="430"/>
      <c r="D642" s="28" t="s">
        <v>554</v>
      </c>
      <c r="E642" s="696"/>
      <c r="F642" s="149">
        <v>331901</v>
      </c>
      <c r="G642" s="26"/>
      <c r="H642" s="26"/>
      <c r="I642" s="26"/>
      <c r="J642" s="26"/>
      <c r="K642" s="25">
        <f>5000+'táj.2.'!K642</f>
        <v>5000</v>
      </c>
      <c r="L642" s="26"/>
      <c r="M642" s="26"/>
      <c r="N642" s="26"/>
      <c r="O642" s="26"/>
      <c r="P642" s="25"/>
      <c r="Q642" s="25">
        <f>SUM(G642:P642)</f>
        <v>5000</v>
      </c>
    </row>
    <row r="643" spans="1:17" ht="13.5" customHeight="1">
      <c r="A643" s="23"/>
      <c r="B643" s="23">
        <v>32</v>
      </c>
      <c r="C643" s="342"/>
      <c r="D643" s="28" t="s">
        <v>466</v>
      </c>
      <c r="E643" s="681"/>
      <c r="F643" s="23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ht="13.5" customHeight="1">
      <c r="A644" s="23"/>
      <c r="B644" s="23"/>
      <c r="C644" s="342"/>
      <c r="D644" s="24" t="s">
        <v>958</v>
      </c>
      <c r="E644" s="24">
        <v>1</v>
      </c>
      <c r="F644" s="23">
        <v>321907</v>
      </c>
      <c r="G644" s="25"/>
      <c r="H644" s="25"/>
      <c r="I644" s="25"/>
      <c r="J644" s="25"/>
      <c r="K644" s="25">
        <f>29383+'táj.2.'!K644</f>
        <v>29383</v>
      </c>
      <c r="L644" s="25"/>
      <c r="M644" s="25"/>
      <c r="N644" s="25"/>
      <c r="O644" s="25"/>
      <c r="P644" s="25"/>
      <c r="Q644" s="25">
        <f>SUM(G644:P644)</f>
        <v>29383</v>
      </c>
    </row>
    <row r="645" spans="1:17" ht="12.75" customHeight="1">
      <c r="A645" s="462"/>
      <c r="B645" s="462"/>
      <c r="C645" s="462"/>
      <c r="D645" s="463" t="s">
        <v>988</v>
      </c>
      <c r="E645" s="702">
        <v>1</v>
      </c>
      <c r="F645" s="610">
        <v>321903</v>
      </c>
      <c r="G645" s="462"/>
      <c r="H645" s="462"/>
      <c r="I645" s="464"/>
      <c r="J645" s="465"/>
      <c r="K645" s="25">
        <f>20000+'táj.2.'!K645</f>
        <v>20000</v>
      </c>
      <c r="L645" s="462"/>
      <c r="M645" s="462"/>
      <c r="N645" s="462"/>
      <c r="O645" s="462"/>
      <c r="P645" s="466"/>
      <c r="Q645" s="25">
        <f>SUM(G645:P645)</f>
        <v>20000</v>
      </c>
    </row>
    <row r="646" spans="1:17" ht="13.5" customHeight="1">
      <c r="A646" s="23"/>
      <c r="B646" s="23"/>
      <c r="C646" s="342"/>
      <c r="D646" s="24" t="s">
        <v>959</v>
      </c>
      <c r="E646" s="668">
        <v>1</v>
      </c>
      <c r="F646" s="23">
        <v>321908</v>
      </c>
      <c r="G646" s="25"/>
      <c r="H646" s="25"/>
      <c r="I646" s="25"/>
      <c r="J646" s="25"/>
      <c r="K646" s="25">
        <f>19771+'táj.2.'!K646</f>
        <v>14771</v>
      </c>
      <c r="L646" s="25"/>
      <c r="M646" s="25"/>
      <c r="N646" s="25"/>
      <c r="O646" s="25"/>
      <c r="P646" s="25"/>
      <c r="Q646" s="25">
        <f>SUM(G646:P646)</f>
        <v>14771</v>
      </c>
    </row>
    <row r="647" spans="1:17" ht="24.75" customHeight="1">
      <c r="A647" s="23"/>
      <c r="B647" s="23"/>
      <c r="C647" s="342"/>
      <c r="D647" s="160" t="s">
        <v>989</v>
      </c>
      <c r="E647" s="672">
        <v>1</v>
      </c>
      <c r="F647" s="594">
        <v>321926</v>
      </c>
      <c r="G647" s="25"/>
      <c r="H647" s="25"/>
      <c r="I647" s="25"/>
      <c r="J647" s="25"/>
      <c r="K647" s="25">
        <f>100158+'táj.2.'!K647</f>
        <v>100158</v>
      </c>
      <c r="L647" s="25"/>
      <c r="M647" s="25"/>
      <c r="N647" s="25"/>
      <c r="O647" s="25"/>
      <c r="P647" s="25"/>
      <c r="Q647" s="25">
        <f>SUM(G647:P647)</f>
        <v>100158</v>
      </c>
    </row>
    <row r="648" spans="1:17" ht="18" customHeight="1">
      <c r="A648" s="23"/>
      <c r="B648" s="23"/>
      <c r="C648" s="342"/>
      <c r="D648" s="161" t="s">
        <v>960</v>
      </c>
      <c r="E648" s="672">
        <v>1</v>
      </c>
      <c r="F648" s="594">
        <v>321911</v>
      </c>
      <c r="G648" s="25"/>
      <c r="H648" s="25"/>
      <c r="I648" s="25"/>
      <c r="J648" s="25"/>
      <c r="K648" s="25">
        <f>50000+'táj.2.'!K648</f>
        <v>50000</v>
      </c>
      <c r="L648" s="25"/>
      <c r="M648" s="25"/>
      <c r="N648" s="25"/>
      <c r="O648" s="25"/>
      <c r="P648" s="25"/>
      <c r="Q648" s="25">
        <f>SUM(G648:P648)</f>
        <v>50000</v>
      </c>
    </row>
    <row r="649" spans="1:17" ht="28.5" customHeight="1">
      <c r="A649" s="23"/>
      <c r="B649" s="23"/>
      <c r="C649" s="342"/>
      <c r="D649" s="305" t="s">
        <v>961</v>
      </c>
      <c r="E649" s="672"/>
      <c r="F649" s="594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ht="13.5" customHeight="1">
      <c r="A650" s="23"/>
      <c r="B650" s="23"/>
      <c r="C650" s="342"/>
      <c r="D650" s="16" t="s">
        <v>962</v>
      </c>
      <c r="E650" s="694">
        <v>2</v>
      </c>
      <c r="F650" s="13">
        <v>321953</v>
      </c>
      <c r="G650" s="25"/>
      <c r="H650" s="25"/>
      <c r="I650" s="25"/>
      <c r="J650" s="25"/>
      <c r="K650" s="25">
        <f>4005+'táj.2.'!K650</f>
        <v>4005</v>
      </c>
      <c r="L650" s="25"/>
      <c r="M650" s="25"/>
      <c r="N650" s="25"/>
      <c r="O650" s="25"/>
      <c r="P650" s="25"/>
      <c r="Q650" s="25">
        <f>SUM(G650:P650)</f>
        <v>4005</v>
      </c>
    </row>
    <row r="651" spans="1:17" ht="13.5" customHeight="1">
      <c r="A651" s="23"/>
      <c r="B651" s="23"/>
      <c r="C651" s="342"/>
      <c r="D651" s="24" t="s">
        <v>963</v>
      </c>
      <c r="E651" s="668">
        <v>2</v>
      </c>
      <c r="F651" s="23">
        <v>321954</v>
      </c>
      <c r="G651" s="25"/>
      <c r="H651" s="25"/>
      <c r="I651" s="25"/>
      <c r="J651" s="25"/>
      <c r="K651" s="25">
        <f>810+'táj.2.'!K651</f>
        <v>810</v>
      </c>
      <c r="L651" s="25"/>
      <c r="M651" s="25"/>
      <c r="N651" s="25"/>
      <c r="O651" s="25"/>
      <c r="P651" s="25"/>
      <c r="Q651" s="25">
        <f>SUM(G651:P651)</f>
        <v>810</v>
      </c>
    </row>
    <row r="652" spans="1:17" ht="13.5" customHeight="1">
      <c r="A652" s="23"/>
      <c r="B652" s="23"/>
      <c r="C652" s="342"/>
      <c r="D652" s="160" t="s">
        <v>964</v>
      </c>
      <c r="E652" s="672">
        <v>2</v>
      </c>
      <c r="F652" s="594">
        <v>321906</v>
      </c>
      <c r="G652" s="25"/>
      <c r="H652" s="25"/>
      <c r="I652" s="25"/>
      <c r="J652" s="25"/>
      <c r="K652" s="25">
        <f>3600+'táj.2.'!K652</f>
        <v>3600</v>
      </c>
      <c r="L652" s="25"/>
      <c r="M652" s="25"/>
      <c r="N652" s="25"/>
      <c r="O652" s="25"/>
      <c r="P652" s="25"/>
      <c r="Q652" s="25">
        <f>SUM(G652:P652)</f>
        <v>3600</v>
      </c>
    </row>
    <row r="653" spans="1:17" ht="24.75" customHeight="1">
      <c r="A653" s="23"/>
      <c r="B653" s="23"/>
      <c r="C653" s="342"/>
      <c r="D653" s="305" t="s">
        <v>965</v>
      </c>
      <c r="E653" s="672"/>
      <c r="F653" s="594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13.5" customHeight="1">
      <c r="A654" s="23"/>
      <c r="B654" s="23"/>
      <c r="C654" s="342"/>
      <c r="D654" s="24" t="s">
        <v>966</v>
      </c>
      <c r="E654" s="668">
        <v>2</v>
      </c>
      <c r="F654" s="23">
        <v>321958</v>
      </c>
      <c r="G654" s="25"/>
      <c r="H654" s="25"/>
      <c r="I654" s="25"/>
      <c r="J654" s="25"/>
      <c r="K654" s="25">
        <f>4500+'táj.2.'!K654</f>
        <v>4450</v>
      </c>
      <c r="L654" s="25"/>
      <c r="M654" s="25"/>
      <c r="N654" s="25"/>
      <c r="O654" s="25"/>
      <c r="P654" s="25"/>
      <c r="Q654" s="25">
        <f>SUM(G654:P654)</f>
        <v>4450</v>
      </c>
    </row>
    <row r="655" spans="1:17" ht="13.5" customHeight="1">
      <c r="A655" s="23"/>
      <c r="B655" s="23"/>
      <c r="C655" s="342"/>
      <c r="D655" s="160" t="s">
        <v>967</v>
      </c>
      <c r="E655" s="672">
        <v>2</v>
      </c>
      <c r="F655" s="594">
        <v>321956</v>
      </c>
      <c r="G655" s="25"/>
      <c r="H655" s="25"/>
      <c r="I655" s="25"/>
      <c r="J655" s="25"/>
      <c r="K655" s="25">
        <f>2000+'táj.2.'!K655</f>
        <v>2000</v>
      </c>
      <c r="L655" s="25"/>
      <c r="M655" s="25"/>
      <c r="N655" s="25"/>
      <c r="O655" s="25"/>
      <c r="P655" s="25"/>
      <c r="Q655" s="25">
        <f>SUM(G655:P655)</f>
        <v>2000</v>
      </c>
    </row>
    <row r="656" spans="1:17" ht="24.75" customHeight="1">
      <c r="A656" s="23"/>
      <c r="B656" s="23"/>
      <c r="C656" s="342"/>
      <c r="D656" s="305" t="s">
        <v>968</v>
      </c>
      <c r="E656" s="672"/>
      <c r="F656" s="594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3.5" customHeight="1">
      <c r="A657" s="23"/>
      <c r="B657" s="23"/>
      <c r="C657" s="342"/>
      <c r="D657" s="24" t="s">
        <v>969</v>
      </c>
      <c r="E657" s="668">
        <v>2</v>
      </c>
      <c r="F657" s="23">
        <v>321959</v>
      </c>
      <c r="G657" s="25"/>
      <c r="H657" s="25"/>
      <c r="I657" s="25"/>
      <c r="J657" s="25"/>
      <c r="K657" s="25">
        <f>4500+'táj.2.'!K657</f>
        <v>4450</v>
      </c>
      <c r="L657" s="25"/>
      <c r="M657" s="25"/>
      <c r="N657" s="25"/>
      <c r="O657" s="25"/>
      <c r="P657" s="25"/>
      <c r="Q657" s="25">
        <f>SUM(G657:P657)</f>
        <v>4450</v>
      </c>
    </row>
    <row r="658" spans="1:17" ht="25.5" customHeight="1">
      <c r="A658" s="23"/>
      <c r="B658" s="23"/>
      <c r="C658" s="342"/>
      <c r="D658" s="305" t="s">
        <v>970</v>
      </c>
      <c r="E658" s="672"/>
      <c r="F658" s="594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15" customHeight="1">
      <c r="A659" s="23"/>
      <c r="B659" s="23"/>
      <c r="C659" s="342"/>
      <c r="D659" s="160" t="s">
        <v>971</v>
      </c>
      <c r="E659" s="672">
        <v>2</v>
      </c>
      <c r="F659" s="594">
        <v>321960</v>
      </c>
      <c r="G659" s="25"/>
      <c r="H659" s="25"/>
      <c r="I659" s="25"/>
      <c r="J659" s="25"/>
      <c r="K659" s="25">
        <f>1980+'táj.2.'!K659</f>
        <v>1980</v>
      </c>
      <c r="L659" s="25"/>
      <c r="M659" s="25"/>
      <c r="N659" s="25"/>
      <c r="O659" s="25"/>
      <c r="P659" s="25"/>
      <c r="Q659" s="25">
        <f aca="true" t="shared" si="45" ref="Q659:Q665">SUM(G659:P659)</f>
        <v>1980</v>
      </c>
    </row>
    <row r="660" spans="1:17" ht="24" customHeight="1">
      <c r="A660" s="23"/>
      <c r="B660" s="23"/>
      <c r="C660" s="342"/>
      <c r="D660" s="467" t="s">
        <v>972</v>
      </c>
      <c r="E660" s="703"/>
      <c r="F660" s="611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ht="15" customHeight="1">
      <c r="A661" s="23"/>
      <c r="B661" s="23"/>
      <c r="C661" s="342"/>
      <c r="D661" s="141" t="s">
        <v>973</v>
      </c>
      <c r="E661" s="672">
        <v>1</v>
      </c>
      <c r="F661" s="594">
        <v>321961</v>
      </c>
      <c r="G661" s="25"/>
      <c r="H661" s="25"/>
      <c r="I661" s="25"/>
      <c r="J661" s="25"/>
      <c r="K661" s="25">
        <f>1200+'táj.2.'!K661</f>
        <v>1200</v>
      </c>
      <c r="L661" s="25"/>
      <c r="M661" s="25"/>
      <c r="N661" s="25"/>
      <c r="O661" s="25"/>
      <c r="P661" s="25"/>
      <c r="Q661" s="25">
        <f t="shared" si="45"/>
        <v>1200</v>
      </c>
    </row>
    <row r="662" spans="1:17" ht="15" customHeight="1">
      <c r="A662" s="23"/>
      <c r="B662" s="23"/>
      <c r="C662" s="342"/>
      <c r="D662" s="141" t="s">
        <v>974</v>
      </c>
      <c r="E662" s="672">
        <v>1</v>
      </c>
      <c r="F662" s="594">
        <v>321909</v>
      </c>
      <c r="G662" s="25"/>
      <c r="H662" s="25"/>
      <c r="I662" s="25"/>
      <c r="J662" s="25"/>
      <c r="K662" s="25">
        <f>45000+'táj.2.'!K662</f>
        <v>45000</v>
      </c>
      <c r="L662" s="25"/>
      <c r="M662" s="25"/>
      <c r="N662" s="25"/>
      <c r="O662" s="25"/>
      <c r="P662" s="25"/>
      <c r="Q662" s="25">
        <f t="shared" si="45"/>
        <v>45000</v>
      </c>
    </row>
    <row r="663" spans="1:17" ht="13.5" customHeight="1">
      <c r="A663" s="23"/>
      <c r="B663" s="23"/>
      <c r="C663" s="342"/>
      <c r="D663" s="99" t="s">
        <v>647</v>
      </c>
      <c r="E663" s="24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3.5" customHeight="1">
      <c r="A664" s="23"/>
      <c r="B664" s="23"/>
      <c r="C664" s="342" t="s">
        <v>548</v>
      </c>
      <c r="D664" s="127" t="s">
        <v>571</v>
      </c>
      <c r="E664" s="24"/>
      <c r="F664" s="23">
        <v>324902</v>
      </c>
      <c r="G664" s="25"/>
      <c r="H664" s="25"/>
      <c r="I664" s="25"/>
      <c r="J664" s="25"/>
      <c r="K664" s="25">
        <f>0+'táj.2.'!K664</f>
        <v>0</v>
      </c>
      <c r="L664" s="25">
        <f>0+'táj.2.'!L664</f>
        <v>0</v>
      </c>
      <c r="M664" s="25">
        <f>10000+'táj.2.'!M664</f>
        <v>10000</v>
      </c>
      <c r="N664" s="25"/>
      <c r="O664" s="25"/>
      <c r="P664" s="25"/>
      <c r="Q664" s="25">
        <f t="shared" si="45"/>
        <v>10000</v>
      </c>
    </row>
    <row r="665" spans="1:17" ht="13.5" customHeight="1">
      <c r="A665" s="23"/>
      <c r="B665" s="23"/>
      <c r="C665" s="342" t="s">
        <v>595</v>
      </c>
      <c r="D665" s="469" t="s">
        <v>975</v>
      </c>
      <c r="E665" s="24"/>
      <c r="F665" s="23">
        <v>322902</v>
      </c>
      <c r="G665" s="329"/>
      <c r="H665" s="329"/>
      <c r="I665" s="329"/>
      <c r="J665" s="329"/>
      <c r="K665" s="25">
        <f>0+'táj.2.'!K665</f>
        <v>0</v>
      </c>
      <c r="L665" s="25">
        <f>51490+'táj.2.'!L665</f>
        <v>51490</v>
      </c>
      <c r="M665" s="25">
        <f>0+'táj.2.'!M665</f>
        <v>0</v>
      </c>
      <c r="N665" s="330"/>
      <c r="O665" s="329"/>
      <c r="P665" s="329"/>
      <c r="Q665" s="330">
        <f t="shared" si="45"/>
        <v>51490</v>
      </c>
    </row>
    <row r="666" spans="1:17" ht="15.75" customHeight="1">
      <c r="A666" s="17"/>
      <c r="B666" s="17"/>
      <c r="C666" s="300"/>
      <c r="D666" s="18" t="s">
        <v>467</v>
      </c>
      <c r="E666" s="669"/>
      <c r="F666" s="17"/>
      <c r="G666" s="19">
        <f aca="true" t="shared" si="46" ref="G666:Q666">SUM(G641:G665)</f>
        <v>0</v>
      </c>
      <c r="H666" s="19">
        <f t="shared" si="46"/>
        <v>0</v>
      </c>
      <c r="I666" s="19">
        <f t="shared" si="46"/>
        <v>0</v>
      </c>
      <c r="J666" s="19">
        <f t="shared" si="46"/>
        <v>0</v>
      </c>
      <c r="K666" s="19">
        <f t="shared" si="46"/>
        <v>286807</v>
      </c>
      <c r="L666" s="19">
        <f t="shared" si="46"/>
        <v>51490</v>
      </c>
      <c r="M666" s="19">
        <f t="shared" si="46"/>
        <v>10000</v>
      </c>
      <c r="N666" s="19">
        <f t="shared" si="46"/>
        <v>0</v>
      </c>
      <c r="O666" s="19">
        <f t="shared" si="46"/>
        <v>0</v>
      </c>
      <c r="P666" s="19">
        <f t="shared" si="46"/>
        <v>0</v>
      </c>
      <c r="Q666" s="19">
        <f t="shared" si="46"/>
        <v>348297</v>
      </c>
    </row>
    <row r="667" spans="1:17" ht="15.75" customHeight="1">
      <c r="A667" s="17"/>
      <c r="B667" s="17"/>
      <c r="C667" s="300"/>
      <c r="D667" s="470" t="s">
        <v>455</v>
      </c>
      <c r="E667" s="704"/>
      <c r="F667" s="707"/>
      <c r="G667" s="472">
        <f aca="true" t="shared" si="47" ref="G667:Q667">SUM(G42+G196+G212+G431+G526+G553+G571+G605+G607+G640+G666)</f>
        <v>103276</v>
      </c>
      <c r="H667" s="472">
        <f t="shared" si="47"/>
        <v>32145</v>
      </c>
      <c r="I667" s="472">
        <f t="shared" si="47"/>
        <v>2733528</v>
      </c>
      <c r="J667" s="472">
        <f t="shared" si="47"/>
        <v>211954</v>
      </c>
      <c r="K667" s="472">
        <f t="shared" si="47"/>
        <v>1577861</v>
      </c>
      <c r="L667" s="472">
        <f t="shared" si="47"/>
        <v>5002374</v>
      </c>
      <c r="M667" s="472">
        <f t="shared" si="47"/>
        <v>634030</v>
      </c>
      <c r="N667" s="472">
        <f t="shared" si="47"/>
        <v>887275</v>
      </c>
      <c r="O667" s="472">
        <f t="shared" si="47"/>
        <v>0</v>
      </c>
      <c r="P667" s="472">
        <f t="shared" si="47"/>
        <v>0</v>
      </c>
      <c r="Q667" s="472">
        <f t="shared" si="47"/>
        <v>11182443</v>
      </c>
    </row>
    <row r="668" spans="1:17" ht="15.75" customHeight="1">
      <c r="A668" s="13"/>
      <c r="B668" s="13"/>
      <c r="C668" s="13"/>
      <c r="D668" s="285" t="s">
        <v>483</v>
      </c>
      <c r="E668" s="670"/>
      <c r="F668" s="13"/>
      <c r="G668" s="73">
        <f>2936372+'táj.2.'!G668</f>
        <v>2936372</v>
      </c>
      <c r="H668" s="73">
        <f>822287+'táj.2.'!H668</f>
        <v>822287</v>
      </c>
      <c r="I668" s="73">
        <f>2337985+'táj.2.'!I668</f>
        <v>2337985</v>
      </c>
      <c r="J668" s="73">
        <f>0+'táj.2.'!J668</f>
        <v>0</v>
      </c>
      <c r="K668" s="73">
        <f>32414+'táj.2.'!K668</f>
        <v>32414</v>
      </c>
      <c r="L668" s="73">
        <f>54246+'táj.2.'!L668</f>
        <v>54246</v>
      </c>
      <c r="M668" s="73">
        <f>33921+'táj.2.'!M668</f>
        <v>33921</v>
      </c>
      <c r="N668" s="73">
        <f>0+'táj.2.'!N668</f>
        <v>0</v>
      </c>
      <c r="O668" s="73">
        <f>0+'táj.2.'!O668</f>
        <v>0</v>
      </c>
      <c r="P668" s="73">
        <f>0+'táj.2.'!P668</f>
        <v>0</v>
      </c>
      <c r="Q668" s="473">
        <f>SUM(G668:P668)</f>
        <v>6217225</v>
      </c>
    </row>
    <row r="669" spans="1:17" ht="15.75" customHeight="1">
      <c r="A669" s="17"/>
      <c r="B669" s="17"/>
      <c r="C669" s="300"/>
      <c r="D669" s="18" t="s">
        <v>468</v>
      </c>
      <c r="E669" s="705"/>
      <c r="F669" s="17"/>
      <c r="G669" s="54">
        <f aca="true" t="shared" si="48" ref="G669:Q669">SUM(G667:G668)</f>
        <v>3039648</v>
      </c>
      <c r="H669" s="54">
        <f t="shared" si="48"/>
        <v>854432</v>
      </c>
      <c r="I669" s="54">
        <f t="shared" si="48"/>
        <v>5071513</v>
      </c>
      <c r="J669" s="54">
        <f t="shared" si="48"/>
        <v>211954</v>
      </c>
      <c r="K669" s="54">
        <f t="shared" si="48"/>
        <v>1610275</v>
      </c>
      <c r="L669" s="19">
        <f t="shared" si="48"/>
        <v>5056620</v>
      </c>
      <c r="M669" s="19">
        <f t="shared" si="48"/>
        <v>667951</v>
      </c>
      <c r="N669" s="19">
        <f t="shared" si="48"/>
        <v>887275</v>
      </c>
      <c r="O669" s="19">
        <f t="shared" si="48"/>
        <v>0</v>
      </c>
      <c r="P669" s="19">
        <f t="shared" si="48"/>
        <v>0</v>
      </c>
      <c r="Q669" s="19">
        <f t="shared" si="48"/>
        <v>17399668</v>
      </c>
    </row>
    <row r="670" spans="1:17" ht="15.75" customHeight="1">
      <c r="A670" s="475"/>
      <c r="B670" s="475"/>
      <c r="C670" s="475"/>
      <c r="D670" s="476"/>
      <c r="E670" s="476"/>
      <c r="F670" s="475"/>
      <c r="G670" s="476"/>
      <c r="H670" s="476"/>
      <c r="I670" s="476"/>
      <c r="J670" s="476"/>
      <c r="K670" s="476"/>
      <c r="L670" s="476"/>
      <c r="M670" s="476"/>
      <c r="N670" s="477"/>
      <c r="O670" s="477"/>
      <c r="P670" s="477"/>
      <c r="Q670" s="476"/>
    </row>
    <row r="671" spans="1:17" ht="12">
      <c r="A671" s="32"/>
      <c r="B671" s="32"/>
      <c r="C671" s="32"/>
      <c r="D671" s="32"/>
      <c r="E671" s="32"/>
      <c r="F671" s="614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2">
      <c r="A672" s="32"/>
      <c r="B672" s="32"/>
      <c r="C672" s="32"/>
      <c r="D672" s="32"/>
      <c r="E672" s="32"/>
      <c r="F672" s="614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2">
      <c r="A673" s="32"/>
      <c r="B673" s="32"/>
      <c r="C673" s="32"/>
      <c r="D673" s="32"/>
      <c r="E673" s="32"/>
      <c r="F673" s="614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2">
      <c r="A674" s="32"/>
      <c r="B674" s="32"/>
      <c r="C674" s="32"/>
      <c r="D674" s="32"/>
      <c r="E674" s="32"/>
      <c r="F674" s="614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2">
      <c r="A675" s="32"/>
      <c r="B675" s="32"/>
      <c r="C675" s="32"/>
      <c r="D675" s="32"/>
      <c r="E675" s="32"/>
      <c r="F675" s="614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dőlt"5.a melléklet
Adatok ezer Ft-ban</oddHeader>
    <oddFooter>&amp;LFeladat jellege:
1=kötelező
2=önként vállalt
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57" sqref="C57:C58"/>
    </sheetView>
  </sheetViews>
  <sheetFormatPr defaultColWidth="9.00390625" defaultRowHeight="12.75"/>
  <cols>
    <col min="1" max="1" width="3.875" style="189" customWidth="1"/>
    <col min="2" max="2" width="3.50390625" style="189" customWidth="1"/>
    <col min="3" max="3" width="37.375" style="189" customWidth="1"/>
    <col min="4" max="4" width="12.00390625" style="189" customWidth="1"/>
    <col min="5" max="5" width="13.625" style="189" customWidth="1"/>
    <col min="6" max="6" width="13.125" style="189" customWidth="1"/>
    <col min="7" max="7" width="12.375" style="189" customWidth="1"/>
    <col min="8" max="8" width="11.375" style="189" customWidth="1"/>
    <col min="9" max="9" width="13.00390625" style="189" customWidth="1"/>
    <col min="10" max="10" width="12.00390625" style="189" customWidth="1"/>
    <col min="11" max="11" width="13.125" style="189" customWidth="1"/>
    <col min="12" max="12" width="13.875" style="189" customWidth="1"/>
    <col min="13" max="13" width="11.50390625" style="189" customWidth="1"/>
    <col min="14" max="14" width="10.625" style="189" customWidth="1"/>
    <col min="15" max="15" width="13.125" style="189" customWidth="1"/>
    <col min="16" max="16" width="10.875" style="189" bestFit="1" customWidth="1"/>
    <col min="17" max="17" width="12.125" style="189" bestFit="1" customWidth="1"/>
    <col min="18" max="16384" width="9.375" style="189" customWidth="1"/>
  </cols>
  <sheetData>
    <row r="1" spans="1:15" ht="14.25" thickBot="1">
      <c r="A1" s="718" t="s">
        <v>642</v>
      </c>
      <c r="B1" s="718" t="s">
        <v>643</v>
      </c>
      <c r="C1" s="734" t="s">
        <v>636</v>
      </c>
      <c r="D1" s="736" t="s">
        <v>1105</v>
      </c>
      <c r="E1" s="714" t="s">
        <v>660</v>
      </c>
      <c r="F1" s="714"/>
      <c r="G1" s="714"/>
      <c r="H1" s="714"/>
      <c r="I1" s="714"/>
      <c r="J1" s="714"/>
      <c r="K1" s="715"/>
      <c r="L1" s="716" t="s">
        <v>661</v>
      </c>
      <c r="M1" s="717"/>
      <c r="N1" s="717"/>
      <c r="O1" s="708" t="s">
        <v>72</v>
      </c>
    </row>
    <row r="2" spans="1:15" s="195" customFormat="1" ht="54.75" customHeight="1" thickBot="1">
      <c r="A2" s="719"/>
      <c r="B2" s="719"/>
      <c r="C2" s="735"/>
      <c r="D2" s="736"/>
      <c r="E2" s="190" t="s">
        <v>662</v>
      </c>
      <c r="F2" s="191" t="s">
        <v>663</v>
      </c>
      <c r="G2" s="192" t="s">
        <v>401</v>
      </c>
      <c r="H2" s="193" t="s">
        <v>664</v>
      </c>
      <c r="I2" s="192" t="s">
        <v>484</v>
      </c>
      <c r="J2" s="192" t="s">
        <v>665</v>
      </c>
      <c r="K2" s="192" t="s">
        <v>666</v>
      </c>
      <c r="L2" s="192" t="s">
        <v>551</v>
      </c>
      <c r="M2" s="192" t="s">
        <v>667</v>
      </c>
      <c r="N2" s="194" t="s">
        <v>668</v>
      </c>
      <c r="O2" s="709"/>
    </row>
    <row r="3" spans="1:15" s="195" customFormat="1" ht="12.75" customHeight="1">
      <c r="A3" s="196">
        <v>1</v>
      </c>
      <c r="B3" s="196"/>
      <c r="C3" s="618" t="s">
        <v>482</v>
      </c>
      <c r="D3" s="539"/>
      <c r="E3" s="641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15" s="195" customFormat="1" ht="12.75" customHeight="1">
      <c r="A4" s="196">
        <v>1</v>
      </c>
      <c r="B4" s="196">
        <v>1</v>
      </c>
      <c r="C4" s="619" t="s">
        <v>404</v>
      </c>
      <c r="D4" s="539"/>
      <c r="E4" s="641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s="204" customFormat="1" ht="13.5" customHeight="1" hidden="1">
      <c r="A5" s="201">
        <v>1</v>
      </c>
      <c r="B5" s="201">
        <v>12</v>
      </c>
      <c r="C5" s="620" t="s">
        <v>402</v>
      </c>
      <c r="D5" s="181"/>
      <c r="E5" s="203"/>
      <c r="F5" s="203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204" customFormat="1" ht="24.75" customHeight="1" hidden="1">
      <c r="A6" s="201"/>
      <c r="B6" s="201"/>
      <c r="C6" s="205" t="s">
        <v>437</v>
      </c>
      <c r="D6" s="658"/>
      <c r="E6" s="203"/>
      <c r="F6" s="203"/>
      <c r="G6" s="164"/>
      <c r="H6" s="164"/>
      <c r="I6" s="164"/>
      <c r="J6" s="164"/>
      <c r="K6" s="164"/>
      <c r="L6" s="164"/>
      <c r="M6" s="164"/>
      <c r="N6" s="164"/>
      <c r="O6" s="164"/>
    </row>
    <row r="7" spans="1:15" s="204" customFormat="1" ht="16.5" customHeight="1" hidden="1">
      <c r="A7" s="207"/>
      <c r="B7" s="207"/>
      <c r="C7" s="383" t="s">
        <v>73</v>
      </c>
      <c r="D7" s="659">
        <v>221902</v>
      </c>
      <c r="E7" s="208"/>
      <c r="F7" s="208"/>
      <c r="G7" s="164"/>
      <c r="H7" s="164"/>
      <c r="I7" s="164"/>
      <c r="J7" s="164"/>
      <c r="K7" s="164"/>
      <c r="L7" s="164"/>
      <c r="M7" s="164"/>
      <c r="N7" s="164"/>
      <c r="O7" s="164">
        <f>SUM(H7:N7)</f>
        <v>0</v>
      </c>
    </row>
    <row r="8" spans="1:15" s="204" customFormat="1" ht="13.5" customHeight="1" hidden="1">
      <c r="A8" s="209"/>
      <c r="B8" s="209"/>
      <c r="C8" s="267" t="s">
        <v>405</v>
      </c>
      <c r="D8" s="542"/>
      <c r="E8" s="224">
        <f aca="true" t="shared" si="0" ref="E8:K8">SUM(E5:E7)</f>
        <v>0</v>
      </c>
      <c r="F8" s="211">
        <f t="shared" si="0"/>
        <v>0</v>
      </c>
      <c r="G8" s="211">
        <f t="shared" si="0"/>
        <v>0</v>
      </c>
      <c r="H8" s="211">
        <f t="shared" si="0"/>
        <v>0</v>
      </c>
      <c r="I8" s="211">
        <f t="shared" si="0"/>
        <v>0</v>
      </c>
      <c r="J8" s="211">
        <f t="shared" si="0"/>
        <v>0</v>
      </c>
      <c r="K8" s="211">
        <f t="shared" si="0"/>
        <v>0</v>
      </c>
      <c r="L8" s="211"/>
      <c r="M8" s="211"/>
      <c r="N8" s="211">
        <f>SUM(N7:N7)</f>
        <v>0</v>
      </c>
      <c r="O8" s="211">
        <f>SUM(O7:O7)</f>
        <v>0</v>
      </c>
    </row>
    <row r="9" spans="1:15" s="204" customFormat="1" ht="13.5" customHeight="1" hidden="1">
      <c r="A9" s="212">
        <v>1</v>
      </c>
      <c r="B9" s="212">
        <v>13</v>
      </c>
      <c r="C9" s="620" t="s">
        <v>403</v>
      </c>
      <c r="D9" s="181"/>
      <c r="E9" s="642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 s="204" customFormat="1" ht="13.5" customHeight="1" hidden="1">
      <c r="A10" s="212"/>
      <c r="B10" s="212"/>
      <c r="C10" s="263" t="s">
        <v>74</v>
      </c>
      <c r="D10" s="660"/>
      <c r="E10" s="208"/>
      <c r="F10" s="208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204" customFormat="1" ht="24.75" customHeight="1" hidden="1">
      <c r="A11" s="212"/>
      <c r="B11" s="212"/>
      <c r="C11" s="231" t="s">
        <v>75</v>
      </c>
      <c r="D11" s="562">
        <v>131705</v>
      </c>
      <c r="E11" s="208"/>
      <c r="F11" s="208"/>
      <c r="G11" s="164"/>
      <c r="H11" s="164"/>
      <c r="I11" s="164"/>
      <c r="J11" s="164"/>
      <c r="K11" s="164"/>
      <c r="L11" s="164"/>
      <c r="M11" s="164"/>
      <c r="N11" s="164"/>
      <c r="O11" s="164">
        <f>SUM(E11:N11)</f>
        <v>0</v>
      </c>
    </row>
    <row r="12" spans="1:15" s="204" customFormat="1" ht="24.75" customHeight="1" hidden="1">
      <c r="A12" s="212"/>
      <c r="B12" s="212"/>
      <c r="C12" s="621" t="s">
        <v>76</v>
      </c>
      <c r="D12" s="562"/>
      <c r="E12" s="208"/>
      <c r="F12" s="208"/>
      <c r="G12" s="164"/>
      <c r="H12" s="164"/>
      <c r="I12" s="164"/>
      <c r="J12" s="164"/>
      <c r="K12" s="164"/>
      <c r="L12" s="164"/>
      <c r="M12" s="164"/>
      <c r="N12" s="164"/>
      <c r="O12" s="217"/>
    </row>
    <row r="13" spans="1:15" s="204" customFormat="1" ht="24.75" customHeight="1" hidden="1">
      <c r="A13" s="212"/>
      <c r="B13" s="212"/>
      <c r="C13" s="621" t="s">
        <v>77</v>
      </c>
      <c r="D13" s="562">
        <v>131703</v>
      </c>
      <c r="E13" s="208"/>
      <c r="F13" s="208"/>
      <c r="G13" s="164"/>
      <c r="H13" s="164"/>
      <c r="I13" s="164"/>
      <c r="J13" s="164"/>
      <c r="K13" s="164"/>
      <c r="L13" s="164"/>
      <c r="M13" s="164"/>
      <c r="N13" s="164"/>
      <c r="O13" s="164">
        <f>SUM(E13:N13)</f>
        <v>0</v>
      </c>
    </row>
    <row r="14" spans="1:15" s="204" customFormat="1" ht="38.25" customHeight="1" hidden="1">
      <c r="A14" s="212"/>
      <c r="B14" s="212"/>
      <c r="C14" s="218" t="s">
        <v>14</v>
      </c>
      <c r="D14" s="562"/>
      <c r="E14" s="643"/>
      <c r="F14" s="208"/>
      <c r="G14" s="208"/>
      <c r="H14" s="208"/>
      <c r="I14" s="208"/>
      <c r="J14" s="208"/>
      <c r="K14" s="208"/>
      <c r="L14" s="208"/>
      <c r="M14" s="208"/>
      <c r="N14" s="208"/>
      <c r="O14" s="164"/>
    </row>
    <row r="15" spans="1:15" s="204" customFormat="1" ht="24.75" customHeight="1" hidden="1">
      <c r="A15" s="212"/>
      <c r="B15" s="212"/>
      <c r="C15" s="622" t="s">
        <v>990</v>
      </c>
      <c r="D15" s="556"/>
      <c r="E15" s="221"/>
      <c r="F15" s="208"/>
      <c r="G15" s="208"/>
      <c r="H15" s="208"/>
      <c r="I15" s="208"/>
      <c r="J15" s="208"/>
      <c r="K15" s="208"/>
      <c r="L15" s="208"/>
      <c r="M15" s="208"/>
      <c r="N15" s="208"/>
      <c r="O15" s="164"/>
    </row>
    <row r="16" spans="1:15" s="204" customFormat="1" ht="17.25" customHeight="1" hidden="1">
      <c r="A16" s="212"/>
      <c r="B16" s="212"/>
      <c r="C16" s="218" t="s">
        <v>78</v>
      </c>
      <c r="D16" s="562">
        <v>131845</v>
      </c>
      <c r="E16" s="221"/>
      <c r="F16" s="208"/>
      <c r="G16" s="208"/>
      <c r="H16" s="208"/>
      <c r="I16" s="208"/>
      <c r="J16" s="208"/>
      <c r="K16" s="208"/>
      <c r="L16" s="208"/>
      <c r="M16" s="208"/>
      <c r="N16" s="208"/>
      <c r="O16" s="164">
        <f>SUM(E16:N16)</f>
        <v>0</v>
      </c>
    </row>
    <row r="17" spans="1:15" s="204" customFormat="1" ht="24.75" customHeight="1" hidden="1">
      <c r="A17" s="212"/>
      <c r="B17" s="212"/>
      <c r="C17" s="621" t="s">
        <v>79</v>
      </c>
      <c r="D17" s="562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164"/>
    </row>
    <row r="18" spans="1:15" s="204" customFormat="1" ht="49.5" customHeight="1" hidden="1">
      <c r="A18" s="212"/>
      <c r="B18" s="212"/>
      <c r="C18" s="228" t="s">
        <v>80</v>
      </c>
      <c r="D18" s="556">
        <v>132923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>
        <f>SUM(E18:N18)</f>
        <v>0</v>
      </c>
    </row>
    <row r="19" spans="1:15" s="204" customFormat="1" ht="13.5" customHeight="1" hidden="1">
      <c r="A19" s="209"/>
      <c r="B19" s="209"/>
      <c r="C19" s="267" t="s">
        <v>406</v>
      </c>
      <c r="D19" s="568"/>
      <c r="E19" s="224">
        <f aca="true" t="shared" si="1" ref="E19:K19">SUM(E11:E18)</f>
        <v>0</v>
      </c>
      <c r="F19" s="224">
        <f t="shared" si="1"/>
        <v>0</v>
      </c>
      <c r="G19" s="224">
        <f t="shared" si="1"/>
        <v>0</v>
      </c>
      <c r="H19" s="224">
        <f t="shared" si="1"/>
        <v>0</v>
      </c>
      <c r="I19" s="224">
        <f t="shared" si="1"/>
        <v>0</v>
      </c>
      <c r="J19" s="224">
        <f t="shared" si="1"/>
        <v>0</v>
      </c>
      <c r="K19" s="224">
        <f t="shared" si="1"/>
        <v>0</v>
      </c>
      <c r="L19" s="224"/>
      <c r="M19" s="224"/>
      <c r="N19" s="224">
        <f>SUM(N11:N18)</f>
        <v>0</v>
      </c>
      <c r="O19" s="224">
        <f>SUM(O11:O18)</f>
        <v>0</v>
      </c>
    </row>
    <row r="20" spans="1:15" s="195" customFormat="1" ht="13.5" customHeight="1" hidden="1">
      <c r="A20" s="196">
        <v>1</v>
      </c>
      <c r="B20" s="196">
        <v>15</v>
      </c>
      <c r="C20" s="619" t="s">
        <v>638</v>
      </c>
      <c r="D20" s="554"/>
      <c r="E20" s="644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s="195" customFormat="1" ht="24.75" customHeight="1" hidden="1">
      <c r="A21" s="196"/>
      <c r="B21" s="196"/>
      <c r="C21" s="158" t="s">
        <v>85</v>
      </c>
      <c r="D21" s="556"/>
      <c r="E21" s="645"/>
      <c r="F21" s="225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s="195" customFormat="1" ht="24.75" customHeight="1" hidden="1">
      <c r="A22" s="196"/>
      <c r="B22" s="196"/>
      <c r="C22" s="143" t="s">
        <v>86</v>
      </c>
      <c r="D22" s="556">
        <v>151906</v>
      </c>
      <c r="E22" s="644"/>
      <c r="F22" s="225"/>
      <c r="G22" s="225"/>
      <c r="H22" s="225"/>
      <c r="I22" s="225"/>
      <c r="J22" s="225"/>
      <c r="K22" s="225"/>
      <c r="L22" s="225"/>
      <c r="M22" s="225"/>
      <c r="N22" s="225"/>
      <c r="O22" s="225">
        <f>SUM(E22:N22)</f>
        <v>0</v>
      </c>
    </row>
    <row r="23" spans="1:15" s="195" customFormat="1" ht="12.75" customHeight="1" hidden="1">
      <c r="A23" s="196"/>
      <c r="B23" s="196"/>
      <c r="C23" s="227" t="s">
        <v>87</v>
      </c>
      <c r="D23" s="571">
        <v>151907</v>
      </c>
      <c r="E23" s="644"/>
      <c r="F23" s="225"/>
      <c r="G23" s="225"/>
      <c r="H23" s="225"/>
      <c r="I23" s="225"/>
      <c r="J23" s="225"/>
      <c r="K23" s="225"/>
      <c r="L23" s="225"/>
      <c r="M23" s="225"/>
      <c r="N23" s="225"/>
      <c r="O23" s="225">
        <f>SUM(E23:N23)</f>
        <v>0</v>
      </c>
    </row>
    <row r="24" spans="1:15" s="195" customFormat="1" ht="12.75" customHeight="1" hidden="1">
      <c r="A24" s="196"/>
      <c r="B24" s="196"/>
      <c r="C24" s="227" t="s">
        <v>88</v>
      </c>
      <c r="D24" s="571">
        <v>151915</v>
      </c>
      <c r="E24" s="644"/>
      <c r="F24" s="225"/>
      <c r="G24" s="225"/>
      <c r="H24" s="225"/>
      <c r="I24" s="225"/>
      <c r="J24" s="225"/>
      <c r="K24" s="225"/>
      <c r="L24" s="225"/>
      <c r="M24" s="225"/>
      <c r="N24" s="225"/>
      <c r="O24" s="225">
        <f>SUM(E24:N24)</f>
        <v>0</v>
      </c>
    </row>
    <row r="25" spans="1:15" s="195" customFormat="1" ht="12.75" customHeight="1" hidden="1">
      <c r="A25" s="196"/>
      <c r="B25" s="196"/>
      <c r="C25" s="228" t="s">
        <v>89</v>
      </c>
      <c r="D25" s="574"/>
      <c r="E25" s="644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s="195" customFormat="1" ht="12.75" customHeight="1" hidden="1">
      <c r="A26" s="196"/>
      <c r="B26" s="196"/>
      <c r="C26" s="227" t="s">
        <v>692</v>
      </c>
      <c r="D26" s="571">
        <v>151905</v>
      </c>
      <c r="E26" s="644"/>
      <c r="F26" s="225"/>
      <c r="G26" s="225"/>
      <c r="H26" s="225"/>
      <c r="I26" s="225"/>
      <c r="J26" s="225"/>
      <c r="K26" s="225"/>
      <c r="L26" s="225"/>
      <c r="M26" s="225"/>
      <c r="N26" s="225"/>
      <c r="O26" s="225">
        <f>SUM(E26:N26)</f>
        <v>0</v>
      </c>
    </row>
    <row r="27" spans="1:15" s="195" customFormat="1" ht="24.75" customHeight="1" hidden="1">
      <c r="A27" s="196"/>
      <c r="B27" s="196"/>
      <c r="C27" s="143" t="s">
        <v>422</v>
      </c>
      <c r="D27" s="556"/>
      <c r="E27" s="644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6" s="195" customFormat="1" ht="33.75" customHeight="1" hidden="1">
      <c r="A28" s="196"/>
      <c r="B28" s="196"/>
      <c r="C28" s="229" t="s">
        <v>433</v>
      </c>
      <c r="D28" s="661">
        <v>162105</v>
      </c>
      <c r="E28" s="644"/>
      <c r="F28" s="164"/>
      <c r="G28" s="225"/>
      <c r="H28" s="225"/>
      <c r="I28" s="225"/>
      <c r="J28" s="225"/>
      <c r="K28" s="225"/>
      <c r="L28" s="225"/>
      <c r="M28" s="225"/>
      <c r="N28" s="225"/>
      <c r="O28" s="225">
        <f>SUM(E28:N28)</f>
        <v>0</v>
      </c>
      <c r="P28" s="230"/>
    </row>
    <row r="29" spans="1:16" s="195" customFormat="1" ht="28.5" customHeight="1" hidden="1">
      <c r="A29" s="196"/>
      <c r="B29" s="196"/>
      <c r="C29" s="229" t="s">
        <v>90</v>
      </c>
      <c r="D29" s="661">
        <v>152117</v>
      </c>
      <c r="E29" s="644"/>
      <c r="F29" s="164"/>
      <c r="G29" s="225"/>
      <c r="H29" s="225"/>
      <c r="I29" s="225"/>
      <c r="J29" s="225"/>
      <c r="K29" s="225"/>
      <c r="L29" s="225"/>
      <c r="M29" s="225"/>
      <c r="N29" s="225"/>
      <c r="O29" s="225">
        <f>SUM(E29:N29)</f>
        <v>0</v>
      </c>
      <c r="P29" s="230"/>
    </row>
    <row r="30" spans="1:16" s="195" customFormat="1" ht="24.75" customHeight="1" hidden="1">
      <c r="A30" s="196"/>
      <c r="B30" s="196"/>
      <c r="C30" s="231" t="s">
        <v>726</v>
      </c>
      <c r="D30" s="562"/>
      <c r="E30" s="644"/>
      <c r="F30" s="164"/>
      <c r="G30" s="225"/>
      <c r="H30" s="225"/>
      <c r="I30" s="225"/>
      <c r="J30" s="225"/>
      <c r="K30" s="225"/>
      <c r="L30" s="225"/>
      <c r="M30" s="225"/>
      <c r="N30" s="225"/>
      <c r="O30" s="225"/>
      <c r="P30" s="230"/>
    </row>
    <row r="31" spans="1:16" s="195" customFormat="1" ht="36" customHeight="1" hidden="1">
      <c r="A31" s="196"/>
      <c r="B31" s="196"/>
      <c r="C31" s="623" t="s">
        <v>91</v>
      </c>
      <c r="D31" s="560">
        <v>152202</v>
      </c>
      <c r="E31" s="644"/>
      <c r="F31" s="164"/>
      <c r="G31" s="225"/>
      <c r="H31" s="225"/>
      <c r="I31" s="225"/>
      <c r="J31" s="225"/>
      <c r="K31" s="225"/>
      <c r="L31" s="225"/>
      <c r="M31" s="225"/>
      <c r="N31" s="225"/>
      <c r="O31" s="225">
        <f>SUM(E31:N31)</f>
        <v>0</v>
      </c>
      <c r="P31" s="230"/>
    </row>
    <row r="32" spans="1:16" s="195" customFormat="1" ht="36" customHeight="1" hidden="1">
      <c r="A32" s="196"/>
      <c r="B32" s="196"/>
      <c r="C32" s="623" t="s">
        <v>282</v>
      </c>
      <c r="D32" s="560">
        <v>152204</v>
      </c>
      <c r="E32" s="644"/>
      <c r="F32" s="164"/>
      <c r="G32" s="225"/>
      <c r="H32" s="225"/>
      <c r="I32" s="225"/>
      <c r="J32" s="225"/>
      <c r="K32" s="225"/>
      <c r="L32" s="225"/>
      <c r="M32" s="225"/>
      <c r="N32" s="225"/>
      <c r="O32" s="225">
        <f>SUM(E32:N32)</f>
        <v>0</v>
      </c>
      <c r="P32" s="230"/>
    </row>
    <row r="33" spans="1:16" s="195" customFormat="1" ht="15" customHeight="1" hidden="1">
      <c r="A33" s="196"/>
      <c r="B33" s="196"/>
      <c r="C33" s="232" t="s">
        <v>92</v>
      </c>
      <c r="D33" s="560">
        <v>152920</v>
      </c>
      <c r="E33" s="644"/>
      <c r="F33" s="164"/>
      <c r="G33" s="225"/>
      <c r="H33" s="225"/>
      <c r="I33" s="225"/>
      <c r="J33" s="225"/>
      <c r="K33" s="225"/>
      <c r="L33" s="225"/>
      <c r="M33" s="225"/>
      <c r="N33" s="225"/>
      <c r="O33" s="225">
        <f>SUM(E33:N33)</f>
        <v>0</v>
      </c>
      <c r="P33" s="230"/>
    </row>
    <row r="34" spans="1:15" s="195" customFormat="1" ht="24.75" customHeight="1" hidden="1">
      <c r="A34" s="196"/>
      <c r="B34" s="196"/>
      <c r="C34" s="143" t="s">
        <v>93</v>
      </c>
      <c r="D34" s="556"/>
      <c r="E34" s="646"/>
      <c r="F34" s="233"/>
      <c r="G34" s="225"/>
      <c r="H34" s="164"/>
      <c r="I34" s="164"/>
      <c r="J34" s="164"/>
      <c r="K34" s="164"/>
      <c r="L34" s="164"/>
      <c r="M34" s="164"/>
      <c r="N34" s="164"/>
      <c r="O34" s="225"/>
    </row>
    <row r="35" spans="1:15" s="195" customFormat="1" ht="24.75" customHeight="1" hidden="1">
      <c r="A35" s="196"/>
      <c r="B35" s="196"/>
      <c r="C35" s="231" t="s">
        <v>94</v>
      </c>
      <c r="D35" s="562">
        <v>151910</v>
      </c>
      <c r="E35" s="647"/>
      <c r="F35" s="233"/>
      <c r="G35" s="225"/>
      <c r="H35" s="164"/>
      <c r="I35" s="164"/>
      <c r="J35" s="164"/>
      <c r="K35" s="164"/>
      <c r="L35" s="164"/>
      <c r="M35" s="164"/>
      <c r="N35" s="164"/>
      <c r="O35" s="225">
        <f>SUM(E35:N35)</f>
        <v>0</v>
      </c>
    </row>
    <row r="36" spans="1:15" s="195" customFormat="1" ht="12.75" customHeight="1" hidden="1">
      <c r="A36" s="209"/>
      <c r="B36" s="209"/>
      <c r="C36" s="235" t="s">
        <v>576</v>
      </c>
      <c r="D36" s="568"/>
      <c r="E36" s="224">
        <f aca="true" t="shared" si="2" ref="E36:K36">SUM(E21:E35)</f>
        <v>0</v>
      </c>
      <c r="F36" s="211">
        <f t="shared" si="2"/>
        <v>0</v>
      </c>
      <c r="G36" s="211">
        <f t="shared" si="2"/>
        <v>0</v>
      </c>
      <c r="H36" s="211">
        <f t="shared" si="2"/>
        <v>0</v>
      </c>
      <c r="I36" s="211">
        <f t="shared" si="2"/>
        <v>0</v>
      </c>
      <c r="J36" s="211">
        <f t="shared" si="2"/>
        <v>0</v>
      </c>
      <c r="K36" s="211">
        <f t="shared" si="2"/>
        <v>0</v>
      </c>
      <c r="L36" s="211"/>
      <c r="M36" s="211"/>
      <c r="N36" s="211">
        <f>SUM(N21:N35)</f>
        <v>0</v>
      </c>
      <c r="O36" s="211">
        <f>SUM(O21:O35)</f>
        <v>0</v>
      </c>
    </row>
    <row r="37" spans="1:15" s="195" customFormat="1" ht="12.75" customHeight="1">
      <c r="A37" s="196">
        <v>1</v>
      </c>
      <c r="B37" s="196" t="s">
        <v>434</v>
      </c>
      <c r="C37" s="619" t="s">
        <v>471</v>
      </c>
      <c r="D37" s="554"/>
      <c r="E37" s="644"/>
      <c r="F37" s="225"/>
      <c r="G37" s="225"/>
      <c r="H37" s="225"/>
      <c r="I37" s="225"/>
      <c r="J37" s="225"/>
      <c r="K37" s="225"/>
      <c r="L37" s="225"/>
      <c r="M37" s="225"/>
      <c r="N37" s="225"/>
      <c r="O37" s="225"/>
    </row>
    <row r="38" spans="1:15" s="195" customFormat="1" ht="27" customHeight="1" hidden="1">
      <c r="A38" s="196"/>
      <c r="B38" s="196"/>
      <c r="C38" s="143" t="s">
        <v>95</v>
      </c>
      <c r="D38" s="556"/>
      <c r="E38" s="259"/>
      <c r="F38" s="225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s="195" customFormat="1" ht="15" customHeight="1" hidden="1">
      <c r="A39" s="196"/>
      <c r="B39" s="196"/>
      <c r="C39" s="263" t="s">
        <v>96</v>
      </c>
      <c r="D39" s="556">
        <v>162104</v>
      </c>
      <c r="E39" s="646"/>
      <c r="F39" s="233"/>
      <c r="G39" s="225"/>
      <c r="H39" s="225"/>
      <c r="I39" s="225"/>
      <c r="J39" s="225"/>
      <c r="K39" s="225"/>
      <c r="L39" s="225"/>
      <c r="M39" s="225"/>
      <c r="N39" s="225"/>
      <c r="O39" s="225">
        <f>SUM(E39:N39)</f>
        <v>0</v>
      </c>
    </row>
    <row r="40" spans="1:15" s="195" customFormat="1" ht="15" customHeight="1" hidden="1">
      <c r="A40" s="196"/>
      <c r="B40" s="196"/>
      <c r="C40" s="227" t="s">
        <v>97</v>
      </c>
      <c r="D40" s="564"/>
      <c r="E40" s="644"/>
      <c r="F40" s="225"/>
      <c r="G40" s="225"/>
      <c r="H40" s="164"/>
      <c r="I40" s="164"/>
      <c r="J40" s="164"/>
      <c r="K40" s="164"/>
      <c r="L40" s="164"/>
      <c r="M40" s="164"/>
      <c r="N40" s="164"/>
      <c r="O40" s="225">
        <f>SUM(E40:N40)</f>
        <v>0</v>
      </c>
    </row>
    <row r="41" spans="1:15" s="195" customFormat="1" ht="36" customHeight="1" hidden="1">
      <c r="A41" s="196"/>
      <c r="B41" s="196"/>
      <c r="C41" s="624" t="s">
        <v>648</v>
      </c>
      <c r="D41" s="560">
        <v>162664</v>
      </c>
      <c r="E41" s="644"/>
      <c r="F41" s="225"/>
      <c r="G41" s="225"/>
      <c r="H41" s="164"/>
      <c r="I41" s="164"/>
      <c r="J41" s="164"/>
      <c r="K41" s="164"/>
      <c r="L41" s="164"/>
      <c r="M41" s="164"/>
      <c r="N41" s="164"/>
      <c r="O41" s="225">
        <f>SUM(E41:N41)</f>
        <v>0</v>
      </c>
    </row>
    <row r="42" spans="1:15" s="195" customFormat="1" ht="36" customHeight="1" hidden="1">
      <c r="A42" s="196"/>
      <c r="B42" s="196"/>
      <c r="C42" s="624" t="s">
        <v>649</v>
      </c>
      <c r="D42" s="560">
        <v>162665</v>
      </c>
      <c r="E42" s="644"/>
      <c r="F42" s="225"/>
      <c r="G42" s="225"/>
      <c r="H42" s="164"/>
      <c r="I42" s="164"/>
      <c r="J42" s="164"/>
      <c r="K42" s="164"/>
      <c r="L42" s="164"/>
      <c r="M42" s="164"/>
      <c r="N42" s="164"/>
      <c r="O42" s="225">
        <f>SUM(E42:N42)</f>
        <v>0</v>
      </c>
    </row>
    <row r="43" spans="1:15" s="195" customFormat="1" ht="36" customHeight="1" hidden="1">
      <c r="A43" s="196"/>
      <c r="B43" s="196"/>
      <c r="C43" s="625" t="s">
        <v>475</v>
      </c>
      <c r="D43" s="562">
        <v>162662</v>
      </c>
      <c r="E43" s="644"/>
      <c r="F43" s="225"/>
      <c r="G43" s="225"/>
      <c r="H43" s="164"/>
      <c r="I43" s="164"/>
      <c r="J43" s="164"/>
      <c r="K43" s="164"/>
      <c r="L43" s="164"/>
      <c r="M43" s="164"/>
      <c r="N43" s="164"/>
      <c r="O43" s="225">
        <f>SUM(E43:N43)</f>
        <v>0</v>
      </c>
    </row>
    <row r="44" spans="1:15" s="195" customFormat="1" ht="31.5" customHeight="1" hidden="1">
      <c r="A44" s="196"/>
      <c r="B44" s="196"/>
      <c r="C44" s="143" t="s">
        <v>40</v>
      </c>
      <c r="D44" s="556"/>
      <c r="E44" s="644"/>
      <c r="F44" s="225"/>
      <c r="G44" s="225"/>
      <c r="H44" s="164"/>
      <c r="I44" s="164"/>
      <c r="J44" s="164"/>
      <c r="K44" s="164"/>
      <c r="L44" s="164"/>
      <c r="M44" s="164"/>
      <c r="N44" s="164"/>
      <c r="O44" s="225"/>
    </row>
    <row r="45" spans="1:15" s="195" customFormat="1" ht="49.5" customHeight="1" hidden="1">
      <c r="A45" s="196"/>
      <c r="B45" s="196"/>
      <c r="C45" s="625" t="s">
        <v>98</v>
      </c>
      <c r="D45" s="562">
        <v>162711</v>
      </c>
      <c r="E45" s="644"/>
      <c r="F45" s="225"/>
      <c r="G45" s="225"/>
      <c r="H45" s="164"/>
      <c r="I45" s="164"/>
      <c r="J45" s="164"/>
      <c r="K45" s="164"/>
      <c r="L45" s="164"/>
      <c r="M45" s="164"/>
      <c r="N45" s="164"/>
      <c r="O45" s="225">
        <f aca="true" t="shared" si="3" ref="O45:O53">SUM(E45:N45)</f>
        <v>0</v>
      </c>
    </row>
    <row r="46" spans="1:15" s="195" customFormat="1" ht="63" customHeight="1" hidden="1">
      <c r="A46" s="196"/>
      <c r="B46" s="196"/>
      <c r="C46" s="239" t="s">
        <v>99</v>
      </c>
      <c r="D46" s="562">
        <v>162712</v>
      </c>
      <c r="E46" s="644"/>
      <c r="F46" s="225"/>
      <c r="G46" s="225"/>
      <c r="H46" s="164"/>
      <c r="I46" s="164"/>
      <c r="J46" s="164"/>
      <c r="K46" s="164"/>
      <c r="L46" s="164"/>
      <c r="M46" s="164"/>
      <c r="N46" s="164"/>
      <c r="O46" s="225">
        <f t="shared" si="3"/>
        <v>0</v>
      </c>
    </row>
    <row r="47" spans="1:15" s="195" customFormat="1" ht="24.75" customHeight="1" hidden="1">
      <c r="A47" s="196"/>
      <c r="B47" s="196"/>
      <c r="C47" s="158" t="s">
        <v>100</v>
      </c>
      <c r="D47" s="556"/>
      <c r="E47" s="648"/>
      <c r="F47" s="225"/>
      <c r="G47" s="225"/>
      <c r="H47" s="164"/>
      <c r="I47" s="164"/>
      <c r="J47" s="164"/>
      <c r="K47" s="164"/>
      <c r="L47" s="164"/>
      <c r="M47" s="164"/>
      <c r="N47" s="164"/>
      <c r="O47" s="225">
        <f t="shared" si="3"/>
        <v>0</v>
      </c>
    </row>
    <row r="48" spans="1:15" s="195" customFormat="1" ht="24.75" customHeight="1" hidden="1">
      <c r="A48" s="196"/>
      <c r="B48" s="196"/>
      <c r="C48" s="626" t="s">
        <v>101</v>
      </c>
      <c r="D48" s="562">
        <v>162674</v>
      </c>
      <c r="E48" s="644"/>
      <c r="F48" s="225"/>
      <c r="G48" s="225"/>
      <c r="H48" s="164"/>
      <c r="I48" s="164"/>
      <c r="J48" s="164"/>
      <c r="K48" s="164"/>
      <c r="L48" s="164"/>
      <c r="M48" s="164"/>
      <c r="N48" s="164"/>
      <c r="O48" s="225">
        <f t="shared" si="3"/>
        <v>0</v>
      </c>
    </row>
    <row r="49" spans="1:15" s="195" customFormat="1" ht="24.75" customHeight="1" hidden="1">
      <c r="A49" s="196"/>
      <c r="B49" s="196"/>
      <c r="C49" s="622" t="s">
        <v>990</v>
      </c>
      <c r="D49" s="556"/>
      <c r="E49" s="644"/>
      <c r="F49" s="225"/>
      <c r="G49" s="225"/>
      <c r="H49" s="164"/>
      <c r="I49" s="164"/>
      <c r="J49" s="164"/>
      <c r="K49" s="164"/>
      <c r="L49" s="164"/>
      <c r="M49" s="164"/>
      <c r="N49" s="164"/>
      <c r="O49" s="225">
        <f t="shared" si="3"/>
        <v>0</v>
      </c>
    </row>
    <row r="50" spans="1:15" s="195" customFormat="1" ht="49.5" customHeight="1" hidden="1">
      <c r="A50" s="196"/>
      <c r="B50" s="196"/>
      <c r="C50" s="627" t="s">
        <v>102</v>
      </c>
      <c r="D50" s="560">
        <v>162671</v>
      </c>
      <c r="E50" s="644"/>
      <c r="F50" s="225"/>
      <c r="G50" s="225"/>
      <c r="H50" s="164"/>
      <c r="I50" s="164"/>
      <c r="J50" s="164"/>
      <c r="K50" s="164"/>
      <c r="L50" s="164"/>
      <c r="M50" s="164"/>
      <c r="N50" s="164"/>
      <c r="O50" s="225">
        <f t="shared" si="3"/>
        <v>0</v>
      </c>
    </row>
    <row r="51" spans="1:15" s="195" customFormat="1" ht="37.5" customHeight="1" hidden="1">
      <c r="A51" s="196"/>
      <c r="B51" s="196"/>
      <c r="C51" s="628" t="s">
        <v>543</v>
      </c>
      <c r="D51" s="560">
        <v>162673</v>
      </c>
      <c r="E51" s="644"/>
      <c r="F51" s="225"/>
      <c r="G51" s="225"/>
      <c r="H51" s="164"/>
      <c r="I51" s="164"/>
      <c r="J51" s="164"/>
      <c r="K51" s="164"/>
      <c r="L51" s="164"/>
      <c r="M51" s="164"/>
      <c r="N51" s="164"/>
      <c r="O51" s="225">
        <f t="shared" si="3"/>
        <v>0</v>
      </c>
    </row>
    <row r="52" spans="1:15" s="195" customFormat="1" ht="37.5" customHeight="1" hidden="1">
      <c r="A52" s="196"/>
      <c r="B52" s="196"/>
      <c r="C52" s="243" t="s">
        <v>39</v>
      </c>
      <c r="D52" s="560">
        <v>162606</v>
      </c>
      <c r="E52" s="646"/>
      <c r="F52" s="233"/>
      <c r="G52" s="225"/>
      <c r="H52" s="164"/>
      <c r="I52" s="164"/>
      <c r="J52" s="164"/>
      <c r="K52" s="164"/>
      <c r="L52" s="164"/>
      <c r="M52" s="164"/>
      <c r="N52" s="164"/>
      <c r="O52" s="225">
        <f t="shared" si="3"/>
        <v>0</v>
      </c>
    </row>
    <row r="53" spans="1:15" s="195" customFormat="1" ht="29.25" customHeight="1" hidden="1">
      <c r="A53" s="196"/>
      <c r="B53" s="196"/>
      <c r="C53" s="110" t="s">
        <v>103</v>
      </c>
      <c r="D53" s="560">
        <v>162678</v>
      </c>
      <c r="E53" s="646"/>
      <c r="F53" s="233"/>
      <c r="G53" s="225"/>
      <c r="H53" s="164"/>
      <c r="I53" s="164"/>
      <c r="J53" s="164"/>
      <c r="K53" s="164"/>
      <c r="L53" s="164"/>
      <c r="M53" s="164"/>
      <c r="N53" s="164"/>
      <c r="O53" s="225">
        <f t="shared" si="3"/>
        <v>0</v>
      </c>
    </row>
    <row r="54" spans="1:15" s="195" customFormat="1" ht="15" customHeight="1" hidden="1">
      <c r="A54" s="196"/>
      <c r="B54" s="196"/>
      <c r="C54" s="244" t="s">
        <v>986</v>
      </c>
      <c r="D54" s="564"/>
      <c r="E54" s="649"/>
      <c r="F54" s="233"/>
      <c r="G54" s="225"/>
      <c r="H54" s="164"/>
      <c r="I54" s="164"/>
      <c r="J54" s="164"/>
      <c r="K54" s="164"/>
      <c r="L54" s="164"/>
      <c r="M54" s="164"/>
      <c r="N54" s="164"/>
      <c r="O54" s="225"/>
    </row>
    <row r="55" spans="1:15" s="195" customFormat="1" ht="39.75" customHeight="1" hidden="1">
      <c r="A55" s="196"/>
      <c r="B55" s="196"/>
      <c r="C55" s="246" t="s">
        <v>104</v>
      </c>
      <c r="D55" s="560">
        <v>162973</v>
      </c>
      <c r="E55" s="646"/>
      <c r="F55" s="233"/>
      <c r="G55" s="225"/>
      <c r="H55" s="164"/>
      <c r="I55" s="164"/>
      <c r="J55" s="164"/>
      <c r="K55" s="164"/>
      <c r="L55" s="164"/>
      <c r="M55" s="164"/>
      <c r="N55" s="164"/>
      <c r="O55" s="225">
        <f>SUM(E55:N55)</f>
        <v>0</v>
      </c>
    </row>
    <row r="56" spans="1:15" s="195" customFormat="1" ht="39.75" customHeight="1" hidden="1">
      <c r="A56" s="196"/>
      <c r="B56" s="196"/>
      <c r="C56" s="246" t="s">
        <v>105</v>
      </c>
      <c r="D56" s="560">
        <v>162974</v>
      </c>
      <c r="E56" s="646"/>
      <c r="F56" s="233"/>
      <c r="G56" s="225"/>
      <c r="H56" s="164"/>
      <c r="I56" s="164"/>
      <c r="J56" s="164"/>
      <c r="K56" s="164"/>
      <c r="L56" s="164"/>
      <c r="M56" s="164"/>
      <c r="N56" s="164"/>
      <c r="O56" s="225">
        <f>SUM(E56:N56)</f>
        <v>0</v>
      </c>
    </row>
    <row r="57" spans="1:15" s="195" customFormat="1" ht="27.75" customHeight="1">
      <c r="A57" s="196"/>
      <c r="B57" s="196"/>
      <c r="C57" s="143" t="s">
        <v>422</v>
      </c>
      <c r="D57" s="560"/>
      <c r="E57" s="646"/>
      <c r="F57" s="233"/>
      <c r="G57" s="225"/>
      <c r="H57" s="164"/>
      <c r="I57" s="164"/>
      <c r="J57" s="164"/>
      <c r="K57" s="164"/>
      <c r="L57" s="164"/>
      <c r="M57" s="164"/>
      <c r="N57" s="164"/>
      <c r="O57" s="225"/>
    </row>
    <row r="58" spans="1:15" s="195" customFormat="1" ht="25.5" customHeight="1">
      <c r="A58" s="196"/>
      <c r="B58" s="196"/>
      <c r="C58" s="629" t="s">
        <v>734</v>
      </c>
      <c r="D58" s="560">
        <v>161905</v>
      </c>
      <c r="E58" s="646">
        <v>60000</v>
      </c>
      <c r="F58" s="233"/>
      <c r="G58" s="225"/>
      <c r="H58" s="164"/>
      <c r="I58" s="164"/>
      <c r="J58" s="164"/>
      <c r="K58" s="164"/>
      <c r="L58" s="164"/>
      <c r="M58" s="164"/>
      <c r="N58" s="164"/>
      <c r="O58" s="225">
        <f>SUM(E58:N58)</f>
        <v>60000</v>
      </c>
    </row>
    <row r="59" spans="1:15" s="195" customFormat="1" ht="12.75" customHeight="1">
      <c r="A59" s="209"/>
      <c r="B59" s="209"/>
      <c r="C59" s="235" t="s">
        <v>463</v>
      </c>
      <c r="D59" s="568"/>
      <c r="E59" s="224">
        <f>SUM(E38:E58)</f>
        <v>60000</v>
      </c>
      <c r="F59" s="211">
        <f aca="true" t="shared" si="4" ref="F59:O59">SUM(F38:F58)</f>
        <v>0</v>
      </c>
      <c r="G59" s="211">
        <f t="shared" si="4"/>
        <v>0</v>
      </c>
      <c r="H59" s="211">
        <f t="shared" si="4"/>
        <v>0</v>
      </c>
      <c r="I59" s="211">
        <f t="shared" si="4"/>
        <v>0</v>
      </c>
      <c r="J59" s="211">
        <f t="shared" si="4"/>
        <v>0</v>
      </c>
      <c r="K59" s="211">
        <f t="shared" si="4"/>
        <v>0</v>
      </c>
      <c r="L59" s="211">
        <f t="shared" si="4"/>
        <v>0</v>
      </c>
      <c r="M59" s="211">
        <f t="shared" si="4"/>
        <v>0</v>
      </c>
      <c r="N59" s="211">
        <f t="shared" si="4"/>
        <v>0</v>
      </c>
      <c r="O59" s="211">
        <f t="shared" si="4"/>
        <v>60000</v>
      </c>
    </row>
    <row r="60" spans="1:15" s="195" customFormat="1" ht="12.75" customHeight="1">
      <c r="A60" s="196">
        <v>1</v>
      </c>
      <c r="B60" s="196">
        <v>17</v>
      </c>
      <c r="C60" s="619" t="s">
        <v>639</v>
      </c>
      <c r="D60" s="554"/>
      <c r="E60" s="644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1:15" s="195" customFormat="1" ht="24" customHeight="1" hidden="1">
      <c r="A61" s="196"/>
      <c r="B61" s="196"/>
      <c r="C61" s="143" t="s">
        <v>422</v>
      </c>
      <c r="D61" s="556"/>
      <c r="E61" s="64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1:16" s="195" customFormat="1" ht="13.5" customHeight="1" hidden="1">
      <c r="A62" s="196"/>
      <c r="B62" s="196"/>
      <c r="C62" s="227" t="s">
        <v>106</v>
      </c>
      <c r="D62" s="571">
        <v>171907</v>
      </c>
      <c r="E62" s="644"/>
      <c r="F62" s="225"/>
      <c r="G62" s="225"/>
      <c r="H62" s="225"/>
      <c r="I62" s="164"/>
      <c r="J62" s="225"/>
      <c r="K62" s="225"/>
      <c r="L62" s="225"/>
      <c r="M62" s="225"/>
      <c r="N62" s="225"/>
      <c r="O62" s="225">
        <f>SUM(E62:N62)</f>
        <v>0</v>
      </c>
      <c r="P62" s="230"/>
    </row>
    <row r="63" spans="1:16" s="195" customFormat="1" ht="13.5" customHeight="1" hidden="1">
      <c r="A63" s="196"/>
      <c r="B63" s="196"/>
      <c r="C63" s="248" t="s">
        <v>107</v>
      </c>
      <c r="D63" s="571">
        <v>171916</v>
      </c>
      <c r="E63" s="644"/>
      <c r="F63" s="225"/>
      <c r="G63" s="225"/>
      <c r="H63" s="225"/>
      <c r="I63" s="164"/>
      <c r="J63" s="225"/>
      <c r="K63" s="225"/>
      <c r="L63" s="225"/>
      <c r="M63" s="225"/>
      <c r="N63" s="225"/>
      <c r="O63" s="225">
        <f>SUM(E63:N63)</f>
        <v>0</v>
      </c>
      <c r="P63" s="230"/>
    </row>
    <row r="64" spans="1:15" s="195" customFormat="1" ht="16.5" customHeight="1" hidden="1">
      <c r="A64" s="196"/>
      <c r="B64" s="196"/>
      <c r="C64" s="630" t="s">
        <v>108</v>
      </c>
      <c r="D64" s="662">
        <v>171912</v>
      </c>
      <c r="E64" s="644"/>
      <c r="F64" s="225"/>
      <c r="G64" s="225"/>
      <c r="H64" s="225"/>
      <c r="I64" s="164"/>
      <c r="J64" s="225"/>
      <c r="K64" s="225"/>
      <c r="L64" s="225"/>
      <c r="M64" s="225"/>
      <c r="N64" s="225"/>
      <c r="O64" s="225">
        <f>SUM(E64:N64)</f>
        <v>0</v>
      </c>
    </row>
    <row r="65" spans="1:15" s="195" customFormat="1" ht="25.5" customHeight="1" hidden="1">
      <c r="A65" s="196"/>
      <c r="B65" s="196"/>
      <c r="C65" s="263" t="s">
        <v>109</v>
      </c>
      <c r="D65" s="574"/>
      <c r="E65" s="644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1:15" s="195" customFormat="1" ht="13.5" customHeight="1" hidden="1">
      <c r="A66" s="196"/>
      <c r="B66" s="196"/>
      <c r="C66" s="631" t="s">
        <v>110</v>
      </c>
      <c r="D66" s="571">
        <v>171980</v>
      </c>
      <c r="E66" s="644"/>
      <c r="F66" s="225"/>
      <c r="G66" s="225"/>
      <c r="H66" s="164"/>
      <c r="I66" s="225"/>
      <c r="J66" s="225"/>
      <c r="K66" s="225"/>
      <c r="L66" s="225"/>
      <c r="M66" s="225"/>
      <c r="N66" s="225"/>
      <c r="O66" s="225">
        <f>SUM(E66:N66)</f>
        <v>0</v>
      </c>
    </row>
    <row r="67" spans="1:15" s="195" customFormat="1" ht="26.25" customHeight="1" hidden="1">
      <c r="A67" s="251"/>
      <c r="B67" s="251"/>
      <c r="C67" s="143" t="s">
        <v>422</v>
      </c>
      <c r="D67" s="574"/>
      <c r="E67" s="650"/>
      <c r="F67" s="252"/>
      <c r="G67" s="252"/>
      <c r="H67" s="252"/>
      <c r="I67" s="252"/>
      <c r="J67" s="252"/>
      <c r="K67" s="252"/>
      <c r="L67" s="252"/>
      <c r="M67" s="252"/>
      <c r="N67" s="252"/>
      <c r="O67" s="225"/>
    </row>
    <row r="68" spans="1:15" s="195" customFormat="1" ht="26.25" customHeight="1" hidden="1">
      <c r="A68" s="251"/>
      <c r="B68" s="251"/>
      <c r="C68" s="263" t="s">
        <v>729</v>
      </c>
      <c r="D68" s="574">
        <v>171905</v>
      </c>
      <c r="E68" s="644"/>
      <c r="F68" s="225"/>
      <c r="G68" s="225"/>
      <c r="H68" s="225"/>
      <c r="I68" s="225"/>
      <c r="J68" s="225"/>
      <c r="K68" s="225"/>
      <c r="L68" s="225"/>
      <c r="M68" s="225"/>
      <c r="N68" s="225"/>
      <c r="O68" s="225">
        <f>SUM(E68:N68)</f>
        <v>0</v>
      </c>
    </row>
    <row r="69" spans="1:15" s="195" customFormat="1" ht="13.5" customHeight="1" hidden="1">
      <c r="A69" s="253"/>
      <c r="B69" s="253"/>
      <c r="C69" s="227" t="s">
        <v>111</v>
      </c>
      <c r="D69" s="571">
        <v>171909</v>
      </c>
      <c r="E69" s="644"/>
      <c r="F69" s="225"/>
      <c r="G69" s="225"/>
      <c r="H69" s="225"/>
      <c r="I69" s="225"/>
      <c r="J69" s="225"/>
      <c r="K69" s="225"/>
      <c r="L69" s="225"/>
      <c r="M69" s="225"/>
      <c r="N69" s="225"/>
      <c r="O69" s="225">
        <f>SUM(E69:N69)</f>
        <v>0</v>
      </c>
    </row>
    <row r="70" spans="1:15" s="195" customFormat="1" ht="13.5" customHeight="1" hidden="1">
      <c r="A70" s="253"/>
      <c r="B70" s="253"/>
      <c r="C70" s="632" t="s">
        <v>112</v>
      </c>
      <c r="D70" s="571">
        <v>171913</v>
      </c>
      <c r="E70" s="651"/>
      <c r="F70" s="254"/>
      <c r="G70" s="254"/>
      <c r="H70" s="254"/>
      <c r="I70" s="254"/>
      <c r="J70" s="254"/>
      <c r="K70" s="254"/>
      <c r="L70" s="254"/>
      <c r="M70" s="254"/>
      <c r="N70" s="254"/>
      <c r="O70" s="225">
        <f>SUM(E70:N70)</f>
        <v>0</v>
      </c>
    </row>
    <row r="71" spans="1:15" s="195" customFormat="1" ht="24.75" customHeight="1" hidden="1">
      <c r="A71" s="253"/>
      <c r="B71" s="253"/>
      <c r="C71" s="622" t="s">
        <v>990</v>
      </c>
      <c r="D71" s="574"/>
      <c r="E71" s="651"/>
      <c r="F71" s="254"/>
      <c r="G71" s="254"/>
      <c r="H71" s="254"/>
      <c r="I71" s="254"/>
      <c r="J71" s="254"/>
      <c r="K71" s="254"/>
      <c r="L71" s="254"/>
      <c r="M71" s="254"/>
      <c r="N71" s="254"/>
      <c r="O71" s="225"/>
    </row>
    <row r="72" spans="1:15" s="195" customFormat="1" ht="15" customHeight="1" hidden="1">
      <c r="A72" s="253"/>
      <c r="B72" s="253"/>
      <c r="C72" s="227" t="s">
        <v>113</v>
      </c>
      <c r="D72" s="571">
        <v>171901</v>
      </c>
      <c r="E72" s="651"/>
      <c r="F72" s="254"/>
      <c r="G72" s="254"/>
      <c r="H72" s="254"/>
      <c r="I72" s="254"/>
      <c r="J72" s="254"/>
      <c r="K72" s="254"/>
      <c r="L72" s="254"/>
      <c r="M72" s="254"/>
      <c r="N72" s="254"/>
      <c r="O72" s="225">
        <f>SUM(E72:N72)</f>
        <v>0</v>
      </c>
    </row>
    <row r="73" spans="1:15" s="195" customFormat="1" ht="24.75" customHeight="1" hidden="1">
      <c r="A73" s="196"/>
      <c r="B73" s="196"/>
      <c r="C73" s="633" t="s">
        <v>114</v>
      </c>
      <c r="D73" s="574"/>
      <c r="E73" s="644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1:15" s="195" customFormat="1" ht="24.75" customHeight="1" hidden="1">
      <c r="A74" s="196"/>
      <c r="B74" s="196"/>
      <c r="C74" s="634" t="s">
        <v>115</v>
      </c>
      <c r="D74" s="582">
        <v>171908</v>
      </c>
      <c r="E74" s="644"/>
      <c r="F74" s="225"/>
      <c r="G74" s="225"/>
      <c r="H74" s="225"/>
      <c r="I74" s="225"/>
      <c r="J74" s="225"/>
      <c r="K74" s="225"/>
      <c r="L74" s="225"/>
      <c r="M74" s="225"/>
      <c r="N74" s="225"/>
      <c r="O74" s="225">
        <f>SUM(E74:N74)</f>
        <v>0</v>
      </c>
    </row>
    <row r="75" spans="1:15" s="195" customFormat="1" ht="24.75" customHeight="1" hidden="1">
      <c r="A75" s="196"/>
      <c r="B75" s="196"/>
      <c r="C75" s="143" t="s">
        <v>422</v>
      </c>
      <c r="D75" s="574"/>
      <c r="E75" s="651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1:15" s="195" customFormat="1" ht="13.5" customHeight="1" hidden="1">
      <c r="A76" s="196"/>
      <c r="B76" s="196"/>
      <c r="C76" s="635" t="s">
        <v>116</v>
      </c>
      <c r="D76" s="571"/>
      <c r="E76" s="644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1:15" s="195" customFormat="1" ht="24.75" customHeight="1" hidden="1">
      <c r="A77" s="196"/>
      <c r="B77" s="196"/>
      <c r="C77" s="155" t="s">
        <v>117</v>
      </c>
      <c r="D77" s="582"/>
      <c r="E77" s="652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1:15" s="195" customFormat="1" ht="24.75" customHeight="1" hidden="1">
      <c r="A78" s="196"/>
      <c r="B78" s="196"/>
      <c r="C78" s="263" t="s">
        <v>118</v>
      </c>
      <c r="D78" s="574">
        <v>121401</v>
      </c>
      <c r="E78" s="646"/>
      <c r="F78" s="234"/>
      <c r="G78" s="233"/>
      <c r="H78" s="225"/>
      <c r="I78" s="225"/>
      <c r="J78" s="225"/>
      <c r="K78" s="225"/>
      <c r="L78" s="225"/>
      <c r="M78" s="225"/>
      <c r="N78" s="225"/>
      <c r="O78" s="225">
        <f>SUM(E78:N78)</f>
        <v>0</v>
      </c>
    </row>
    <row r="79" spans="1:15" s="195" customFormat="1" ht="24.75" customHeight="1">
      <c r="A79" s="196"/>
      <c r="B79" s="196"/>
      <c r="C79" s="205" t="s">
        <v>423</v>
      </c>
      <c r="D79" s="663"/>
      <c r="E79" s="646"/>
      <c r="F79" s="234"/>
      <c r="G79" s="233"/>
      <c r="H79" s="225"/>
      <c r="I79" s="225"/>
      <c r="J79" s="225"/>
      <c r="K79" s="225"/>
      <c r="L79" s="225"/>
      <c r="M79" s="225"/>
      <c r="N79" s="225"/>
      <c r="O79" s="225"/>
    </row>
    <row r="80" spans="1:16" s="195" customFormat="1" ht="24.75" customHeight="1">
      <c r="A80" s="196"/>
      <c r="B80" s="196"/>
      <c r="C80" s="622" t="s">
        <v>119</v>
      </c>
      <c r="D80" s="574">
        <v>176902</v>
      </c>
      <c r="E80" s="646"/>
      <c r="F80" s="233"/>
      <c r="G80" s="233"/>
      <c r="H80" s="225"/>
      <c r="I80" s="225"/>
      <c r="J80" s="225"/>
      <c r="K80" s="225"/>
      <c r="L80" s="225"/>
      <c r="M80" s="164"/>
      <c r="N80" s="225">
        <v>34226</v>
      </c>
      <c r="O80" s="225">
        <f>SUM(E80:N80)</f>
        <v>34226</v>
      </c>
      <c r="P80" s="230"/>
    </row>
    <row r="81" spans="1:15" s="195" customFormat="1" ht="12" customHeight="1">
      <c r="A81" s="209"/>
      <c r="B81" s="209"/>
      <c r="C81" s="235" t="s">
        <v>120</v>
      </c>
      <c r="D81" s="581"/>
      <c r="E81" s="224">
        <f aca="true" t="shared" si="5" ref="E81:O81">SUM(E60:E80)</f>
        <v>0</v>
      </c>
      <c r="F81" s="211">
        <f t="shared" si="5"/>
        <v>0</v>
      </c>
      <c r="G81" s="211">
        <f t="shared" si="5"/>
        <v>0</v>
      </c>
      <c r="H81" s="211">
        <f t="shared" si="5"/>
        <v>0</v>
      </c>
      <c r="I81" s="211">
        <f t="shared" si="5"/>
        <v>0</v>
      </c>
      <c r="J81" s="211">
        <f t="shared" si="5"/>
        <v>0</v>
      </c>
      <c r="K81" s="211">
        <f t="shared" si="5"/>
        <v>0</v>
      </c>
      <c r="L81" s="211">
        <f t="shared" si="5"/>
        <v>0</v>
      </c>
      <c r="M81" s="211">
        <f t="shared" si="5"/>
        <v>0</v>
      </c>
      <c r="N81" s="211">
        <f t="shared" si="5"/>
        <v>34226</v>
      </c>
      <c r="O81" s="211">
        <f t="shared" si="5"/>
        <v>34226</v>
      </c>
    </row>
    <row r="82" spans="1:15" s="195" customFormat="1" ht="12" customHeight="1">
      <c r="A82" s="212">
        <v>1</v>
      </c>
      <c r="B82" s="212">
        <v>18</v>
      </c>
      <c r="C82" s="263" t="s">
        <v>407</v>
      </c>
      <c r="D82" s="574"/>
      <c r="E82" s="653"/>
      <c r="F82" s="214"/>
      <c r="G82" s="214"/>
      <c r="H82" s="214"/>
      <c r="I82" s="214"/>
      <c r="J82" s="214"/>
      <c r="K82" s="214"/>
      <c r="L82" s="214"/>
      <c r="M82" s="214"/>
      <c r="N82" s="214"/>
      <c r="O82" s="214"/>
    </row>
    <row r="83" spans="1:15" s="195" customFormat="1" ht="24.75" customHeight="1" hidden="1">
      <c r="A83" s="196"/>
      <c r="B83" s="196"/>
      <c r="C83" s="143" t="s">
        <v>422</v>
      </c>
      <c r="D83" s="574"/>
      <c r="E83" s="646"/>
      <c r="F83" s="233"/>
      <c r="G83" s="233"/>
      <c r="H83" s="225"/>
      <c r="I83" s="225"/>
      <c r="J83" s="225"/>
      <c r="K83" s="225"/>
      <c r="L83" s="225"/>
      <c r="M83" s="225"/>
      <c r="N83" s="225"/>
      <c r="O83" s="225"/>
    </row>
    <row r="84" spans="1:15" s="195" customFormat="1" ht="24.75" customHeight="1" hidden="1">
      <c r="A84" s="196"/>
      <c r="B84" s="196"/>
      <c r="C84" s="155" t="s">
        <v>1102</v>
      </c>
      <c r="D84" s="582">
        <v>181901</v>
      </c>
      <c r="E84" s="646"/>
      <c r="F84" s="233"/>
      <c r="G84" s="233"/>
      <c r="H84" s="225"/>
      <c r="I84" s="225"/>
      <c r="J84" s="225"/>
      <c r="K84" s="225"/>
      <c r="L84" s="225"/>
      <c r="M84" s="225"/>
      <c r="N84" s="225"/>
      <c r="O84" s="225">
        <f>SUM(E84:N84)</f>
        <v>0</v>
      </c>
    </row>
    <row r="85" spans="1:15" s="195" customFormat="1" ht="12" customHeight="1" hidden="1">
      <c r="A85" s="196"/>
      <c r="B85" s="196"/>
      <c r="C85" s="263" t="s">
        <v>687</v>
      </c>
      <c r="D85" s="574">
        <v>181905</v>
      </c>
      <c r="E85" s="646"/>
      <c r="F85" s="233"/>
      <c r="G85" s="233"/>
      <c r="H85" s="225"/>
      <c r="I85" s="225"/>
      <c r="J85" s="225"/>
      <c r="K85" s="225"/>
      <c r="L85" s="225"/>
      <c r="M85" s="225"/>
      <c r="N85" s="225"/>
      <c r="O85" s="225">
        <f>SUM(E85:N85)</f>
        <v>0</v>
      </c>
    </row>
    <row r="86" spans="1:15" s="195" customFormat="1" ht="15" customHeight="1" hidden="1">
      <c r="A86" s="196"/>
      <c r="B86" s="196"/>
      <c r="C86" s="143" t="s">
        <v>688</v>
      </c>
      <c r="D86" s="574">
        <v>181903</v>
      </c>
      <c r="E86" s="259"/>
      <c r="F86" s="233"/>
      <c r="G86" s="234"/>
      <c r="H86" s="225"/>
      <c r="I86" s="225"/>
      <c r="J86" s="225"/>
      <c r="K86" s="225"/>
      <c r="L86" s="225"/>
      <c r="M86" s="225"/>
      <c r="N86" s="225"/>
      <c r="O86" s="225">
        <f>SUM(E86:N86)</f>
        <v>0</v>
      </c>
    </row>
    <row r="87" spans="1:15" s="195" customFormat="1" ht="27.75" customHeight="1" hidden="1">
      <c r="A87" s="196"/>
      <c r="B87" s="196"/>
      <c r="C87" s="143" t="s">
        <v>121</v>
      </c>
      <c r="D87" s="574">
        <v>181904</v>
      </c>
      <c r="E87" s="259"/>
      <c r="F87" s="233"/>
      <c r="G87" s="234"/>
      <c r="H87" s="225"/>
      <c r="I87" s="225"/>
      <c r="J87" s="225"/>
      <c r="K87" s="225"/>
      <c r="L87" s="225"/>
      <c r="M87" s="225"/>
      <c r="N87" s="225"/>
      <c r="O87" s="225">
        <f>SUM(E87:N87)</f>
        <v>0</v>
      </c>
    </row>
    <row r="88" spans="1:15" s="195" customFormat="1" ht="15" customHeight="1" hidden="1">
      <c r="A88" s="196" t="s">
        <v>122</v>
      </c>
      <c r="B88" s="196"/>
      <c r="C88" s="263" t="s">
        <v>689</v>
      </c>
      <c r="D88" s="574">
        <v>181902</v>
      </c>
      <c r="E88" s="646"/>
      <c r="F88" s="233"/>
      <c r="G88" s="233"/>
      <c r="H88" s="225"/>
      <c r="I88" s="225"/>
      <c r="J88" s="225"/>
      <c r="K88" s="225"/>
      <c r="L88" s="225"/>
      <c r="M88" s="225"/>
      <c r="N88" s="225"/>
      <c r="O88" s="225">
        <f>SUM(E88:N88)</f>
        <v>0</v>
      </c>
    </row>
    <row r="89" spans="1:15" s="195" customFormat="1" ht="14.25" customHeight="1">
      <c r="A89" s="209"/>
      <c r="B89" s="209"/>
      <c r="C89" s="235" t="s">
        <v>123</v>
      </c>
      <c r="D89" s="581"/>
      <c r="E89" s="654">
        <f aca="true" t="shared" si="6" ref="E89:O89">SUM(E84:E88)</f>
        <v>0</v>
      </c>
      <c r="F89" s="260">
        <f t="shared" si="6"/>
        <v>0</v>
      </c>
      <c r="G89" s="260">
        <f t="shared" si="6"/>
        <v>0</v>
      </c>
      <c r="H89" s="260">
        <f t="shared" si="6"/>
        <v>0</v>
      </c>
      <c r="I89" s="260">
        <f t="shared" si="6"/>
        <v>0</v>
      </c>
      <c r="J89" s="260">
        <f t="shared" si="6"/>
        <v>0</v>
      </c>
      <c r="K89" s="260">
        <f t="shared" si="6"/>
        <v>0</v>
      </c>
      <c r="L89" s="260">
        <f t="shared" si="6"/>
        <v>0</v>
      </c>
      <c r="M89" s="260">
        <f t="shared" si="6"/>
        <v>0</v>
      </c>
      <c r="N89" s="260">
        <f t="shared" si="6"/>
        <v>0</v>
      </c>
      <c r="O89" s="260">
        <f t="shared" si="6"/>
        <v>0</v>
      </c>
    </row>
    <row r="90" spans="1:15" s="195" customFormat="1" ht="12" customHeight="1">
      <c r="A90" s="196">
        <v>1</v>
      </c>
      <c r="B90" s="196">
        <v>19</v>
      </c>
      <c r="C90" s="619" t="s">
        <v>640</v>
      </c>
      <c r="D90" s="583"/>
      <c r="E90" s="644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1:15" s="195" customFormat="1" ht="26.25" customHeight="1" hidden="1">
      <c r="A91" s="196"/>
      <c r="B91" s="196"/>
      <c r="C91" s="636" t="s">
        <v>0</v>
      </c>
      <c r="D91" s="574"/>
      <c r="E91" s="644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1:16" s="195" customFormat="1" ht="24.75" customHeight="1" hidden="1">
      <c r="A92" s="196"/>
      <c r="B92" s="196"/>
      <c r="C92" s="231" t="s">
        <v>1</v>
      </c>
      <c r="D92" s="582">
        <v>196906</v>
      </c>
      <c r="E92" s="646"/>
      <c r="F92" s="233"/>
      <c r="G92" s="233"/>
      <c r="H92" s="225"/>
      <c r="I92" s="225"/>
      <c r="J92" s="225"/>
      <c r="K92" s="225"/>
      <c r="L92" s="225"/>
      <c r="M92" s="225"/>
      <c r="N92" s="225"/>
      <c r="O92" s="225">
        <f>SUM(E92:N92)</f>
        <v>0</v>
      </c>
      <c r="P92" s="230"/>
    </row>
    <row r="93" spans="1:15" s="195" customFormat="1" ht="24.75" customHeight="1">
      <c r="A93" s="196"/>
      <c r="B93" s="196"/>
      <c r="C93" s="205" t="s">
        <v>437</v>
      </c>
      <c r="D93" s="663"/>
      <c r="E93" s="645"/>
      <c r="F93" s="233"/>
      <c r="G93" s="233"/>
      <c r="H93" s="225"/>
      <c r="I93" s="225"/>
      <c r="J93" s="225"/>
      <c r="K93" s="225"/>
      <c r="L93" s="225"/>
      <c r="M93" s="225"/>
      <c r="N93" s="225"/>
      <c r="O93" s="225"/>
    </row>
    <row r="94" spans="1:15" s="195" customFormat="1" ht="12.75" hidden="1">
      <c r="A94" s="196" t="s">
        <v>122</v>
      </c>
      <c r="B94" s="196"/>
      <c r="C94" s="227" t="s">
        <v>124</v>
      </c>
      <c r="D94" s="571">
        <v>191102</v>
      </c>
      <c r="E94" s="644"/>
      <c r="F94" s="225"/>
      <c r="G94" s="225"/>
      <c r="H94" s="225"/>
      <c r="I94" s="225"/>
      <c r="J94" s="225"/>
      <c r="K94" s="225"/>
      <c r="L94" s="225"/>
      <c r="M94" s="225"/>
      <c r="N94" s="225"/>
      <c r="O94" s="225">
        <f>SUM(E94:N94)</f>
        <v>0</v>
      </c>
    </row>
    <row r="95" spans="1:16" s="195" customFormat="1" ht="12.75">
      <c r="A95" s="196"/>
      <c r="B95" s="196"/>
      <c r="C95" s="383" t="s">
        <v>125</v>
      </c>
      <c r="D95" s="585">
        <v>191103</v>
      </c>
      <c r="E95" s="644"/>
      <c r="F95" s="225"/>
      <c r="G95" s="225"/>
      <c r="H95" s="225">
        <v>24091</v>
      </c>
      <c r="I95" s="225"/>
      <c r="J95" s="225"/>
      <c r="K95" s="225"/>
      <c r="L95" s="225"/>
      <c r="M95" s="225"/>
      <c r="N95" s="225"/>
      <c r="O95" s="225">
        <f>SUM(E95:N95)</f>
        <v>24091</v>
      </c>
      <c r="P95" s="230"/>
    </row>
    <row r="96" spans="1:16" s="195" customFormat="1" ht="25.5" hidden="1">
      <c r="A96" s="196"/>
      <c r="B96" s="196"/>
      <c r="C96" s="263" t="s">
        <v>126</v>
      </c>
      <c r="D96" s="574">
        <v>191196</v>
      </c>
      <c r="E96" s="644"/>
      <c r="F96" s="225"/>
      <c r="G96" s="225"/>
      <c r="H96" s="225"/>
      <c r="I96" s="225"/>
      <c r="J96" s="225"/>
      <c r="K96" s="225"/>
      <c r="L96" s="225"/>
      <c r="M96" s="225"/>
      <c r="N96" s="225"/>
      <c r="O96" s="225">
        <f>SUM(E96:N96)</f>
        <v>0</v>
      </c>
      <c r="P96" s="230"/>
    </row>
    <row r="97" spans="1:16" s="195" customFormat="1" ht="25.5" hidden="1">
      <c r="A97" s="196"/>
      <c r="B97" s="196"/>
      <c r="C97" s="263" t="s">
        <v>127</v>
      </c>
      <c r="D97" s="574">
        <v>191196</v>
      </c>
      <c r="E97" s="644"/>
      <c r="F97" s="225"/>
      <c r="G97" s="225"/>
      <c r="H97" s="225"/>
      <c r="I97" s="225"/>
      <c r="J97" s="225"/>
      <c r="K97" s="225"/>
      <c r="L97" s="225"/>
      <c r="M97" s="225"/>
      <c r="N97" s="225"/>
      <c r="O97" s="225">
        <f>SUM(E97:N97)</f>
        <v>0</v>
      </c>
      <c r="P97" s="230"/>
    </row>
    <row r="98" spans="1:16" s="195" customFormat="1" ht="31.5" customHeight="1" hidden="1">
      <c r="A98" s="196"/>
      <c r="B98" s="196"/>
      <c r="C98" s="263" t="s">
        <v>128</v>
      </c>
      <c r="D98" s="574">
        <v>191901</v>
      </c>
      <c r="E98" s="644"/>
      <c r="F98" s="225"/>
      <c r="G98" s="225"/>
      <c r="H98" s="225"/>
      <c r="I98" s="225"/>
      <c r="J98" s="225"/>
      <c r="K98" s="225"/>
      <c r="L98" s="225"/>
      <c r="M98" s="225"/>
      <c r="N98" s="225"/>
      <c r="O98" s="225">
        <f>SUM(E98:N98)</f>
        <v>0</v>
      </c>
      <c r="P98" s="230"/>
    </row>
    <row r="99" spans="1:15" s="195" customFormat="1" ht="24.75" customHeight="1" hidden="1">
      <c r="A99" s="196"/>
      <c r="B99" s="196"/>
      <c r="C99" s="263" t="s">
        <v>426</v>
      </c>
      <c r="D99" s="574"/>
      <c r="E99" s="644"/>
      <c r="F99" s="225"/>
      <c r="G99" s="225"/>
      <c r="H99" s="225"/>
      <c r="I99" s="225"/>
      <c r="J99" s="250"/>
      <c r="K99" s="225"/>
      <c r="L99" s="225"/>
      <c r="M99" s="225"/>
      <c r="N99" s="225"/>
      <c r="O99" s="225"/>
    </row>
    <row r="100" spans="1:15" s="195" customFormat="1" ht="25.5" hidden="1">
      <c r="A100" s="196"/>
      <c r="B100" s="196"/>
      <c r="C100" s="155" t="s">
        <v>129</v>
      </c>
      <c r="D100" s="582">
        <v>191901</v>
      </c>
      <c r="E100" s="208"/>
      <c r="F100" s="225"/>
      <c r="G100" s="225"/>
      <c r="H100" s="225"/>
      <c r="I100" s="225"/>
      <c r="J100" s="262"/>
      <c r="K100" s="225"/>
      <c r="L100" s="225"/>
      <c r="M100" s="225"/>
      <c r="N100" s="225"/>
      <c r="O100" s="225">
        <f>SUM(E100:N100)</f>
        <v>0</v>
      </c>
    </row>
    <row r="101" spans="1:15" s="195" customFormat="1" ht="25.5" hidden="1">
      <c r="A101" s="196"/>
      <c r="B101" s="196"/>
      <c r="C101" s="155" t="s">
        <v>130</v>
      </c>
      <c r="D101" s="582">
        <v>191901</v>
      </c>
      <c r="E101" s="208"/>
      <c r="F101" s="225"/>
      <c r="G101" s="225"/>
      <c r="H101" s="225"/>
      <c r="I101" s="225"/>
      <c r="J101" s="262"/>
      <c r="K101" s="225"/>
      <c r="L101" s="225"/>
      <c r="M101" s="225"/>
      <c r="N101" s="225"/>
      <c r="O101" s="225">
        <f>SUM(E101:N101)</f>
        <v>0</v>
      </c>
    </row>
    <row r="102" spans="1:17" s="195" customFormat="1" ht="24" customHeight="1" hidden="1">
      <c r="A102" s="196"/>
      <c r="B102" s="196"/>
      <c r="C102" s="155" t="s">
        <v>131</v>
      </c>
      <c r="D102" s="582">
        <v>191901</v>
      </c>
      <c r="E102" s="208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>
        <f>SUM(E102:N102)</f>
        <v>0</v>
      </c>
      <c r="Q102" s="230"/>
    </row>
    <row r="103" spans="1:16" s="195" customFormat="1" ht="24" customHeight="1" hidden="1">
      <c r="A103" s="196"/>
      <c r="B103" s="196"/>
      <c r="C103" s="155" t="s">
        <v>132</v>
      </c>
      <c r="D103" s="582">
        <v>191901</v>
      </c>
      <c r="E103" s="208"/>
      <c r="F103" s="225"/>
      <c r="G103" s="225"/>
      <c r="H103" s="225"/>
      <c r="I103" s="225"/>
      <c r="J103" s="164"/>
      <c r="K103" s="225"/>
      <c r="L103" s="225"/>
      <c r="M103" s="225"/>
      <c r="N103" s="225"/>
      <c r="O103" s="225">
        <f>SUM(E103:N103)</f>
        <v>0</v>
      </c>
      <c r="P103" s="230"/>
    </row>
    <row r="104" spans="1:16" s="195" customFormat="1" ht="28.5" customHeight="1" hidden="1">
      <c r="A104" s="196"/>
      <c r="B104" s="196"/>
      <c r="C104" s="263" t="s">
        <v>133</v>
      </c>
      <c r="D104" s="574"/>
      <c r="E104" s="644"/>
      <c r="F104" s="225"/>
      <c r="G104" s="225"/>
      <c r="H104" s="225"/>
      <c r="I104" s="225"/>
      <c r="J104" s="164"/>
      <c r="K104" s="225"/>
      <c r="L104" s="225"/>
      <c r="M104" s="225"/>
      <c r="N104" s="225"/>
      <c r="O104" s="225"/>
      <c r="P104" s="230"/>
    </row>
    <row r="105" spans="1:15" s="195" customFormat="1" ht="13.5" customHeight="1" hidden="1">
      <c r="A105" s="196"/>
      <c r="B105" s="196"/>
      <c r="C105" s="227" t="s">
        <v>540</v>
      </c>
      <c r="D105" s="571">
        <v>191901</v>
      </c>
      <c r="E105" s="644"/>
      <c r="F105" s="225"/>
      <c r="G105" s="164"/>
      <c r="H105" s="225"/>
      <c r="I105" s="225"/>
      <c r="J105" s="225"/>
      <c r="K105" s="225"/>
      <c r="L105" s="225"/>
      <c r="M105" s="225"/>
      <c r="N105" s="225"/>
      <c r="O105" s="225">
        <f aca="true" t="shared" si="7" ref="O105:O112">SUM(E105:N105)</f>
        <v>0</v>
      </c>
    </row>
    <row r="106" spans="1:15" s="195" customFormat="1" ht="13.5" customHeight="1" hidden="1">
      <c r="A106" s="196"/>
      <c r="B106" s="196"/>
      <c r="C106" s="227" t="s">
        <v>134</v>
      </c>
      <c r="D106" s="571">
        <v>191901</v>
      </c>
      <c r="E106" s="644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>
        <f t="shared" si="7"/>
        <v>0</v>
      </c>
    </row>
    <row r="107" spans="1:15" s="195" customFormat="1" ht="13.5" customHeight="1" hidden="1">
      <c r="A107" s="196"/>
      <c r="B107" s="196"/>
      <c r="C107" s="227" t="s">
        <v>135</v>
      </c>
      <c r="D107" s="571">
        <v>191901</v>
      </c>
      <c r="E107" s="644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>
        <f t="shared" si="7"/>
        <v>0</v>
      </c>
    </row>
    <row r="108" spans="1:15" s="195" customFormat="1" ht="13.5" customHeight="1" hidden="1">
      <c r="A108" s="196"/>
      <c r="B108" s="196"/>
      <c r="C108" s="227" t="s">
        <v>136</v>
      </c>
      <c r="D108" s="571">
        <v>191901</v>
      </c>
      <c r="E108" s="644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>
        <f t="shared" si="7"/>
        <v>0</v>
      </c>
    </row>
    <row r="109" spans="1:15" s="195" customFormat="1" ht="13.5" customHeight="1" hidden="1">
      <c r="A109" s="196"/>
      <c r="B109" s="196"/>
      <c r="C109" s="227" t="s">
        <v>137</v>
      </c>
      <c r="D109" s="571">
        <v>191901</v>
      </c>
      <c r="E109" s="644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>
        <f t="shared" si="7"/>
        <v>0</v>
      </c>
    </row>
    <row r="110" spans="1:15" s="195" customFormat="1" ht="23.25" customHeight="1" hidden="1">
      <c r="A110" s="196"/>
      <c r="B110" s="196"/>
      <c r="C110" s="637" t="s">
        <v>1007</v>
      </c>
      <c r="D110" s="574">
        <v>191128</v>
      </c>
      <c r="E110" s="644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>
        <f t="shared" si="7"/>
        <v>0</v>
      </c>
    </row>
    <row r="111" spans="1:15" s="195" customFormat="1" ht="24.75" customHeight="1" hidden="1">
      <c r="A111" s="196" t="s">
        <v>513</v>
      </c>
      <c r="B111" s="196"/>
      <c r="C111" s="141" t="s">
        <v>138</v>
      </c>
      <c r="D111" s="664"/>
      <c r="E111" s="14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>
        <f t="shared" si="7"/>
        <v>0</v>
      </c>
    </row>
    <row r="112" spans="1:15" s="195" customFormat="1" ht="33.75" customHeight="1" hidden="1">
      <c r="A112" s="196"/>
      <c r="B112" s="196"/>
      <c r="C112" s="162" t="s">
        <v>139</v>
      </c>
      <c r="D112" s="664">
        <v>191103</v>
      </c>
      <c r="E112" s="65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>
        <f t="shared" si="7"/>
        <v>0</v>
      </c>
    </row>
    <row r="113" spans="1:15" s="195" customFormat="1" ht="24.75" customHeight="1" hidden="1">
      <c r="A113" s="196"/>
      <c r="B113" s="196"/>
      <c r="C113" s="162" t="s">
        <v>140</v>
      </c>
      <c r="D113" s="664"/>
      <c r="E113" s="65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</row>
    <row r="114" spans="1:15" s="195" customFormat="1" ht="24.75" customHeight="1" hidden="1">
      <c r="A114" s="196"/>
      <c r="B114" s="196"/>
      <c r="C114" s="263" t="s">
        <v>141</v>
      </c>
      <c r="D114" s="574">
        <v>191607</v>
      </c>
      <c r="E114" s="644"/>
      <c r="F114" s="225"/>
      <c r="G114" s="225"/>
      <c r="H114" s="225"/>
      <c r="I114" s="225"/>
      <c r="J114" s="225"/>
      <c r="K114" s="225"/>
      <c r="L114" s="225"/>
      <c r="M114" s="225"/>
      <c r="N114" s="164"/>
      <c r="O114" s="225">
        <f>SUM(E114:N114)</f>
        <v>0</v>
      </c>
    </row>
    <row r="115" spans="1:15" s="195" customFormat="1" ht="15.75" customHeight="1">
      <c r="A115" s="265"/>
      <c r="B115" s="209"/>
      <c r="C115" s="235" t="s">
        <v>641</v>
      </c>
      <c r="D115" s="581"/>
      <c r="E115" s="224">
        <f aca="true" t="shared" si="8" ref="E115:N115">SUM(E91:E114)</f>
        <v>0</v>
      </c>
      <c r="F115" s="211">
        <f t="shared" si="8"/>
        <v>0</v>
      </c>
      <c r="G115" s="211">
        <f t="shared" si="8"/>
        <v>0</v>
      </c>
      <c r="H115" s="211">
        <f t="shared" si="8"/>
        <v>24091</v>
      </c>
      <c r="I115" s="211">
        <f t="shared" si="8"/>
        <v>0</v>
      </c>
      <c r="J115" s="211">
        <f t="shared" si="8"/>
        <v>0</v>
      </c>
      <c r="K115" s="211">
        <f t="shared" si="8"/>
        <v>0</v>
      </c>
      <c r="L115" s="211">
        <f t="shared" si="8"/>
        <v>0</v>
      </c>
      <c r="M115" s="211">
        <f t="shared" si="8"/>
        <v>0</v>
      </c>
      <c r="N115" s="211">
        <f t="shared" si="8"/>
        <v>0</v>
      </c>
      <c r="O115" s="211">
        <f>SUM(O90:O114)</f>
        <v>24091</v>
      </c>
    </row>
    <row r="116" spans="1:15" s="195" customFormat="1" ht="27.75" customHeight="1" hidden="1">
      <c r="A116" s="207">
        <v>1</v>
      </c>
      <c r="B116" s="212">
        <v>21</v>
      </c>
      <c r="C116" s="143" t="s">
        <v>422</v>
      </c>
      <c r="D116" s="574"/>
      <c r="E116" s="656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</row>
    <row r="117" spans="1:15" s="195" customFormat="1" ht="15" customHeight="1" hidden="1">
      <c r="A117" s="265"/>
      <c r="B117" s="209"/>
      <c r="C117" s="267" t="s">
        <v>142</v>
      </c>
      <c r="D117" s="581"/>
      <c r="E117" s="657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>
        <f>SUM(E117:N117)</f>
        <v>0</v>
      </c>
    </row>
    <row r="118" spans="1:15" s="195" customFormat="1" ht="17.25" customHeight="1" hidden="1">
      <c r="A118" s="207">
        <v>1</v>
      </c>
      <c r="B118" s="212">
        <v>22</v>
      </c>
      <c r="C118" s="638" t="s">
        <v>66</v>
      </c>
      <c r="D118" s="588"/>
      <c r="E118" s="653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</row>
    <row r="119" spans="1:15" s="195" customFormat="1" ht="24.75" customHeight="1" hidden="1">
      <c r="A119" s="207"/>
      <c r="B119" s="212"/>
      <c r="C119" s="205" t="s">
        <v>437</v>
      </c>
      <c r="D119" s="663"/>
      <c r="E119" s="652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</row>
    <row r="120" spans="1:15" s="195" customFormat="1" ht="15" customHeight="1" hidden="1">
      <c r="A120" s="207"/>
      <c r="B120" s="212"/>
      <c r="C120" s="336" t="s">
        <v>143</v>
      </c>
      <c r="D120" s="585">
        <v>221903</v>
      </c>
      <c r="E120" s="271"/>
      <c r="F120" s="214"/>
      <c r="G120" s="214"/>
      <c r="H120" s="214"/>
      <c r="I120" s="214"/>
      <c r="J120" s="214"/>
      <c r="K120" s="214"/>
      <c r="L120" s="214"/>
      <c r="M120" s="214"/>
      <c r="N120" s="214"/>
      <c r="O120" s="164">
        <f>SUM(E120:N120)</f>
        <v>0</v>
      </c>
    </row>
    <row r="121" spans="1:15" s="195" customFormat="1" ht="12" customHeight="1" hidden="1">
      <c r="A121" s="265"/>
      <c r="B121" s="209"/>
      <c r="C121" s="235" t="s">
        <v>144</v>
      </c>
      <c r="D121" s="568"/>
      <c r="E121" s="224">
        <f>SUM(E118:E120)</f>
        <v>0</v>
      </c>
      <c r="F121" s="211"/>
      <c r="G121" s="211">
        <f>SUM(G118:G120)</f>
        <v>0</v>
      </c>
      <c r="H121" s="211">
        <f>SUM(H118:H120)</f>
        <v>0</v>
      </c>
      <c r="I121" s="211"/>
      <c r="J121" s="211">
        <f>SUM(J118:J120)</f>
        <v>0</v>
      </c>
      <c r="K121" s="211">
        <f>SUM(K118:K120)</f>
        <v>0</v>
      </c>
      <c r="L121" s="211"/>
      <c r="M121" s="211"/>
      <c r="N121" s="211">
        <f>SUM(N118:N120)</f>
        <v>0</v>
      </c>
      <c r="O121" s="211">
        <f>SUM(O118:O120)</f>
        <v>0</v>
      </c>
    </row>
    <row r="122" spans="1:15" s="195" customFormat="1" ht="24.75" customHeight="1">
      <c r="A122" s="209"/>
      <c r="B122" s="209"/>
      <c r="C122" s="639" t="s">
        <v>455</v>
      </c>
      <c r="D122" s="544"/>
      <c r="E122" s="224">
        <f aca="true" t="shared" si="9" ref="E122:O122">SUM(E8+E19+E36+E59+E81+E89+E115+E117+E121)</f>
        <v>60000</v>
      </c>
      <c r="F122" s="211">
        <f t="shared" si="9"/>
        <v>0</v>
      </c>
      <c r="G122" s="211">
        <f t="shared" si="9"/>
        <v>0</v>
      </c>
      <c r="H122" s="211">
        <f t="shared" si="9"/>
        <v>24091</v>
      </c>
      <c r="I122" s="211">
        <f t="shared" si="9"/>
        <v>0</v>
      </c>
      <c r="J122" s="211">
        <f t="shared" si="9"/>
        <v>0</v>
      </c>
      <c r="K122" s="211">
        <f t="shared" si="9"/>
        <v>0</v>
      </c>
      <c r="L122" s="211">
        <f t="shared" si="9"/>
        <v>0</v>
      </c>
      <c r="M122" s="211">
        <f t="shared" si="9"/>
        <v>0</v>
      </c>
      <c r="N122" s="211">
        <f t="shared" si="9"/>
        <v>34226</v>
      </c>
      <c r="O122" s="211">
        <f t="shared" si="9"/>
        <v>118317</v>
      </c>
    </row>
    <row r="123" spans="1:15" s="195" customFormat="1" ht="15.75" customHeight="1" thickBot="1">
      <c r="A123" s="196">
        <v>2</v>
      </c>
      <c r="B123" s="196"/>
      <c r="C123" s="620" t="s">
        <v>483</v>
      </c>
      <c r="D123" s="181"/>
      <c r="E123" s="644"/>
      <c r="F123" s="225"/>
      <c r="G123" s="225"/>
      <c r="H123" s="225"/>
      <c r="I123" s="225"/>
      <c r="J123" s="225"/>
      <c r="K123" s="225"/>
      <c r="L123" s="273"/>
      <c r="M123" s="262"/>
      <c r="N123" s="225"/>
      <c r="O123" s="252">
        <f>SUM(E123:N123)</f>
        <v>0</v>
      </c>
    </row>
    <row r="124" spans="1:15" s="195" customFormat="1" ht="15.75" customHeight="1" thickBot="1">
      <c r="A124" s="209"/>
      <c r="B124" s="209"/>
      <c r="C124" s="640" t="s">
        <v>468</v>
      </c>
      <c r="D124" s="209"/>
      <c r="E124" s="224">
        <f>SUM(E122:E123)</f>
        <v>60000</v>
      </c>
      <c r="F124" s="211">
        <f>SUM(F122:F123)</f>
        <v>0</v>
      </c>
      <c r="G124" s="211">
        <f aca="true" t="shared" si="10" ref="G124:O124">SUM(G122:G123)+G116</f>
        <v>0</v>
      </c>
      <c r="H124" s="211">
        <f t="shared" si="10"/>
        <v>24091</v>
      </c>
      <c r="I124" s="211">
        <f t="shared" si="10"/>
        <v>0</v>
      </c>
      <c r="J124" s="211">
        <f t="shared" si="10"/>
        <v>0</v>
      </c>
      <c r="K124" s="211">
        <f t="shared" si="10"/>
        <v>0</v>
      </c>
      <c r="L124" s="211">
        <f t="shared" si="10"/>
        <v>0</v>
      </c>
      <c r="M124" s="211">
        <f t="shared" si="10"/>
        <v>0</v>
      </c>
      <c r="N124" s="211">
        <f t="shared" si="10"/>
        <v>34226</v>
      </c>
      <c r="O124" s="211">
        <f t="shared" si="10"/>
        <v>118317</v>
      </c>
    </row>
    <row r="125" spans="1:16" s="195" customFormat="1" ht="18.75" customHeight="1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30"/>
    </row>
    <row r="126" spans="1:16" s="195" customFormat="1" ht="13.5" customHeight="1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7"/>
      <c r="P126" s="230"/>
    </row>
    <row r="127" spans="1:15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7"/>
    </row>
    <row r="128" spans="1:15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</row>
    <row r="129" spans="1:15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</row>
    <row r="130" spans="1:15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</row>
    <row r="132" spans="1:15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</row>
    <row r="133" spans="1:15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</row>
    <row r="134" spans="1:15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</row>
    <row r="135" spans="1:15" ht="12.7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</row>
    <row r="136" spans="3:15" ht="12.75"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</row>
    <row r="137" spans="3:15" ht="12.75"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</row>
    <row r="138" spans="3:15" ht="12.75"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3:15" ht="12.75"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</row>
    <row r="140" spans="3:15" ht="12.75"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</row>
    <row r="141" spans="3:15" ht="12.75"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</row>
    <row r="142" spans="3:15" ht="12.75"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</row>
    <row r="143" spans="3:15" ht="12.75"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3:15" ht="12.75"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</row>
    <row r="145" spans="3:15" ht="12.75"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</row>
    <row r="146" spans="3:15" ht="12.75"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3:15" ht="12.75"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</row>
    <row r="148" spans="3:15" ht="12.75"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</row>
    <row r="149" spans="3:15" ht="12.75"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</row>
    <row r="150" spans="3:15" ht="12.75"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</row>
    <row r="151" spans="3:15" ht="12.75"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</row>
    <row r="152" spans="3:15" ht="12.75"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 2015. ÉVI
BEVÉTELI ELŐIRÁNYZATAINAK  MÓDOSÍTÁSA &amp;R&amp;"Times New Roman,Félkövér dőlt"1.tájékoztató tábla
Adatok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V675"/>
  <sheetViews>
    <sheetView tabSelected="1" zoomScale="105" zoomScaleNormal="105" zoomScaleSheetLayoutView="120" zoomScalePageLayoutView="0" workbookViewId="0" topLeftCell="D1">
      <pane ySplit="2" topLeftCell="A3" activePane="bottomLeft" state="frozen"/>
      <selection pane="topLeft" activeCell="A1" sqref="A1"/>
      <selection pane="bottomLeft" activeCell="D264" sqref="D264"/>
    </sheetView>
  </sheetViews>
  <sheetFormatPr defaultColWidth="9.00390625" defaultRowHeight="12.75"/>
  <cols>
    <col min="1" max="1" width="6.625" style="1" customWidth="1"/>
    <col min="2" max="2" width="5.875" style="1" customWidth="1"/>
    <col min="3" max="3" width="6.50390625" style="1" customWidth="1"/>
    <col min="4" max="4" width="49.125" style="1" customWidth="1"/>
    <col min="5" max="5" width="4.50390625" style="1" customWidth="1"/>
    <col min="6" max="6" width="8.1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36.75" customHeight="1" thickBot="1">
      <c r="A1" s="726" t="s">
        <v>642</v>
      </c>
      <c r="B1" s="726" t="s">
        <v>643</v>
      </c>
      <c r="C1" s="726" t="s">
        <v>1100</v>
      </c>
      <c r="D1" s="728" t="s">
        <v>636</v>
      </c>
      <c r="E1" s="726" t="s">
        <v>480</v>
      </c>
      <c r="F1" s="743" t="s">
        <v>364</v>
      </c>
      <c r="G1" s="742" t="s">
        <v>656</v>
      </c>
      <c r="H1" s="732"/>
      <c r="I1" s="732"/>
      <c r="J1" s="732"/>
      <c r="K1" s="732"/>
      <c r="L1" s="732"/>
      <c r="M1" s="732"/>
      <c r="N1" s="732"/>
      <c r="O1" s="724" t="s">
        <v>659</v>
      </c>
      <c r="P1" s="725"/>
      <c r="Q1" s="739" t="s">
        <v>637</v>
      </c>
      <c r="R1" s="737" t="s">
        <v>284</v>
      </c>
    </row>
    <row r="2" spans="1:18" ht="57.75" customHeight="1" thickBot="1">
      <c r="A2" s="727"/>
      <c r="B2" s="727"/>
      <c r="C2" s="727"/>
      <c r="D2" s="729"/>
      <c r="E2" s="741"/>
      <c r="F2" s="744"/>
      <c r="G2" s="279" t="s">
        <v>388</v>
      </c>
      <c r="H2" s="95" t="s">
        <v>67</v>
      </c>
      <c r="I2" s="95" t="s">
        <v>472</v>
      </c>
      <c r="J2" s="95" t="s">
        <v>657</v>
      </c>
      <c r="K2" s="95" t="s">
        <v>391</v>
      </c>
      <c r="L2" s="95" t="s">
        <v>395</v>
      </c>
      <c r="M2" s="95" t="s">
        <v>396</v>
      </c>
      <c r="N2" s="95" t="s">
        <v>68</v>
      </c>
      <c r="O2" s="280" t="s">
        <v>69</v>
      </c>
      <c r="P2" s="281" t="s">
        <v>367</v>
      </c>
      <c r="Q2" s="740"/>
      <c r="R2" s="738"/>
    </row>
    <row r="3" spans="1:18" ht="16.5" customHeight="1">
      <c r="A3" s="128">
        <v>1</v>
      </c>
      <c r="B3" s="2"/>
      <c r="C3" s="283"/>
      <c r="D3" s="3" t="s">
        <v>485</v>
      </c>
      <c r="E3" s="25"/>
      <c r="F3" s="590"/>
      <c r="G3" s="4"/>
      <c r="H3" s="4"/>
      <c r="I3" s="4"/>
      <c r="J3" s="4"/>
      <c r="K3" s="4"/>
      <c r="L3" s="4"/>
      <c r="M3" s="4"/>
      <c r="N3" s="4"/>
      <c r="O3" s="4"/>
      <c r="P3" s="4"/>
      <c r="Q3" s="522"/>
      <c r="R3" s="343"/>
    </row>
    <row r="4" spans="1:18" ht="12.75" customHeight="1">
      <c r="A4" s="2">
        <v>1</v>
      </c>
      <c r="B4" s="2">
        <v>1</v>
      </c>
      <c r="C4" s="2"/>
      <c r="D4" s="3" t="s">
        <v>404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522"/>
      <c r="R4" s="343"/>
    </row>
    <row r="5" spans="1:18" ht="12" hidden="1">
      <c r="A5" s="8">
        <v>1</v>
      </c>
      <c r="B5" s="8">
        <v>12</v>
      </c>
      <c r="C5" s="8"/>
      <c r="D5" s="285" t="s">
        <v>402</v>
      </c>
      <c r="E5" s="286"/>
      <c r="F5" s="1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2"/>
      <c r="R5" s="343"/>
    </row>
    <row r="6" spans="1:18" ht="14.25" customHeight="1" hidden="1">
      <c r="A6" s="8"/>
      <c r="B6" s="8"/>
      <c r="C6" s="287"/>
      <c r="D6" s="156" t="s">
        <v>415</v>
      </c>
      <c r="E6" s="288"/>
      <c r="F6" s="23"/>
      <c r="G6" s="150"/>
      <c r="H6" s="150"/>
      <c r="I6" s="150"/>
      <c r="J6" s="150"/>
      <c r="K6" s="150"/>
      <c r="L6" s="289"/>
      <c r="M6" s="289"/>
      <c r="N6" s="289"/>
      <c r="O6" s="289"/>
      <c r="P6" s="289"/>
      <c r="Q6" s="12"/>
      <c r="R6" s="343"/>
    </row>
    <row r="7" spans="1:19" ht="14.25" customHeight="1" hidden="1">
      <c r="A7" s="8"/>
      <c r="B7" s="8"/>
      <c r="C7" s="287"/>
      <c r="D7" s="156" t="s">
        <v>416</v>
      </c>
      <c r="E7" s="288">
        <v>1</v>
      </c>
      <c r="F7" s="23">
        <v>121101</v>
      </c>
      <c r="G7" s="150"/>
      <c r="H7" s="150"/>
      <c r="I7" s="150"/>
      <c r="J7" s="150"/>
      <c r="K7" s="150"/>
      <c r="L7" s="289"/>
      <c r="M7" s="289"/>
      <c r="N7" s="289"/>
      <c r="O7" s="289"/>
      <c r="P7" s="289"/>
      <c r="Q7" s="12">
        <f>SUM(G7:P7)</f>
        <v>0</v>
      </c>
      <c r="R7" s="531"/>
      <c r="S7" s="290"/>
    </row>
    <row r="8" spans="1:19" ht="14.25" customHeight="1" hidden="1">
      <c r="A8" s="8"/>
      <c r="B8" s="8"/>
      <c r="C8" s="287"/>
      <c r="D8" s="12" t="s">
        <v>417</v>
      </c>
      <c r="E8" s="291">
        <v>1</v>
      </c>
      <c r="F8" s="23">
        <v>121102</v>
      </c>
      <c r="G8" s="150"/>
      <c r="H8" s="150"/>
      <c r="I8" s="150"/>
      <c r="J8" s="150"/>
      <c r="K8" s="150"/>
      <c r="L8" s="289"/>
      <c r="M8" s="289"/>
      <c r="N8" s="289"/>
      <c r="O8" s="289"/>
      <c r="P8" s="289"/>
      <c r="Q8" s="12">
        <f>SUM(G8:P8)</f>
        <v>0</v>
      </c>
      <c r="R8" s="531"/>
      <c r="S8" s="290"/>
    </row>
    <row r="9" spans="1:18" ht="14.25" customHeight="1" hidden="1">
      <c r="A9" s="8"/>
      <c r="B9" s="8"/>
      <c r="C9" s="287"/>
      <c r="D9" s="12" t="s">
        <v>145</v>
      </c>
      <c r="E9" s="291">
        <v>2</v>
      </c>
      <c r="F9" s="23">
        <v>121103</v>
      </c>
      <c r="G9" s="150"/>
      <c r="H9" s="150"/>
      <c r="I9" s="150"/>
      <c r="J9" s="150"/>
      <c r="K9" s="150"/>
      <c r="L9" s="289"/>
      <c r="M9" s="289"/>
      <c r="N9" s="289"/>
      <c r="O9" s="289"/>
      <c r="P9" s="289"/>
      <c r="Q9" s="12">
        <f>SUM(G9:P9)</f>
        <v>0</v>
      </c>
      <c r="R9" s="531"/>
    </row>
    <row r="10" spans="1:18" ht="14.25" customHeight="1" hidden="1">
      <c r="A10" s="8"/>
      <c r="B10" s="8"/>
      <c r="C10" s="287"/>
      <c r="D10" s="12" t="s">
        <v>5</v>
      </c>
      <c r="E10" s="291"/>
      <c r="F10" s="23"/>
      <c r="G10" s="150"/>
      <c r="H10" s="150"/>
      <c r="I10" s="150"/>
      <c r="J10" s="150"/>
      <c r="K10" s="150"/>
      <c r="L10" s="289"/>
      <c r="M10" s="289"/>
      <c r="N10" s="289"/>
      <c r="O10" s="289"/>
      <c r="P10" s="289"/>
      <c r="Q10" s="12"/>
      <c r="R10" s="531"/>
    </row>
    <row r="11" spans="1:19" ht="14.25" customHeight="1" hidden="1">
      <c r="A11" s="8"/>
      <c r="B11" s="8"/>
      <c r="C11" s="287"/>
      <c r="D11" s="12" t="s">
        <v>6</v>
      </c>
      <c r="E11" s="291">
        <v>1</v>
      </c>
      <c r="F11" s="23">
        <v>121104</v>
      </c>
      <c r="G11" s="150"/>
      <c r="H11" s="150"/>
      <c r="I11" s="150"/>
      <c r="J11" s="150"/>
      <c r="K11" s="150"/>
      <c r="L11" s="289"/>
      <c r="M11" s="289"/>
      <c r="N11" s="289"/>
      <c r="O11" s="289"/>
      <c r="P11" s="289"/>
      <c r="Q11" s="12">
        <f>SUM(G11:P11)</f>
        <v>0</v>
      </c>
      <c r="R11" s="343"/>
      <c r="S11" s="290"/>
    </row>
    <row r="12" spans="1:19" ht="14.25" customHeight="1" hidden="1">
      <c r="A12" s="8"/>
      <c r="B12" s="8"/>
      <c r="C12" s="287"/>
      <c r="D12" s="12" t="s">
        <v>146</v>
      </c>
      <c r="E12" s="291">
        <v>2</v>
      </c>
      <c r="F12" s="23">
        <v>121114</v>
      </c>
      <c r="G12" s="150"/>
      <c r="H12" s="150"/>
      <c r="I12" s="150"/>
      <c r="J12" s="150"/>
      <c r="K12" s="150"/>
      <c r="L12" s="289"/>
      <c r="M12" s="289"/>
      <c r="N12" s="289"/>
      <c r="O12" s="289"/>
      <c r="P12" s="289"/>
      <c r="Q12" s="12">
        <f>SUM(G12:P12)</f>
        <v>0</v>
      </c>
      <c r="R12" s="343"/>
      <c r="S12" s="290"/>
    </row>
    <row r="13" spans="1:19" ht="14.25" customHeight="1" hidden="1">
      <c r="A13" s="8"/>
      <c r="B13" s="8"/>
      <c r="C13" s="287"/>
      <c r="D13" s="12" t="s">
        <v>651</v>
      </c>
      <c r="E13" s="291"/>
      <c r="F13" s="23"/>
      <c r="G13" s="150"/>
      <c r="H13" s="150"/>
      <c r="I13" s="150"/>
      <c r="J13" s="150"/>
      <c r="K13" s="150"/>
      <c r="L13" s="289"/>
      <c r="M13" s="289"/>
      <c r="N13" s="289"/>
      <c r="O13" s="289"/>
      <c r="P13" s="289"/>
      <c r="Q13" s="12"/>
      <c r="R13" s="343"/>
      <c r="S13" s="290"/>
    </row>
    <row r="14" spans="1:19" ht="14.25" customHeight="1" hidden="1">
      <c r="A14" s="8"/>
      <c r="B14" s="8"/>
      <c r="C14" s="287"/>
      <c r="D14" s="12" t="s">
        <v>435</v>
      </c>
      <c r="E14" s="291">
        <v>2</v>
      </c>
      <c r="F14" s="23">
        <v>121109</v>
      </c>
      <c r="G14" s="150"/>
      <c r="H14" s="150"/>
      <c r="I14" s="150"/>
      <c r="J14" s="150"/>
      <c r="K14" s="150"/>
      <c r="L14" s="289"/>
      <c r="M14" s="289"/>
      <c r="N14" s="289"/>
      <c r="O14" s="289"/>
      <c r="P14" s="289"/>
      <c r="Q14" s="12">
        <f>SUM(G14:P14)</f>
        <v>0</v>
      </c>
      <c r="R14" s="343"/>
      <c r="S14" s="290"/>
    </row>
    <row r="15" spans="1:19" ht="14.25" customHeight="1" hidden="1">
      <c r="A15" s="8"/>
      <c r="B15" s="8"/>
      <c r="C15" s="287"/>
      <c r="D15" s="12" t="s">
        <v>147</v>
      </c>
      <c r="E15" s="291">
        <v>2</v>
      </c>
      <c r="F15" s="23">
        <v>121110</v>
      </c>
      <c r="G15" s="150"/>
      <c r="H15" s="150"/>
      <c r="I15" s="150"/>
      <c r="J15" s="150"/>
      <c r="K15" s="150"/>
      <c r="L15" s="289"/>
      <c r="M15" s="289"/>
      <c r="N15" s="289"/>
      <c r="O15" s="289"/>
      <c r="P15" s="289"/>
      <c r="Q15" s="12">
        <f>SUM(G15:P15)</f>
        <v>0</v>
      </c>
      <c r="R15" s="343"/>
      <c r="S15" s="290"/>
    </row>
    <row r="16" spans="1:19" ht="14.25" customHeight="1" hidden="1">
      <c r="A16" s="8"/>
      <c r="B16" s="8"/>
      <c r="C16" s="287"/>
      <c r="D16" s="12" t="s">
        <v>148</v>
      </c>
      <c r="E16" s="291">
        <v>2</v>
      </c>
      <c r="F16" s="23">
        <v>121111</v>
      </c>
      <c r="G16" s="150"/>
      <c r="H16" s="150"/>
      <c r="I16" s="150"/>
      <c r="J16" s="150"/>
      <c r="K16" s="150"/>
      <c r="L16" s="289"/>
      <c r="M16" s="289"/>
      <c r="N16" s="289"/>
      <c r="O16" s="289"/>
      <c r="P16" s="289"/>
      <c r="Q16" s="12">
        <f>SUM(G16:P16)</f>
        <v>0</v>
      </c>
      <c r="R16" s="343"/>
      <c r="S16" s="290"/>
    </row>
    <row r="17" spans="1:19" ht="14.25" customHeight="1" hidden="1">
      <c r="A17" s="8"/>
      <c r="B17" s="8"/>
      <c r="C17" s="287"/>
      <c r="D17" s="12" t="s">
        <v>7</v>
      </c>
      <c r="E17" s="291"/>
      <c r="F17" s="23"/>
      <c r="G17" s="150"/>
      <c r="H17" s="150"/>
      <c r="I17" s="150"/>
      <c r="J17" s="150"/>
      <c r="K17" s="150"/>
      <c r="L17" s="289"/>
      <c r="M17" s="289"/>
      <c r="N17" s="289"/>
      <c r="O17" s="289"/>
      <c r="P17" s="289"/>
      <c r="Q17" s="12"/>
      <c r="R17" s="343"/>
      <c r="S17" s="290"/>
    </row>
    <row r="18" spans="1:19" ht="14.25" customHeight="1" hidden="1">
      <c r="A18" s="8"/>
      <c r="B18" s="8"/>
      <c r="C18" s="287"/>
      <c r="D18" s="12" t="s">
        <v>149</v>
      </c>
      <c r="E18" s="291">
        <v>2</v>
      </c>
      <c r="F18" s="23">
        <v>121106</v>
      </c>
      <c r="G18" s="150"/>
      <c r="H18" s="150"/>
      <c r="I18" s="150"/>
      <c r="J18" s="150"/>
      <c r="K18" s="150"/>
      <c r="L18" s="289"/>
      <c r="M18" s="289"/>
      <c r="N18" s="289"/>
      <c r="O18" s="289"/>
      <c r="P18" s="289"/>
      <c r="Q18" s="12">
        <f>SUM(G18:P18)</f>
        <v>0</v>
      </c>
      <c r="R18" s="343"/>
      <c r="S18" s="290"/>
    </row>
    <row r="19" spans="1:19" ht="14.25" customHeight="1" hidden="1">
      <c r="A19" s="8"/>
      <c r="B19" s="8"/>
      <c r="C19" s="287"/>
      <c r="D19" s="12" t="s">
        <v>5</v>
      </c>
      <c r="E19" s="291"/>
      <c r="F19" s="23"/>
      <c r="G19" s="150"/>
      <c r="H19" s="150"/>
      <c r="I19" s="150"/>
      <c r="J19" s="150"/>
      <c r="K19" s="150"/>
      <c r="L19" s="289"/>
      <c r="M19" s="289"/>
      <c r="N19" s="289"/>
      <c r="O19" s="289"/>
      <c r="P19" s="289"/>
      <c r="Q19" s="12"/>
      <c r="R19" s="343"/>
      <c r="S19" s="290"/>
    </row>
    <row r="20" spans="1:19" ht="14.25" customHeight="1" hidden="1">
      <c r="A20" s="8"/>
      <c r="B20" s="8"/>
      <c r="C20" s="287"/>
      <c r="D20" s="12" t="s">
        <v>8</v>
      </c>
      <c r="E20" s="291">
        <v>1</v>
      </c>
      <c r="F20" s="23">
        <v>121107</v>
      </c>
      <c r="G20" s="150"/>
      <c r="H20" s="150"/>
      <c r="I20" s="150"/>
      <c r="J20" s="150"/>
      <c r="K20" s="150"/>
      <c r="L20" s="289"/>
      <c r="M20" s="289"/>
      <c r="N20" s="289"/>
      <c r="O20" s="289"/>
      <c r="P20" s="289"/>
      <c r="Q20" s="12">
        <f>SUM(G20:P20)</f>
        <v>0</v>
      </c>
      <c r="R20" s="343"/>
      <c r="S20" s="290"/>
    </row>
    <row r="21" spans="1:19" ht="14.25" customHeight="1" hidden="1">
      <c r="A21" s="8"/>
      <c r="B21" s="8"/>
      <c r="C21" s="287"/>
      <c r="D21" s="12" t="s">
        <v>150</v>
      </c>
      <c r="E21" s="291">
        <v>2</v>
      </c>
      <c r="F21" s="23">
        <v>121108</v>
      </c>
      <c r="G21" s="150"/>
      <c r="H21" s="150"/>
      <c r="I21" s="150"/>
      <c r="J21" s="150"/>
      <c r="K21" s="150"/>
      <c r="L21" s="289"/>
      <c r="M21" s="289"/>
      <c r="N21" s="289"/>
      <c r="O21" s="289"/>
      <c r="P21" s="289"/>
      <c r="Q21" s="12">
        <f>SUM(G21:P21)</f>
        <v>0</v>
      </c>
      <c r="R21" s="343"/>
      <c r="S21" s="290"/>
    </row>
    <row r="22" spans="1:19" ht="14.25" customHeight="1" hidden="1">
      <c r="A22" s="8"/>
      <c r="B22" s="8"/>
      <c r="C22" s="287"/>
      <c r="D22" s="12" t="s">
        <v>651</v>
      </c>
      <c r="E22" s="291"/>
      <c r="F22" s="23"/>
      <c r="G22" s="150"/>
      <c r="H22" s="150"/>
      <c r="I22" s="150"/>
      <c r="J22" s="150"/>
      <c r="K22" s="150"/>
      <c r="L22" s="289"/>
      <c r="M22" s="289"/>
      <c r="N22" s="289"/>
      <c r="O22" s="289"/>
      <c r="P22" s="289"/>
      <c r="Q22" s="12"/>
      <c r="R22" s="343"/>
      <c r="S22" s="290"/>
    </row>
    <row r="23" spans="1:19" ht="14.25" customHeight="1" hidden="1">
      <c r="A23" s="8"/>
      <c r="B23" s="8"/>
      <c r="C23" s="287"/>
      <c r="D23" s="12" t="s">
        <v>151</v>
      </c>
      <c r="E23" s="291">
        <v>1</v>
      </c>
      <c r="F23" s="23">
        <v>121204</v>
      </c>
      <c r="G23" s="150"/>
      <c r="H23" s="150"/>
      <c r="I23" s="150"/>
      <c r="J23" s="150"/>
      <c r="K23" s="150"/>
      <c r="L23" s="289"/>
      <c r="M23" s="289"/>
      <c r="N23" s="289"/>
      <c r="O23" s="289"/>
      <c r="P23" s="289"/>
      <c r="Q23" s="12">
        <f>SUM(G23:P23)</f>
        <v>0</v>
      </c>
      <c r="R23" s="343"/>
      <c r="S23" s="290"/>
    </row>
    <row r="24" spans="1:19" ht="14.25" customHeight="1" hidden="1">
      <c r="A24" s="8"/>
      <c r="B24" s="8"/>
      <c r="C24" s="287"/>
      <c r="D24" s="98" t="s">
        <v>978</v>
      </c>
      <c r="E24" s="291">
        <v>1</v>
      </c>
      <c r="F24" s="23">
        <v>121203</v>
      </c>
      <c r="G24" s="150"/>
      <c r="H24" s="150"/>
      <c r="I24" s="150"/>
      <c r="J24" s="150"/>
      <c r="K24" s="150"/>
      <c r="L24" s="289"/>
      <c r="M24" s="289"/>
      <c r="N24" s="289"/>
      <c r="O24" s="289"/>
      <c r="P24" s="289"/>
      <c r="Q24" s="12">
        <f>SUM(G24:P24)</f>
        <v>0</v>
      </c>
      <c r="R24" s="343"/>
      <c r="S24" s="290"/>
    </row>
    <row r="25" spans="1:19" ht="14.25" customHeight="1" hidden="1">
      <c r="A25" s="8"/>
      <c r="B25" s="8"/>
      <c r="C25" s="287"/>
      <c r="D25" s="16" t="s">
        <v>981</v>
      </c>
      <c r="E25" s="291"/>
      <c r="F25" s="23"/>
      <c r="G25" s="15"/>
      <c r="H25" s="15"/>
      <c r="I25" s="9"/>
      <c r="J25" s="9"/>
      <c r="K25" s="150"/>
      <c r="L25" s="292"/>
      <c r="M25" s="292"/>
      <c r="N25" s="292"/>
      <c r="O25" s="292"/>
      <c r="P25" s="293"/>
      <c r="Q25" s="12"/>
      <c r="R25" s="343"/>
      <c r="S25" s="290"/>
    </row>
    <row r="26" spans="1:19" ht="14.25" customHeight="1" hidden="1">
      <c r="A26" s="8"/>
      <c r="B26" s="8"/>
      <c r="C26" s="287"/>
      <c r="D26" s="12" t="s">
        <v>152</v>
      </c>
      <c r="E26" s="291">
        <v>2</v>
      </c>
      <c r="F26" s="23">
        <v>121504</v>
      </c>
      <c r="G26" s="150"/>
      <c r="H26" s="150"/>
      <c r="I26" s="150"/>
      <c r="J26" s="9"/>
      <c r="K26" s="150"/>
      <c r="L26" s="292"/>
      <c r="M26" s="292"/>
      <c r="N26" s="292"/>
      <c r="O26" s="292"/>
      <c r="P26" s="293"/>
      <c r="Q26" s="12">
        <f>SUM(G26:P26)</f>
        <v>0</v>
      </c>
      <c r="R26" s="343"/>
      <c r="S26" s="290"/>
    </row>
    <row r="27" spans="1:19" ht="14.25" customHeight="1" hidden="1">
      <c r="A27" s="8"/>
      <c r="B27" s="8"/>
      <c r="C27" s="287"/>
      <c r="D27" s="12" t="s">
        <v>117</v>
      </c>
      <c r="E27" s="291"/>
      <c r="F27" s="23"/>
      <c r="G27" s="9"/>
      <c r="H27" s="9"/>
      <c r="I27" s="9"/>
      <c r="J27" s="292"/>
      <c r="K27" s="150"/>
      <c r="L27" s="292"/>
      <c r="M27" s="292"/>
      <c r="N27" s="292"/>
      <c r="O27" s="292"/>
      <c r="P27" s="293"/>
      <c r="Q27" s="12"/>
      <c r="R27" s="343"/>
      <c r="S27" s="290"/>
    </row>
    <row r="28" spans="1:19" ht="12" customHeight="1" hidden="1">
      <c r="A28" s="13"/>
      <c r="B28" s="294"/>
      <c r="C28" s="295"/>
      <c r="D28" s="16" t="s">
        <v>153</v>
      </c>
      <c r="E28" s="291">
        <v>1</v>
      </c>
      <c r="F28" s="23">
        <v>121403</v>
      </c>
      <c r="G28" s="15"/>
      <c r="H28" s="15"/>
      <c r="I28" s="15"/>
      <c r="J28" s="296"/>
      <c r="K28" s="15"/>
      <c r="L28" s="296"/>
      <c r="M28" s="296"/>
      <c r="N28" s="296"/>
      <c r="O28" s="296"/>
      <c r="P28" s="296"/>
      <c r="Q28" s="12">
        <f>SUM(G28:P28)</f>
        <v>0</v>
      </c>
      <c r="R28" s="343"/>
      <c r="S28" s="290"/>
    </row>
    <row r="29" spans="1:19" ht="12" customHeight="1" hidden="1">
      <c r="A29" s="13"/>
      <c r="B29" s="294"/>
      <c r="C29" s="295"/>
      <c r="D29" s="16" t="s">
        <v>154</v>
      </c>
      <c r="E29" s="15"/>
      <c r="F29" s="23"/>
      <c r="G29" s="15"/>
      <c r="H29" s="15"/>
      <c r="I29" s="15"/>
      <c r="J29" s="296"/>
      <c r="K29" s="15"/>
      <c r="L29" s="296"/>
      <c r="M29" s="296"/>
      <c r="N29" s="296"/>
      <c r="O29" s="296"/>
      <c r="P29" s="296"/>
      <c r="Q29" s="12"/>
      <c r="R29" s="343"/>
      <c r="S29" s="290"/>
    </row>
    <row r="30" spans="1:19" ht="12" customHeight="1" hidden="1">
      <c r="A30" s="13"/>
      <c r="B30" s="13"/>
      <c r="C30" s="163"/>
      <c r="D30" s="16" t="s">
        <v>155</v>
      </c>
      <c r="E30" s="15">
        <v>1</v>
      </c>
      <c r="F30" s="23">
        <v>121301</v>
      </c>
      <c r="G30" s="15"/>
      <c r="H30" s="15"/>
      <c r="I30" s="15"/>
      <c r="J30" s="15"/>
      <c r="K30" s="15"/>
      <c r="L30" s="15"/>
      <c r="M30" s="296"/>
      <c r="N30" s="296"/>
      <c r="O30" s="296"/>
      <c r="P30" s="296"/>
      <c r="Q30" s="12">
        <f>SUM(G30:P30)</f>
        <v>0</v>
      </c>
      <c r="R30" s="343"/>
      <c r="S30" s="290"/>
    </row>
    <row r="31" spans="1:19" ht="12" customHeight="1" hidden="1">
      <c r="A31" s="13"/>
      <c r="B31" s="13"/>
      <c r="C31" s="163"/>
      <c r="D31" s="297" t="s">
        <v>437</v>
      </c>
      <c r="E31" s="291"/>
      <c r="F31" s="23"/>
      <c r="G31" s="15"/>
      <c r="H31" s="15"/>
      <c r="I31" s="15"/>
      <c r="J31" s="296"/>
      <c r="K31" s="15"/>
      <c r="L31" s="296"/>
      <c r="M31" s="296"/>
      <c r="N31" s="296"/>
      <c r="O31" s="296"/>
      <c r="P31" s="15"/>
      <c r="Q31" s="12"/>
      <c r="R31" s="343"/>
      <c r="S31" s="290"/>
    </row>
    <row r="32" spans="1:19" ht="12" customHeight="1" hidden="1">
      <c r="A32" s="13"/>
      <c r="B32" s="13"/>
      <c r="C32" s="163"/>
      <c r="D32" s="101" t="s">
        <v>979</v>
      </c>
      <c r="E32" s="291">
        <v>2</v>
      </c>
      <c r="F32" s="23">
        <v>221902</v>
      </c>
      <c r="G32" s="15"/>
      <c r="H32" s="15"/>
      <c r="I32" s="15"/>
      <c r="J32" s="296"/>
      <c r="K32" s="15"/>
      <c r="L32" s="296"/>
      <c r="M32" s="296"/>
      <c r="N32" s="296"/>
      <c r="O32" s="296"/>
      <c r="P32" s="15"/>
      <c r="Q32" s="12">
        <f>SUM(G32:P32)</f>
        <v>0</v>
      </c>
      <c r="R32" s="343"/>
      <c r="S32" s="290"/>
    </row>
    <row r="33" spans="1:19" ht="12" customHeight="1" hidden="1">
      <c r="A33" s="13"/>
      <c r="B33" s="13"/>
      <c r="C33" s="163"/>
      <c r="D33" s="298" t="s">
        <v>414</v>
      </c>
      <c r="E33" s="291">
        <v>2</v>
      </c>
      <c r="F33" s="23" t="s">
        <v>1103</v>
      </c>
      <c r="G33" s="15"/>
      <c r="H33" s="15"/>
      <c r="I33" s="15"/>
      <c r="J33" s="15"/>
      <c r="K33" s="15"/>
      <c r="L33" s="296"/>
      <c r="M33" s="296"/>
      <c r="N33" s="296"/>
      <c r="O33" s="296"/>
      <c r="P33" s="15"/>
      <c r="Q33" s="12">
        <f>SUM(G33:P33)</f>
        <v>0</v>
      </c>
      <c r="R33" s="343"/>
      <c r="S33" s="290"/>
    </row>
    <row r="34" spans="1:19" ht="13.5" customHeight="1" hidden="1">
      <c r="A34" s="13"/>
      <c r="B34" s="13"/>
      <c r="C34" s="163"/>
      <c r="D34" s="299" t="s">
        <v>156</v>
      </c>
      <c r="E34" s="291"/>
      <c r="F34" s="2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2">
        <f>SUM(G34:P34)</f>
        <v>0</v>
      </c>
      <c r="R34" s="343"/>
      <c r="S34" s="290"/>
    </row>
    <row r="35" spans="1:19" ht="13.5" customHeight="1" hidden="1">
      <c r="A35" s="13"/>
      <c r="B35" s="13"/>
      <c r="C35" s="163"/>
      <c r="D35" s="24" t="s">
        <v>157</v>
      </c>
      <c r="E35" s="291">
        <v>1</v>
      </c>
      <c r="F35" s="23">
        <v>121601</v>
      </c>
      <c r="G35" s="25"/>
      <c r="H35" s="25"/>
      <c r="I35" s="15"/>
      <c r="J35" s="15"/>
      <c r="K35" s="15"/>
      <c r="L35" s="15"/>
      <c r="M35" s="25"/>
      <c r="N35" s="25"/>
      <c r="O35" s="25"/>
      <c r="P35" s="25"/>
      <c r="Q35" s="24">
        <f>SUM(G35:P35)</f>
        <v>0</v>
      </c>
      <c r="R35" s="343"/>
      <c r="S35" s="290"/>
    </row>
    <row r="36" spans="1:19" ht="13.5" hidden="1">
      <c r="A36" s="17"/>
      <c r="B36" s="17"/>
      <c r="C36" s="300"/>
      <c r="D36" s="18" t="s">
        <v>158</v>
      </c>
      <c r="E36" s="19"/>
      <c r="F36" s="591"/>
      <c r="G36" s="302">
        <f aca="true" t="shared" si="0" ref="G36:L36">SUM(G5:G35)</f>
        <v>0</v>
      </c>
      <c r="H36" s="302">
        <f t="shared" si="0"/>
        <v>0</v>
      </c>
      <c r="I36" s="302">
        <f t="shared" si="0"/>
        <v>0</v>
      </c>
      <c r="J36" s="302">
        <f t="shared" si="0"/>
        <v>0</v>
      </c>
      <c r="K36" s="302">
        <f t="shared" si="0"/>
        <v>0</v>
      </c>
      <c r="L36" s="302">
        <f t="shared" si="0"/>
        <v>0</v>
      </c>
      <c r="M36" s="302"/>
      <c r="N36" s="302">
        <f>SUM(N5:N35)</f>
        <v>0</v>
      </c>
      <c r="O36" s="302"/>
      <c r="P36" s="302">
        <f>SUM(P5:P35)</f>
        <v>0</v>
      </c>
      <c r="Q36" s="523">
        <f>SUM(Q5:Q35)</f>
        <v>0</v>
      </c>
      <c r="R36" s="532"/>
      <c r="S36" s="290"/>
    </row>
    <row r="37" spans="1:18" ht="12" hidden="1">
      <c r="A37" s="13"/>
      <c r="B37" s="13"/>
      <c r="C37" s="163"/>
      <c r="D37" s="16" t="s">
        <v>159</v>
      </c>
      <c r="E37" s="15"/>
      <c r="F37" s="592"/>
      <c r="G37" s="15"/>
      <c r="H37" s="15"/>
      <c r="I37" s="15"/>
      <c r="J37" s="15"/>
      <c r="K37" s="15"/>
      <c r="L37" s="15"/>
      <c r="M37" s="15"/>
      <c r="N37" s="20"/>
      <c r="O37" s="20"/>
      <c r="P37" s="20"/>
      <c r="Q37" s="16">
        <f>SUM(G37:P37)</f>
        <v>0</v>
      </c>
      <c r="R37" s="343"/>
    </row>
    <row r="38" spans="1:18" ht="28.5" customHeight="1" hidden="1">
      <c r="A38" s="13"/>
      <c r="B38" s="13"/>
      <c r="C38" s="163" t="s">
        <v>592</v>
      </c>
      <c r="D38" s="303" t="s">
        <v>669</v>
      </c>
      <c r="E38" s="15"/>
      <c r="F38" s="13">
        <v>121401</v>
      </c>
      <c r="G38" s="15"/>
      <c r="H38" s="15"/>
      <c r="I38" s="15"/>
      <c r="J38" s="15"/>
      <c r="K38" s="15"/>
      <c r="L38" s="15"/>
      <c r="M38" s="15"/>
      <c r="N38" s="15"/>
      <c r="O38" s="20"/>
      <c r="P38" s="20"/>
      <c r="Q38" s="16">
        <f>SUM(G38:P38)</f>
        <v>0</v>
      </c>
      <c r="R38" s="343"/>
    </row>
    <row r="39" spans="1:18" ht="12" hidden="1">
      <c r="A39" s="13"/>
      <c r="B39" s="13"/>
      <c r="C39" s="163"/>
      <c r="D39" s="16" t="s">
        <v>160</v>
      </c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20"/>
      <c r="P39" s="20"/>
      <c r="Q39" s="16">
        <f>SUM(G39:P39)</f>
        <v>0</v>
      </c>
      <c r="R39" s="343"/>
    </row>
    <row r="40" spans="1:18" ht="24" hidden="1">
      <c r="A40" s="13"/>
      <c r="B40" s="13"/>
      <c r="C40" s="163" t="s">
        <v>492</v>
      </c>
      <c r="D40" s="102" t="s">
        <v>676</v>
      </c>
      <c r="E40" s="15"/>
      <c r="F40" s="13">
        <v>121402</v>
      </c>
      <c r="G40" s="15"/>
      <c r="H40" s="15"/>
      <c r="I40" s="15"/>
      <c r="J40" s="15"/>
      <c r="K40" s="15"/>
      <c r="L40" s="15"/>
      <c r="M40" s="15"/>
      <c r="N40" s="15"/>
      <c r="O40" s="20"/>
      <c r="P40" s="20"/>
      <c r="Q40" s="16">
        <f>SUM(G40:P40)</f>
        <v>0</v>
      </c>
      <c r="R40" s="343"/>
    </row>
    <row r="41" spans="1:18" ht="25.5" hidden="1">
      <c r="A41" s="13"/>
      <c r="B41" s="13"/>
      <c r="C41" s="163" t="s">
        <v>521</v>
      </c>
      <c r="D41" s="116" t="s">
        <v>491</v>
      </c>
      <c r="E41" s="15"/>
      <c r="F41" s="13">
        <v>121404</v>
      </c>
      <c r="G41" s="15"/>
      <c r="H41" s="15"/>
      <c r="I41" s="15"/>
      <c r="J41" s="15"/>
      <c r="K41" s="15"/>
      <c r="L41" s="15"/>
      <c r="M41" s="15"/>
      <c r="N41" s="15"/>
      <c r="O41" s="20"/>
      <c r="P41" s="20"/>
      <c r="Q41" s="16">
        <f>SUM(G41:P41)</f>
        <v>0</v>
      </c>
      <c r="R41" s="343"/>
    </row>
    <row r="42" spans="1:18" ht="13.5" hidden="1">
      <c r="A42" s="17"/>
      <c r="B42" s="17"/>
      <c r="C42" s="300"/>
      <c r="D42" s="18" t="s">
        <v>444</v>
      </c>
      <c r="E42" s="19"/>
      <c r="F42" s="591"/>
      <c r="G42" s="210">
        <f aca="true" t="shared" si="1" ref="G42:N42">SUM(G36:G41)</f>
        <v>0</v>
      </c>
      <c r="H42" s="210">
        <f t="shared" si="1"/>
        <v>0</v>
      </c>
      <c r="I42" s="210">
        <f t="shared" si="1"/>
        <v>0</v>
      </c>
      <c r="J42" s="210">
        <f t="shared" si="1"/>
        <v>0</v>
      </c>
      <c r="K42" s="210">
        <f t="shared" si="1"/>
        <v>0</v>
      </c>
      <c r="L42" s="210">
        <f t="shared" si="1"/>
        <v>0</v>
      </c>
      <c r="M42" s="210">
        <f t="shared" si="1"/>
        <v>0</v>
      </c>
      <c r="N42" s="210">
        <f t="shared" si="1"/>
        <v>0</v>
      </c>
      <c r="O42" s="210"/>
      <c r="P42" s="210">
        <f>SUM(P36:P41)</f>
        <v>0</v>
      </c>
      <c r="Q42" s="267">
        <f>SUM(Q36:Q41)</f>
        <v>0</v>
      </c>
      <c r="R42" s="532"/>
    </row>
    <row r="43" spans="1:18" ht="12">
      <c r="A43" s="13">
        <v>1</v>
      </c>
      <c r="B43" s="13">
        <v>13</v>
      </c>
      <c r="C43" s="13"/>
      <c r="D43" s="285" t="s">
        <v>403</v>
      </c>
      <c r="E43" s="20" t="s">
        <v>161</v>
      </c>
      <c r="F43" s="14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343"/>
    </row>
    <row r="44" spans="1:18" ht="12" hidden="1">
      <c r="A44" s="13"/>
      <c r="B44" s="13"/>
      <c r="C44" s="163"/>
      <c r="D44" s="304" t="s">
        <v>478</v>
      </c>
      <c r="E44" s="20"/>
      <c r="F44" s="14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343"/>
    </row>
    <row r="45" spans="1:18" ht="12" hidden="1">
      <c r="A45" s="13"/>
      <c r="B45" s="13"/>
      <c r="C45" s="163"/>
      <c r="D45" s="98" t="s">
        <v>438</v>
      </c>
      <c r="E45" s="291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343"/>
    </row>
    <row r="46" spans="1:18" ht="15" customHeight="1" hidden="1">
      <c r="A46" s="13"/>
      <c r="B46" s="13"/>
      <c r="C46" s="163"/>
      <c r="D46" s="16" t="s">
        <v>162</v>
      </c>
      <c r="E46" s="15">
        <v>2</v>
      </c>
      <c r="F46" s="13">
        <v>131112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>
        <f>SUM(G46:P46)</f>
        <v>0</v>
      </c>
      <c r="R46" s="343"/>
    </row>
    <row r="47" spans="1:18" ht="15" customHeight="1" hidden="1">
      <c r="A47" s="13"/>
      <c r="B47" s="13"/>
      <c r="C47" s="163"/>
      <c r="D47" s="162" t="s">
        <v>980</v>
      </c>
      <c r="E47" s="15">
        <v>2</v>
      </c>
      <c r="F47" s="13">
        <v>131123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>
        <f>SUM(G47:P47)</f>
        <v>0</v>
      </c>
      <c r="R47" s="343"/>
    </row>
    <row r="48" spans="1:18" ht="15" customHeight="1" hidden="1">
      <c r="A48" s="13"/>
      <c r="B48" s="13"/>
      <c r="C48" s="163"/>
      <c r="D48" s="162" t="s">
        <v>163</v>
      </c>
      <c r="E48" s="15">
        <v>2</v>
      </c>
      <c r="F48" s="13">
        <v>131122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>
        <f>SUM(G48:P48)</f>
        <v>0</v>
      </c>
      <c r="R48" s="343"/>
    </row>
    <row r="49" spans="1:18" ht="15" customHeight="1" hidden="1">
      <c r="A49" s="13"/>
      <c r="B49" s="13"/>
      <c r="C49" s="163"/>
      <c r="D49" s="162" t="s">
        <v>164</v>
      </c>
      <c r="E49" s="15"/>
      <c r="F49" s="1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343"/>
    </row>
    <row r="50" spans="1:18" ht="24.75" customHeight="1" hidden="1">
      <c r="A50" s="13"/>
      <c r="B50" s="13"/>
      <c r="C50" s="163"/>
      <c r="D50" s="162" t="s">
        <v>165</v>
      </c>
      <c r="E50" s="15">
        <v>2</v>
      </c>
      <c r="F50" s="13">
        <v>131110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>
        <f>SUM(G50:P50)</f>
        <v>0</v>
      </c>
      <c r="R50" s="343"/>
    </row>
    <row r="51" spans="1:18" ht="12" customHeight="1" hidden="1">
      <c r="A51" s="13"/>
      <c r="B51" s="13"/>
      <c r="C51" s="163"/>
      <c r="D51" s="162" t="s">
        <v>438</v>
      </c>
      <c r="E51" s="15"/>
      <c r="F51" s="13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343"/>
    </row>
    <row r="52" spans="1:18" ht="14.25" customHeight="1" hidden="1">
      <c r="A52" s="13"/>
      <c r="B52" s="13"/>
      <c r="C52" s="163"/>
      <c r="D52" s="24" t="s">
        <v>166</v>
      </c>
      <c r="E52" s="15">
        <v>2</v>
      </c>
      <c r="F52" s="13">
        <v>131107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4">
        <f>SUM(G52:P52)</f>
        <v>0</v>
      </c>
      <c r="R52" s="343"/>
    </row>
    <row r="53" spans="1:18" ht="14.25" customHeight="1" hidden="1">
      <c r="A53" s="13"/>
      <c r="B53" s="13"/>
      <c r="C53" s="163"/>
      <c r="D53" s="24" t="s">
        <v>981</v>
      </c>
      <c r="E53" s="15"/>
      <c r="F53" s="1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4"/>
      <c r="R53" s="343"/>
    </row>
    <row r="54" spans="1:18" ht="24.75" customHeight="1" hidden="1">
      <c r="A54" s="13"/>
      <c r="B54" s="13"/>
      <c r="C54" s="163"/>
      <c r="D54" s="160" t="s">
        <v>167</v>
      </c>
      <c r="E54" s="15">
        <v>2</v>
      </c>
      <c r="F54" s="13">
        <v>131115</v>
      </c>
      <c r="G54" s="25"/>
      <c r="H54" s="25"/>
      <c r="I54" s="25"/>
      <c r="J54" s="15"/>
      <c r="K54" s="15"/>
      <c r="L54" s="25"/>
      <c r="M54" s="25"/>
      <c r="N54" s="25"/>
      <c r="O54" s="25"/>
      <c r="P54" s="25"/>
      <c r="Q54" s="24">
        <f>SUM(G54:P54)</f>
        <v>0</v>
      </c>
      <c r="R54" s="343"/>
    </row>
    <row r="55" spans="1:18" ht="15" customHeight="1" hidden="1">
      <c r="A55" s="13"/>
      <c r="B55" s="13"/>
      <c r="C55" s="163"/>
      <c r="D55" s="305" t="s">
        <v>479</v>
      </c>
      <c r="E55" s="306"/>
      <c r="F55" s="593"/>
      <c r="G55" s="25"/>
      <c r="H55" s="25"/>
      <c r="I55" s="25"/>
      <c r="J55" s="15"/>
      <c r="K55" s="15"/>
      <c r="L55" s="25"/>
      <c r="M55" s="25"/>
      <c r="N55" s="25"/>
      <c r="O55" s="25"/>
      <c r="P55" s="25"/>
      <c r="Q55" s="24"/>
      <c r="R55" s="343"/>
    </row>
    <row r="56" spans="1:18" ht="24.75" customHeight="1" hidden="1">
      <c r="A56" s="13"/>
      <c r="B56" s="13"/>
      <c r="C56" s="163"/>
      <c r="D56" s="162" t="s">
        <v>168</v>
      </c>
      <c r="E56" s="307"/>
      <c r="F56" s="59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343"/>
    </row>
    <row r="57" spans="1:18" ht="12" customHeight="1" hidden="1">
      <c r="A57" s="13"/>
      <c r="B57" s="13"/>
      <c r="C57" s="163"/>
      <c r="D57" s="16" t="s">
        <v>393</v>
      </c>
      <c r="E57" s="15">
        <v>2</v>
      </c>
      <c r="F57" s="13">
        <v>131101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343"/>
    </row>
    <row r="58" spans="1:18" ht="12" customHeight="1" hidden="1">
      <c r="A58" s="13"/>
      <c r="B58" s="13"/>
      <c r="C58" s="163"/>
      <c r="D58" s="16" t="s">
        <v>9</v>
      </c>
      <c r="E58" s="15">
        <v>2</v>
      </c>
      <c r="F58" s="13">
        <v>131102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>
        <f>SUM(G58:P58)</f>
        <v>0</v>
      </c>
      <c r="R58" s="343"/>
    </row>
    <row r="59" spans="1:18" ht="12" customHeight="1" hidden="1">
      <c r="A59" s="13"/>
      <c r="B59" s="13"/>
      <c r="C59" s="163"/>
      <c r="D59" s="16" t="s">
        <v>169</v>
      </c>
      <c r="E59" s="15">
        <v>2</v>
      </c>
      <c r="F59" s="13">
        <v>131205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>
        <f>SUM(G59:P59)</f>
        <v>0</v>
      </c>
      <c r="R59" s="343"/>
    </row>
    <row r="60" spans="1:18" ht="12" customHeight="1" hidden="1">
      <c r="A60" s="13"/>
      <c r="B60" s="13"/>
      <c r="C60" s="163"/>
      <c r="D60" s="16" t="s">
        <v>170</v>
      </c>
      <c r="E60" s="15">
        <v>2</v>
      </c>
      <c r="F60" s="13">
        <v>131206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>
        <f>SUM(G60:P60)</f>
        <v>0</v>
      </c>
      <c r="R60" s="343"/>
    </row>
    <row r="61" spans="1:18" ht="12" customHeight="1" hidden="1">
      <c r="A61" s="13"/>
      <c r="B61" s="13"/>
      <c r="C61" s="163"/>
      <c r="D61" s="98" t="s">
        <v>10</v>
      </c>
      <c r="E61" s="15">
        <v>2</v>
      </c>
      <c r="F61" s="13">
        <v>131209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>
        <f>SUM(G61:P61)</f>
        <v>0</v>
      </c>
      <c r="R61" s="343"/>
    </row>
    <row r="62" spans="1:18" ht="12" customHeight="1" hidden="1">
      <c r="A62" s="13"/>
      <c r="B62" s="13"/>
      <c r="C62" s="163"/>
      <c r="D62" s="16" t="s">
        <v>981</v>
      </c>
      <c r="E62" s="15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343"/>
    </row>
    <row r="63" spans="1:18" ht="12" customHeight="1" hidden="1">
      <c r="A63" s="13"/>
      <c r="B63" s="13"/>
      <c r="C63" s="163"/>
      <c r="D63" s="98" t="s">
        <v>982</v>
      </c>
      <c r="E63" s="15">
        <v>2</v>
      </c>
      <c r="F63" s="13">
        <v>131101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>
        <f>SUM(G63:P63)</f>
        <v>0</v>
      </c>
      <c r="R63" s="343"/>
    </row>
    <row r="64" spans="1:18" ht="12" customHeight="1" hidden="1">
      <c r="A64" s="13"/>
      <c r="B64" s="13"/>
      <c r="C64" s="163"/>
      <c r="D64" s="98" t="s">
        <v>171</v>
      </c>
      <c r="E64" s="15"/>
      <c r="F64" s="13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343"/>
    </row>
    <row r="65" spans="1:18" ht="12" customHeight="1" hidden="1">
      <c r="A65" s="13"/>
      <c r="B65" s="13"/>
      <c r="C65" s="163"/>
      <c r="D65" s="16" t="s">
        <v>172</v>
      </c>
      <c r="E65" s="15">
        <v>2</v>
      </c>
      <c r="F65" s="13">
        <v>131120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>
        <f>SUM(G65:P65)</f>
        <v>0</v>
      </c>
      <c r="R65" s="343"/>
    </row>
    <row r="66" spans="1:18" ht="12" customHeight="1" hidden="1">
      <c r="A66" s="13"/>
      <c r="B66" s="13"/>
      <c r="C66" s="163"/>
      <c r="D66" s="16" t="s">
        <v>439</v>
      </c>
      <c r="E66" s="291"/>
      <c r="F66" s="2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343"/>
    </row>
    <row r="67" spans="1:18" ht="12" customHeight="1" hidden="1">
      <c r="A67" s="13"/>
      <c r="B67" s="13"/>
      <c r="C67" s="163"/>
      <c r="D67" s="16" t="s">
        <v>11</v>
      </c>
      <c r="E67" s="15">
        <v>1</v>
      </c>
      <c r="F67" s="13">
        <v>131303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>
        <f aca="true" t="shared" si="2" ref="Q67:Q85">SUM(G67:P67)</f>
        <v>0</v>
      </c>
      <c r="R67" s="343"/>
    </row>
    <row r="68" spans="1:18" ht="12" customHeight="1" hidden="1">
      <c r="A68" s="13"/>
      <c r="B68" s="13"/>
      <c r="C68" s="163"/>
      <c r="D68" s="16" t="s">
        <v>173</v>
      </c>
      <c r="E68" s="15">
        <v>2</v>
      </c>
      <c r="F68" s="13">
        <v>131302</v>
      </c>
      <c r="G68" s="15"/>
      <c r="H68" s="15"/>
      <c r="I68" s="15"/>
      <c r="J68" s="15"/>
      <c r="K68" s="308"/>
      <c r="L68" s="15"/>
      <c r="M68" s="15"/>
      <c r="N68" s="15"/>
      <c r="O68" s="15"/>
      <c r="P68" s="15"/>
      <c r="Q68" s="16">
        <f t="shared" si="2"/>
        <v>0</v>
      </c>
      <c r="R68" s="343"/>
    </row>
    <row r="69" spans="1:18" ht="12" customHeight="1" hidden="1">
      <c r="A69" s="13"/>
      <c r="B69" s="13"/>
      <c r="C69" s="163"/>
      <c r="D69" s="16" t="s">
        <v>174</v>
      </c>
      <c r="E69" s="15">
        <v>2</v>
      </c>
      <c r="F69" s="13">
        <v>131305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>
        <f t="shared" si="2"/>
        <v>0</v>
      </c>
      <c r="R69" s="343"/>
    </row>
    <row r="70" spans="1:18" ht="13.5" customHeight="1" hidden="1">
      <c r="A70" s="13"/>
      <c r="B70" s="13"/>
      <c r="C70" s="163"/>
      <c r="D70" s="141" t="s">
        <v>175</v>
      </c>
      <c r="E70" s="15">
        <v>2</v>
      </c>
      <c r="F70" s="13">
        <v>131325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2"/>
        <v>0</v>
      </c>
      <c r="R70" s="343"/>
    </row>
    <row r="71" spans="1:18" ht="24" customHeight="1" hidden="1">
      <c r="A71" s="13"/>
      <c r="B71" s="13"/>
      <c r="C71" s="163"/>
      <c r="D71" s="141" t="s">
        <v>176</v>
      </c>
      <c r="E71" s="15">
        <v>2</v>
      </c>
      <c r="F71" s="13">
        <v>131308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2"/>
        <v>0</v>
      </c>
      <c r="R71" s="343"/>
    </row>
    <row r="72" spans="1:18" ht="13.5" customHeight="1" hidden="1">
      <c r="A72" s="13"/>
      <c r="B72" s="13"/>
      <c r="C72" s="163"/>
      <c r="D72" s="141" t="s">
        <v>177</v>
      </c>
      <c r="E72" s="15">
        <v>2</v>
      </c>
      <c r="F72" s="13">
        <v>131505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2"/>
        <v>0</v>
      </c>
      <c r="R72" s="343"/>
    </row>
    <row r="73" spans="1:18" ht="12" customHeight="1" hidden="1">
      <c r="A73" s="13"/>
      <c r="B73" s="13"/>
      <c r="C73" s="163"/>
      <c r="D73" s="16" t="s">
        <v>178</v>
      </c>
      <c r="E73" s="15">
        <v>2</v>
      </c>
      <c r="F73" s="13">
        <v>131306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2"/>
        <v>0</v>
      </c>
      <c r="R73" s="343"/>
    </row>
    <row r="74" spans="1:18" ht="12" customHeight="1" hidden="1">
      <c r="A74" s="13"/>
      <c r="B74" s="13"/>
      <c r="C74" s="163"/>
      <c r="D74" s="141" t="s">
        <v>179</v>
      </c>
      <c r="E74" s="15">
        <v>2</v>
      </c>
      <c r="F74" s="13">
        <v>131121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>
        <f t="shared" si="2"/>
        <v>0</v>
      </c>
      <c r="R74" s="343"/>
    </row>
    <row r="75" spans="1:18" ht="12" customHeight="1" hidden="1">
      <c r="A75" s="13"/>
      <c r="B75" s="13"/>
      <c r="C75" s="163"/>
      <c r="D75" s="162" t="s">
        <v>180</v>
      </c>
      <c r="E75" s="15">
        <v>2</v>
      </c>
      <c r="F75" s="13">
        <v>131501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2"/>
        <v>0</v>
      </c>
      <c r="R75" s="343"/>
    </row>
    <row r="76" spans="1:18" ht="12" customHeight="1" hidden="1">
      <c r="A76" s="13"/>
      <c r="B76" s="13"/>
      <c r="C76" s="163"/>
      <c r="D76" s="162" t="s">
        <v>181</v>
      </c>
      <c r="E76" s="15">
        <v>2</v>
      </c>
      <c r="F76" s="13">
        <v>131307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>
        <f t="shared" si="2"/>
        <v>0</v>
      </c>
      <c r="R76" s="343"/>
    </row>
    <row r="77" spans="1:18" ht="12" customHeight="1" hidden="1">
      <c r="A77" s="13"/>
      <c r="B77" s="13"/>
      <c r="C77" s="163"/>
      <c r="D77" s="141" t="s">
        <v>413</v>
      </c>
      <c r="E77" s="15">
        <v>1</v>
      </c>
      <c r="F77" s="13">
        <v>131322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 t="shared" si="2"/>
        <v>0</v>
      </c>
      <c r="R77" s="343"/>
    </row>
    <row r="78" spans="1:18" ht="12" customHeight="1" hidden="1">
      <c r="A78" s="13"/>
      <c r="B78" s="13"/>
      <c r="C78" s="163"/>
      <c r="D78" s="141" t="s">
        <v>182</v>
      </c>
      <c r="E78" s="15">
        <v>2</v>
      </c>
      <c r="F78" s="13">
        <v>131323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>
        <f t="shared" si="2"/>
        <v>0</v>
      </c>
      <c r="R78" s="343"/>
    </row>
    <row r="79" spans="1:18" ht="12" customHeight="1" hidden="1">
      <c r="A79" s="13"/>
      <c r="B79" s="13"/>
      <c r="C79" s="163"/>
      <c r="D79" s="151" t="s">
        <v>183</v>
      </c>
      <c r="E79" s="15">
        <v>2</v>
      </c>
      <c r="F79" s="13">
        <v>131326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 t="shared" si="2"/>
        <v>0</v>
      </c>
      <c r="R79" s="343"/>
    </row>
    <row r="80" spans="1:18" ht="12" customHeight="1" hidden="1">
      <c r="A80" s="13"/>
      <c r="B80" s="13"/>
      <c r="C80" s="163"/>
      <c r="D80" s="162" t="s">
        <v>184</v>
      </c>
      <c r="E80" s="15">
        <v>2</v>
      </c>
      <c r="F80" s="13">
        <v>131314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>
        <f t="shared" si="2"/>
        <v>0</v>
      </c>
      <c r="R80" s="343"/>
    </row>
    <row r="81" spans="1:18" ht="12" customHeight="1" hidden="1">
      <c r="A81" s="13"/>
      <c r="B81" s="13"/>
      <c r="C81" s="163"/>
      <c r="D81" s="162" t="s">
        <v>185</v>
      </c>
      <c r="E81" s="15">
        <v>2</v>
      </c>
      <c r="F81" s="13">
        <v>131135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2"/>
        <v>0</v>
      </c>
      <c r="R81" s="343"/>
    </row>
    <row r="82" spans="1:18" ht="12" customHeight="1" hidden="1">
      <c r="A82" s="13"/>
      <c r="B82" s="13"/>
      <c r="C82" s="163"/>
      <c r="D82" s="162" t="s">
        <v>186</v>
      </c>
      <c r="E82" s="15">
        <v>2</v>
      </c>
      <c r="F82" s="13">
        <v>131136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2"/>
        <v>0</v>
      </c>
      <c r="R82" s="343"/>
    </row>
    <row r="83" spans="1:18" ht="12" customHeight="1" hidden="1">
      <c r="A83" s="13"/>
      <c r="B83" s="13"/>
      <c r="C83" s="163"/>
      <c r="D83" s="162" t="s">
        <v>187</v>
      </c>
      <c r="E83" s="15">
        <v>2</v>
      </c>
      <c r="F83" s="13">
        <v>131137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2"/>
        <v>0</v>
      </c>
      <c r="R83" s="343"/>
    </row>
    <row r="84" spans="1:18" ht="12" customHeight="1" hidden="1">
      <c r="A84" s="13"/>
      <c r="B84" s="13"/>
      <c r="C84" s="163"/>
      <c r="D84" s="162" t="s">
        <v>188</v>
      </c>
      <c r="E84" s="15">
        <v>2</v>
      </c>
      <c r="F84" s="13">
        <v>131138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2"/>
        <v>0</v>
      </c>
      <c r="R84" s="343"/>
    </row>
    <row r="85" spans="1:18" ht="12" customHeight="1" hidden="1">
      <c r="A85" s="13"/>
      <c r="B85" s="13"/>
      <c r="C85" s="163"/>
      <c r="D85" s="162" t="s">
        <v>189</v>
      </c>
      <c r="E85" s="15">
        <v>2</v>
      </c>
      <c r="F85" s="13">
        <v>131139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2"/>
        <v>0</v>
      </c>
      <c r="R85" s="343"/>
    </row>
    <row r="86" spans="1:18" ht="12" customHeight="1" hidden="1">
      <c r="A86" s="13"/>
      <c r="B86" s="13"/>
      <c r="C86" s="163"/>
      <c r="D86" s="16" t="s">
        <v>190</v>
      </c>
      <c r="E86" s="291"/>
      <c r="F86" s="23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  <c r="R86" s="343"/>
    </row>
    <row r="87" spans="1:18" ht="24.75" customHeight="1" hidden="1">
      <c r="A87" s="13"/>
      <c r="B87" s="13"/>
      <c r="C87" s="163"/>
      <c r="D87" s="141" t="s">
        <v>191</v>
      </c>
      <c r="E87" s="291">
        <v>2</v>
      </c>
      <c r="F87" s="23">
        <v>131135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aca="true" t="shared" si="3" ref="Q87:Q92">SUM(G87:P87)</f>
        <v>0</v>
      </c>
      <c r="R87" s="343"/>
    </row>
    <row r="88" spans="1:18" ht="12" customHeight="1" hidden="1">
      <c r="A88" s="13"/>
      <c r="B88" s="13"/>
      <c r="C88" s="309"/>
      <c r="D88" s="310" t="s">
        <v>192</v>
      </c>
      <c r="E88" s="291">
        <v>2</v>
      </c>
      <c r="F88" s="23">
        <v>131136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3"/>
        <v>0</v>
      </c>
      <c r="R88" s="343"/>
    </row>
    <row r="89" spans="1:18" ht="12" customHeight="1" hidden="1">
      <c r="A89" s="13"/>
      <c r="B89" s="13"/>
      <c r="C89" s="163"/>
      <c r="D89" s="16" t="s">
        <v>193</v>
      </c>
      <c r="E89" s="291">
        <v>2</v>
      </c>
      <c r="F89" s="23">
        <v>131137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3"/>
        <v>0</v>
      </c>
      <c r="R89" s="343"/>
    </row>
    <row r="90" spans="1:18" ht="12" customHeight="1" hidden="1">
      <c r="A90" s="13"/>
      <c r="B90" s="13"/>
      <c r="C90" s="163"/>
      <c r="D90" s="16" t="s">
        <v>194</v>
      </c>
      <c r="E90" s="291">
        <v>2</v>
      </c>
      <c r="F90" s="23">
        <v>131138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3"/>
        <v>0</v>
      </c>
      <c r="R90" s="343"/>
    </row>
    <row r="91" spans="1:18" ht="12" customHeight="1" hidden="1">
      <c r="A91" s="13"/>
      <c r="B91" s="13"/>
      <c r="C91" s="163"/>
      <c r="D91" s="16" t="s">
        <v>195</v>
      </c>
      <c r="E91" s="291">
        <v>2</v>
      </c>
      <c r="F91" s="23">
        <v>131139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3"/>
        <v>0</v>
      </c>
      <c r="R91" s="343"/>
    </row>
    <row r="92" spans="1:18" ht="12" customHeight="1" hidden="1">
      <c r="A92" s="13"/>
      <c r="B92" s="13"/>
      <c r="C92" s="163"/>
      <c r="D92" s="16" t="s">
        <v>196</v>
      </c>
      <c r="E92" s="291">
        <v>2</v>
      </c>
      <c r="F92" s="23">
        <v>134925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3"/>
        <v>0</v>
      </c>
      <c r="R92" s="343"/>
    </row>
    <row r="93" spans="1:18" ht="15" customHeight="1" hidden="1">
      <c r="A93" s="13"/>
      <c r="B93" s="13"/>
      <c r="C93" s="163"/>
      <c r="D93" s="162" t="s">
        <v>197</v>
      </c>
      <c r="E93" s="307"/>
      <c r="F93" s="59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/>
      <c r="R93" s="343"/>
    </row>
    <row r="94" spans="1:18" ht="12.75" customHeight="1" hidden="1">
      <c r="A94" s="13"/>
      <c r="B94" s="13"/>
      <c r="C94" s="163"/>
      <c r="D94" s="162" t="s">
        <v>198</v>
      </c>
      <c r="E94" s="264">
        <v>2</v>
      </c>
      <c r="F94" s="595">
        <v>131502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>SUM(G94:P94)</f>
        <v>0</v>
      </c>
      <c r="R94" s="343"/>
    </row>
    <row r="95" spans="1:18" ht="15" customHeight="1" hidden="1">
      <c r="A95" s="13"/>
      <c r="B95" s="13"/>
      <c r="C95" s="163"/>
      <c r="D95" s="311" t="s">
        <v>477</v>
      </c>
      <c r="E95" s="312"/>
      <c r="F95" s="59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343"/>
    </row>
    <row r="96" spans="1:18" ht="15" customHeight="1" hidden="1">
      <c r="A96" s="13"/>
      <c r="B96" s="13"/>
      <c r="C96" s="163"/>
      <c r="D96" s="16" t="s">
        <v>12</v>
      </c>
      <c r="E96" s="291"/>
      <c r="F96" s="23"/>
      <c r="G96" s="15"/>
      <c r="H96" s="15"/>
      <c r="I96" s="15"/>
      <c r="J96" s="296"/>
      <c r="K96" s="15"/>
      <c r="L96" s="296"/>
      <c r="M96" s="296"/>
      <c r="N96" s="296"/>
      <c r="O96" s="296"/>
      <c r="P96" s="296"/>
      <c r="Q96" s="12"/>
      <c r="R96" s="343"/>
    </row>
    <row r="97" spans="1:18" ht="15" customHeight="1" hidden="1">
      <c r="A97" s="13"/>
      <c r="B97" s="13"/>
      <c r="C97" s="163"/>
      <c r="D97" s="16" t="s">
        <v>13</v>
      </c>
      <c r="E97" s="15">
        <v>2</v>
      </c>
      <c r="F97" s="13">
        <v>131701</v>
      </c>
      <c r="G97" s="15"/>
      <c r="H97" s="15"/>
      <c r="I97" s="15"/>
      <c r="J97" s="296"/>
      <c r="K97" s="15"/>
      <c r="L97" s="296"/>
      <c r="M97" s="296"/>
      <c r="N97" s="296"/>
      <c r="O97" s="296"/>
      <c r="P97" s="296"/>
      <c r="Q97" s="12">
        <f>SUM(G97:P97)</f>
        <v>0</v>
      </c>
      <c r="R97" s="343"/>
    </row>
    <row r="98" spans="1:18" ht="15" customHeight="1" hidden="1">
      <c r="A98" s="13"/>
      <c r="B98" s="13"/>
      <c r="C98" s="163"/>
      <c r="D98" s="16" t="s">
        <v>190</v>
      </c>
      <c r="E98" s="219"/>
      <c r="F98" s="597"/>
      <c r="G98" s="15"/>
      <c r="H98" s="15"/>
      <c r="I98" s="15"/>
      <c r="J98" s="296"/>
      <c r="K98" s="15"/>
      <c r="L98" s="296"/>
      <c r="M98" s="296"/>
      <c r="N98" s="296"/>
      <c r="O98" s="296"/>
      <c r="P98" s="296"/>
      <c r="Q98" s="12"/>
      <c r="R98" s="343"/>
    </row>
    <row r="99" spans="1:18" ht="15" customHeight="1" hidden="1">
      <c r="A99" s="13"/>
      <c r="B99" s="13"/>
      <c r="C99" s="163"/>
      <c r="D99" s="141" t="s">
        <v>199</v>
      </c>
      <c r="E99" s="313">
        <v>2</v>
      </c>
      <c r="F99" s="595">
        <v>131708</v>
      </c>
      <c r="G99" s="15"/>
      <c r="H99" s="15"/>
      <c r="I99" s="15"/>
      <c r="J99" s="296"/>
      <c r="K99" s="15"/>
      <c r="L99" s="296"/>
      <c r="M99" s="296"/>
      <c r="N99" s="296"/>
      <c r="O99" s="296"/>
      <c r="P99" s="296"/>
      <c r="Q99" s="12">
        <f>SUM(G99:P99)</f>
        <v>0</v>
      </c>
      <c r="R99" s="343"/>
    </row>
    <row r="100" spans="1:18" ht="15" customHeight="1" hidden="1">
      <c r="A100" s="13"/>
      <c r="B100" s="13"/>
      <c r="C100" s="163"/>
      <c r="D100" s="12" t="s">
        <v>200</v>
      </c>
      <c r="E100" s="291"/>
      <c r="F100" s="23"/>
      <c r="G100" s="15"/>
      <c r="H100" s="15"/>
      <c r="I100" s="15"/>
      <c r="J100" s="296"/>
      <c r="K100" s="15"/>
      <c r="L100" s="296"/>
      <c r="M100" s="296"/>
      <c r="N100" s="296"/>
      <c r="O100" s="296"/>
      <c r="P100" s="296"/>
      <c r="Q100" s="12"/>
      <c r="R100" s="343"/>
    </row>
    <row r="101" spans="1:18" ht="15" customHeight="1" hidden="1">
      <c r="A101" s="13"/>
      <c r="B101" s="13"/>
      <c r="C101" s="163"/>
      <c r="D101" s="12" t="s">
        <v>201</v>
      </c>
      <c r="E101" s="291">
        <v>1</v>
      </c>
      <c r="F101" s="23">
        <v>131703</v>
      </c>
      <c r="G101" s="15"/>
      <c r="H101" s="15"/>
      <c r="I101" s="15"/>
      <c r="J101" s="296"/>
      <c r="K101" s="15"/>
      <c r="L101" s="296"/>
      <c r="M101" s="296"/>
      <c r="N101" s="296"/>
      <c r="O101" s="296"/>
      <c r="P101" s="296"/>
      <c r="Q101" s="12">
        <f>SUM(G101:P101)</f>
        <v>0</v>
      </c>
      <c r="R101" s="343"/>
    </row>
    <row r="102" spans="1:18" ht="15" customHeight="1" hidden="1">
      <c r="A102" s="13"/>
      <c r="B102" s="13"/>
      <c r="C102" s="163"/>
      <c r="D102" s="98" t="s">
        <v>202</v>
      </c>
      <c r="E102" s="291">
        <v>1</v>
      </c>
      <c r="F102" s="23">
        <v>121319</v>
      </c>
      <c r="G102" s="15"/>
      <c r="H102" s="15"/>
      <c r="I102" s="15"/>
      <c r="J102" s="296"/>
      <c r="K102" s="15"/>
      <c r="L102" s="296"/>
      <c r="M102" s="296"/>
      <c r="N102" s="296"/>
      <c r="O102" s="296"/>
      <c r="P102" s="296"/>
      <c r="Q102" s="12">
        <f>SUM(G102:P102)</f>
        <v>0</v>
      </c>
      <c r="R102" s="343"/>
    </row>
    <row r="103" spans="1:18" ht="27" customHeight="1" hidden="1">
      <c r="A103" s="13"/>
      <c r="B103" s="13"/>
      <c r="C103" s="163"/>
      <c r="D103" s="218" t="s">
        <v>14</v>
      </c>
      <c r="E103" s="15"/>
      <c r="F103" s="13"/>
      <c r="G103" s="15"/>
      <c r="H103" s="15"/>
      <c r="I103" s="9"/>
      <c r="J103" s="9"/>
      <c r="K103" s="150"/>
      <c r="L103" s="292"/>
      <c r="M103" s="292"/>
      <c r="N103" s="292"/>
      <c r="O103" s="292"/>
      <c r="P103" s="293"/>
      <c r="Q103" s="12"/>
      <c r="R103" s="343"/>
    </row>
    <row r="104" spans="1:18" ht="16.5" customHeight="1" hidden="1">
      <c r="A104" s="13"/>
      <c r="B104" s="13"/>
      <c r="C104" s="163"/>
      <c r="D104" s="218" t="s">
        <v>203</v>
      </c>
      <c r="E104" s="15">
        <v>2</v>
      </c>
      <c r="F104" s="13">
        <v>131506</v>
      </c>
      <c r="G104" s="15"/>
      <c r="H104" s="15"/>
      <c r="I104" s="9"/>
      <c r="J104" s="9"/>
      <c r="K104" s="150"/>
      <c r="L104" s="292"/>
      <c r="M104" s="292"/>
      <c r="N104" s="292"/>
      <c r="O104" s="292"/>
      <c r="P104" s="293"/>
      <c r="Q104" s="12">
        <f>SUM(G104:P104)</f>
        <v>0</v>
      </c>
      <c r="R104" s="343"/>
    </row>
    <row r="105" spans="1:18" ht="15" customHeight="1" hidden="1">
      <c r="A105" s="13"/>
      <c r="B105" s="13"/>
      <c r="C105" s="163"/>
      <c r="D105" s="16" t="s">
        <v>204</v>
      </c>
      <c r="E105" s="15"/>
      <c r="F105" s="13"/>
      <c r="G105" s="15"/>
      <c r="H105" s="15"/>
      <c r="I105" s="9"/>
      <c r="J105" s="9"/>
      <c r="K105" s="150"/>
      <c r="L105" s="292"/>
      <c r="M105" s="292"/>
      <c r="N105" s="292"/>
      <c r="O105" s="292"/>
      <c r="P105" s="293"/>
      <c r="Q105" s="12"/>
      <c r="R105" s="343"/>
    </row>
    <row r="106" spans="1:18" ht="15" customHeight="1" hidden="1">
      <c r="A106" s="13"/>
      <c r="B106" s="13"/>
      <c r="C106" s="163"/>
      <c r="D106" s="16" t="s">
        <v>205</v>
      </c>
      <c r="E106" s="15">
        <v>2</v>
      </c>
      <c r="F106" s="13">
        <v>131707</v>
      </c>
      <c r="G106" s="15"/>
      <c r="H106" s="15"/>
      <c r="I106" s="9"/>
      <c r="J106" s="9"/>
      <c r="K106" s="150"/>
      <c r="L106" s="292"/>
      <c r="M106" s="292"/>
      <c r="N106" s="292"/>
      <c r="O106" s="292"/>
      <c r="P106" s="293"/>
      <c r="Q106" s="12">
        <f>SUM(G106:P106)</f>
        <v>0</v>
      </c>
      <c r="R106" s="343"/>
    </row>
    <row r="107" spans="1:18" ht="16.5" customHeight="1" hidden="1">
      <c r="A107" s="13"/>
      <c r="B107" s="13"/>
      <c r="C107" s="163"/>
      <c r="D107" s="141" t="s">
        <v>15</v>
      </c>
      <c r="E107" s="314"/>
      <c r="F107" s="598"/>
      <c r="G107" s="15"/>
      <c r="H107" s="15"/>
      <c r="I107" s="15"/>
      <c r="J107" s="296"/>
      <c r="K107" s="15"/>
      <c r="L107" s="296"/>
      <c r="M107" s="296"/>
      <c r="N107" s="296"/>
      <c r="O107" s="296"/>
      <c r="P107" s="15"/>
      <c r="Q107" s="12"/>
      <c r="R107" s="343"/>
    </row>
    <row r="108" spans="1:18" ht="15" customHeight="1" hidden="1">
      <c r="A108" s="13"/>
      <c r="B108" s="13"/>
      <c r="C108" s="163"/>
      <c r="D108" s="16" t="s">
        <v>206</v>
      </c>
      <c r="E108" s="315">
        <v>2</v>
      </c>
      <c r="F108" s="23">
        <v>131706</v>
      </c>
      <c r="G108" s="15"/>
      <c r="H108" s="15"/>
      <c r="I108" s="15"/>
      <c r="J108" s="296"/>
      <c r="K108" s="15"/>
      <c r="L108" s="296"/>
      <c r="M108" s="296"/>
      <c r="N108" s="296"/>
      <c r="O108" s="296"/>
      <c r="P108" s="15"/>
      <c r="Q108" s="12">
        <f>SUM(G108:P108)</f>
        <v>0</v>
      </c>
      <c r="R108" s="343"/>
    </row>
    <row r="109" spans="1:18" ht="15" customHeight="1" hidden="1">
      <c r="A109" s="13"/>
      <c r="B109" s="13"/>
      <c r="C109" s="163"/>
      <c r="D109" s="16" t="s">
        <v>207</v>
      </c>
      <c r="E109" s="315">
        <v>2</v>
      </c>
      <c r="F109" s="23">
        <v>121517</v>
      </c>
      <c r="G109" s="15"/>
      <c r="H109" s="15"/>
      <c r="I109" s="15"/>
      <c r="J109" s="296"/>
      <c r="K109" s="15"/>
      <c r="L109" s="296"/>
      <c r="M109" s="296"/>
      <c r="N109" s="296"/>
      <c r="O109" s="296"/>
      <c r="P109" s="15"/>
      <c r="Q109" s="12">
        <f>SUM(G109:P109)</f>
        <v>0</v>
      </c>
      <c r="R109" s="343"/>
    </row>
    <row r="110" spans="1:18" ht="15" customHeight="1" hidden="1">
      <c r="A110" s="13"/>
      <c r="B110" s="13"/>
      <c r="C110" s="163"/>
      <c r="D110" s="311" t="s">
        <v>708</v>
      </c>
      <c r="E110" s="15"/>
      <c r="F110" s="1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/>
      <c r="R110" s="343"/>
    </row>
    <row r="111" spans="1:18" ht="15" customHeight="1" hidden="1">
      <c r="A111" s="13"/>
      <c r="B111" s="13"/>
      <c r="C111" s="163"/>
      <c r="D111" s="98" t="s">
        <v>16</v>
      </c>
      <c r="E111" s="291"/>
      <c r="F111" s="2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343"/>
    </row>
    <row r="112" spans="1:18" ht="15" customHeight="1" hidden="1">
      <c r="A112" s="13"/>
      <c r="B112" s="13"/>
      <c r="C112" s="163"/>
      <c r="D112" s="16" t="s">
        <v>208</v>
      </c>
      <c r="E112" s="15">
        <v>2</v>
      </c>
      <c r="F112" s="13">
        <v>131803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>SUM(G112:P112)</f>
        <v>0</v>
      </c>
      <c r="R112" s="343"/>
    </row>
    <row r="113" spans="1:18" ht="15" customHeight="1" hidden="1">
      <c r="A113" s="13"/>
      <c r="B113" s="13"/>
      <c r="C113" s="163"/>
      <c r="D113" s="16" t="s">
        <v>209</v>
      </c>
      <c r="E113" s="15">
        <v>2</v>
      </c>
      <c r="F113" s="13">
        <v>131804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>
        <f>SUM(G113:P113)</f>
        <v>0</v>
      </c>
      <c r="R113" s="343"/>
    </row>
    <row r="114" spans="1:18" ht="15" customHeight="1" hidden="1">
      <c r="A114" s="13"/>
      <c r="B114" s="13"/>
      <c r="C114" s="163"/>
      <c r="D114" s="16" t="s">
        <v>210</v>
      </c>
      <c r="E114" s="15">
        <v>2</v>
      </c>
      <c r="F114" s="13">
        <v>131805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>
        <f>SUM(G114:P114)</f>
        <v>0</v>
      </c>
      <c r="R114" s="343"/>
    </row>
    <row r="115" spans="1:18" ht="15" customHeight="1" hidden="1">
      <c r="A115" s="13"/>
      <c r="B115" s="13"/>
      <c r="C115" s="163"/>
      <c r="D115" s="98" t="s">
        <v>709</v>
      </c>
      <c r="E115" s="291"/>
      <c r="F115" s="23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/>
      <c r="R115" s="343"/>
    </row>
    <row r="116" spans="1:18" ht="15" customHeight="1" hidden="1">
      <c r="A116" s="13"/>
      <c r="B116" s="13"/>
      <c r="C116" s="163"/>
      <c r="D116" s="24" t="s">
        <v>17</v>
      </c>
      <c r="E116" s="291">
        <v>1</v>
      </c>
      <c r="F116" s="23">
        <v>131808</v>
      </c>
      <c r="G116" s="25"/>
      <c r="H116" s="25"/>
      <c r="I116" s="25"/>
      <c r="J116" s="25"/>
      <c r="K116" s="15"/>
      <c r="L116" s="25"/>
      <c r="M116" s="25"/>
      <c r="N116" s="25"/>
      <c r="O116" s="25"/>
      <c r="P116" s="25"/>
      <c r="Q116" s="16">
        <f>SUM(G116:P116)</f>
        <v>0</v>
      </c>
      <c r="R116" s="343"/>
    </row>
    <row r="117" spans="1:18" ht="15" customHeight="1" hidden="1">
      <c r="A117" s="13"/>
      <c r="B117" s="13"/>
      <c r="C117" s="163"/>
      <c r="D117" s="24" t="s">
        <v>710</v>
      </c>
      <c r="E117" s="25">
        <v>1</v>
      </c>
      <c r="F117" s="23">
        <v>131807</v>
      </c>
      <c r="G117" s="25"/>
      <c r="H117" s="25"/>
      <c r="I117" s="25"/>
      <c r="J117" s="25"/>
      <c r="K117" s="15"/>
      <c r="L117" s="25"/>
      <c r="M117" s="25"/>
      <c r="N117" s="25"/>
      <c r="O117" s="25"/>
      <c r="P117" s="25"/>
      <c r="Q117" s="16">
        <f>SUM(G117:P117)</f>
        <v>0</v>
      </c>
      <c r="R117" s="343"/>
    </row>
    <row r="118" spans="1:18" ht="15" customHeight="1" hidden="1">
      <c r="A118" s="13"/>
      <c r="B118" s="13"/>
      <c r="C118" s="163"/>
      <c r="D118" s="24" t="s">
        <v>211</v>
      </c>
      <c r="E118" s="291">
        <v>1</v>
      </c>
      <c r="F118" s="23">
        <v>131809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16">
        <f>SUM(G118:P118)</f>
        <v>0</v>
      </c>
      <c r="R118" s="343"/>
    </row>
    <row r="119" spans="1:18" ht="15" customHeight="1" hidden="1">
      <c r="A119" s="13"/>
      <c r="B119" s="13"/>
      <c r="C119" s="163"/>
      <c r="D119" s="162" t="s">
        <v>212</v>
      </c>
      <c r="E119" s="15">
        <v>2</v>
      </c>
      <c r="F119" s="13">
        <v>131835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>
        <f>SUM(G119:P119)</f>
        <v>0</v>
      </c>
      <c r="R119" s="343"/>
    </row>
    <row r="120" spans="1:18" ht="15" customHeight="1" hidden="1">
      <c r="A120" s="13"/>
      <c r="B120" s="13"/>
      <c r="C120" s="163"/>
      <c r="D120" s="100" t="s">
        <v>18</v>
      </c>
      <c r="E120" s="291"/>
      <c r="F120" s="23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16"/>
      <c r="R120" s="343"/>
    </row>
    <row r="121" spans="1:18" ht="15" customHeight="1" hidden="1">
      <c r="A121" s="13"/>
      <c r="B121" s="13"/>
      <c r="C121" s="163"/>
      <c r="D121" s="24" t="s">
        <v>19</v>
      </c>
      <c r="E121" s="25">
        <v>1</v>
      </c>
      <c r="F121" s="23">
        <v>131811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16">
        <f aca="true" t="shared" si="4" ref="Q121:Q130">SUM(G121:P121)</f>
        <v>0</v>
      </c>
      <c r="R121" s="343"/>
    </row>
    <row r="122" spans="1:18" ht="15" customHeight="1" hidden="1">
      <c r="A122" s="13"/>
      <c r="B122" s="13"/>
      <c r="C122" s="163"/>
      <c r="D122" s="24" t="s">
        <v>213</v>
      </c>
      <c r="E122" s="25">
        <v>1</v>
      </c>
      <c r="F122" s="23">
        <v>131812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16">
        <f t="shared" si="4"/>
        <v>0</v>
      </c>
      <c r="R122" s="343"/>
    </row>
    <row r="123" spans="1:18" ht="15" customHeight="1" hidden="1">
      <c r="A123" s="13"/>
      <c r="B123" s="13"/>
      <c r="C123" s="163"/>
      <c r="D123" s="24" t="s">
        <v>214</v>
      </c>
      <c r="E123" s="25">
        <v>1</v>
      </c>
      <c r="F123" s="23">
        <v>131813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16">
        <f t="shared" si="4"/>
        <v>0</v>
      </c>
      <c r="R123" s="343"/>
    </row>
    <row r="124" spans="1:18" ht="15" customHeight="1" hidden="1">
      <c r="A124" s="13"/>
      <c r="B124" s="13"/>
      <c r="C124" s="163"/>
      <c r="D124" s="24" t="s">
        <v>215</v>
      </c>
      <c r="E124" s="25">
        <v>1</v>
      </c>
      <c r="F124" s="23">
        <v>131815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16">
        <f t="shared" si="4"/>
        <v>0</v>
      </c>
      <c r="R124" s="343"/>
    </row>
    <row r="125" spans="1:18" ht="15" customHeight="1" hidden="1">
      <c r="A125" s="13"/>
      <c r="B125" s="13"/>
      <c r="C125" s="163"/>
      <c r="D125" s="24" t="s">
        <v>216</v>
      </c>
      <c r="E125" s="25">
        <v>1</v>
      </c>
      <c r="F125" s="23">
        <v>131816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16">
        <f t="shared" si="4"/>
        <v>0</v>
      </c>
      <c r="R125" s="343"/>
    </row>
    <row r="126" spans="1:18" ht="15" customHeight="1" hidden="1">
      <c r="A126" s="13"/>
      <c r="B126" s="13"/>
      <c r="C126" s="163"/>
      <c r="D126" s="24" t="s">
        <v>217</v>
      </c>
      <c r="E126" s="25">
        <v>1</v>
      </c>
      <c r="F126" s="23">
        <v>131817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16">
        <f t="shared" si="4"/>
        <v>0</v>
      </c>
      <c r="R126" s="343"/>
    </row>
    <row r="127" spans="1:18" ht="15" customHeight="1" hidden="1">
      <c r="A127" s="13"/>
      <c r="B127" s="13"/>
      <c r="C127" s="163"/>
      <c r="D127" s="24" t="s">
        <v>218</v>
      </c>
      <c r="E127" s="25">
        <v>1</v>
      </c>
      <c r="F127" s="23">
        <v>131818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6">
        <f t="shared" si="4"/>
        <v>0</v>
      </c>
      <c r="R127" s="343"/>
    </row>
    <row r="128" spans="1:18" ht="15" customHeight="1" hidden="1">
      <c r="A128" s="13"/>
      <c r="B128" s="13"/>
      <c r="C128" s="163"/>
      <c r="D128" s="24" t="s">
        <v>219</v>
      </c>
      <c r="E128" s="25">
        <v>1</v>
      </c>
      <c r="F128" s="23">
        <v>131819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16">
        <f t="shared" si="4"/>
        <v>0</v>
      </c>
      <c r="R128" s="343"/>
    </row>
    <row r="129" spans="1:18" ht="15" customHeight="1" hidden="1">
      <c r="A129" s="13"/>
      <c r="B129" s="13"/>
      <c r="C129" s="163"/>
      <c r="D129" s="24" t="s">
        <v>220</v>
      </c>
      <c r="E129" s="25">
        <v>1</v>
      </c>
      <c r="F129" s="23">
        <v>131832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16">
        <f t="shared" si="4"/>
        <v>0</v>
      </c>
      <c r="R129" s="343"/>
    </row>
    <row r="130" spans="1:18" ht="15" customHeight="1" hidden="1">
      <c r="A130" s="13"/>
      <c r="B130" s="13"/>
      <c r="C130" s="163"/>
      <c r="D130" s="24" t="s">
        <v>221</v>
      </c>
      <c r="E130" s="25">
        <v>1</v>
      </c>
      <c r="F130" s="23">
        <v>131820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16">
        <f t="shared" si="4"/>
        <v>0</v>
      </c>
      <c r="R130" s="343"/>
    </row>
    <row r="131" spans="1:18" ht="15" customHeight="1" hidden="1">
      <c r="A131" s="13"/>
      <c r="B131" s="13"/>
      <c r="C131" s="163"/>
      <c r="D131" s="24" t="s">
        <v>222</v>
      </c>
      <c r="E131" s="25"/>
      <c r="F131" s="23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16"/>
      <c r="R131" s="343"/>
    </row>
    <row r="132" spans="1:18" ht="15" customHeight="1" hidden="1">
      <c r="A132" s="13"/>
      <c r="B132" s="13"/>
      <c r="C132" s="163"/>
      <c r="D132" s="24" t="s">
        <v>223</v>
      </c>
      <c r="E132" s="291">
        <v>2</v>
      </c>
      <c r="F132" s="23">
        <v>131821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16">
        <f aca="true" t="shared" si="5" ref="Q132:Q146">SUM(G132:P132)</f>
        <v>0</v>
      </c>
      <c r="R132" s="343"/>
    </row>
    <row r="133" spans="1:18" ht="15" customHeight="1" hidden="1">
      <c r="A133" s="13"/>
      <c r="B133" s="13"/>
      <c r="C133" s="163"/>
      <c r="D133" s="24" t="s">
        <v>224</v>
      </c>
      <c r="E133" s="291">
        <v>2</v>
      </c>
      <c r="F133" s="23">
        <v>131822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16">
        <f t="shared" si="5"/>
        <v>0</v>
      </c>
      <c r="R133" s="343"/>
    </row>
    <row r="134" spans="1:18" ht="15" customHeight="1" hidden="1">
      <c r="A134" s="13"/>
      <c r="B134" s="13"/>
      <c r="C134" s="163"/>
      <c r="D134" s="316" t="s">
        <v>225</v>
      </c>
      <c r="E134" s="317">
        <v>2</v>
      </c>
      <c r="F134" s="599">
        <v>131823</v>
      </c>
      <c r="G134" s="25"/>
      <c r="H134" s="25"/>
      <c r="I134" s="25"/>
      <c r="J134" s="25"/>
      <c r="K134" s="15"/>
      <c r="L134" s="25"/>
      <c r="M134" s="25"/>
      <c r="N134" s="25"/>
      <c r="O134" s="25"/>
      <c r="P134" s="25"/>
      <c r="Q134" s="16">
        <f t="shared" si="5"/>
        <v>0</v>
      </c>
      <c r="R134" s="343"/>
    </row>
    <row r="135" spans="1:18" ht="15" customHeight="1" hidden="1">
      <c r="A135" s="13"/>
      <c r="B135" s="13"/>
      <c r="C135" s="163"/>
      <c r="D135" s="316" t="s">
        <v>226</v>
      </c>
      <c r="E135" s="318">
        <v>2</v>
      </c>
      <c r="F135" s="599">
        <v>131824</v>
      </c>
      <c r="G135" s="25"/>
      <c r="H135" s="25"/>
      <c r="I135" s="25"/>
      <c r="J135" s="25"/>
      <c r="K135" s="15"/>
      <c r="L135" s="25"/>
      <c r="M135" s="25"/>
      <c r="N135" s="25"/>
      <c r="O135" s="25"/>
      <c r="P135" s="25"/>
      <c r="Q135" s="16">
        <f t="shared" si="5"/>
        <v>0</v>
      </c>
      <c r="R135" s="343"/>
    </row>
    <row r="136" spans="1:18" ht="15" customHeight="1" hidden="1">
      <c r="A136" s="13"/>
      <c r="B136" s="13"/>
      <c r="C136" s="163"/>
      <c r="D136" s="316" t="s">
        <v>227</v>
      </c>
      <c r="E136" s="318">
        <v>2</v>
      </c>
      <c r="F136" s="599">
        <v>131833</v>
      </c>
      <c r="G136" s="25"/>
      <c r="H136" s="25"/>
      <c r="I136" s="25"/>
      <c r="J136" s="25"/>
      <c r="K136" s="15"/>
      <c r="L136" s="25"/>
      <c r="M136" s="25"/>
      <c r="N136" s="25"/>
      <c r="O136" s="25"/>
      <c r="P136" s="25"/>
      <c r="Q136" s="16">
        <f t="shared" si="5"/>
        <v>0</v>
      </c>
      <c r="R136" s="343"/>
    </row>
    <row r="137" spans="1:18" ht="15" customHeight="1" hidden="1">
      <c r="A137" s="13"/>
      <c r="B137" s="13"/>
      <c r="C137" s="163"/>
      <c r="D137" s="316" t="s">
        <v>228</v>
      </c>
      <c r="E137" s="318">
        <v>2</v>
      </c>
      <c r="F137" s="599">
        <v>131834</v>
      </c>
      <c r="G137" s="25"/>
      <c r="H137" s="25"/>
      <c r="I137" s="25"/>
      <c r="J137" s="25"/>
      <c r="K137" s="15"/>
      <c r="L137" s="25"/>
      <c r="M137" s="25"/>
      <c r="N137" s="25"/>
      <c r="O137" s="25"/>
      <c r="P137" s="25"/>
      <c r="Q137" s="16">
        <f t="shared" si="5"/>
        <v>0</v>
      </c>
      <c r="R137" s="343"/>
    </row>
    <row r="138" spans="1:18" ht="15" customHeight="1" hidden="1">
      <c r="A138" s="13"/>
      <c r="B138" s="13"/>
      <c r="C138" s="163"/>
      <c r="D138" s="316" t="s">
        <v>229</v>
      </c>
      <c r="E138" s="318">
        <v>2</v>
      </c>
      <c r="F138" s="599">
        <v>131836</v>
      </c>
      <c r="G138" s="25"/>
      <c r="H138" s="25"/>
      <c r="I138" s="25"/>
      <c r="J138" s="25"/>
      <c r="K138" s="15"/>
      <c r="L138" s="25"/>
      <c r="M138" s="25"/>
      <c r="N138" s="25"/>
      <c r="O138" s="25"/>
      <c r="P138" s="25"/>
      <c r="Q138" s="16">
        <f t="shared" si="5"/>
        <v>0</v>
      </c>
      <c r="R138" s="343"/>
    </row>
    <row r="139" spans="1:18" ht="15" customHeight="1" hidden="1">
      <c r="A139" s="13"/>
      <c r="B139" s="13"/>
      <c r="C139" s="163"/>
      <c r="D139" s="316" t="s">
        <v>230</v>
      </c>
      <c r="E139" s="318">
        <v>2</v>
      </c>
      <c r="F139" s="599">
        <v>131837</v>
      </c>
      <c r="G139" s="25"/>
      <c r="H139" s="25"/>
      <c r="I139" s="25"/>
      <c r="J139" s="25"/>
      <c r="K139" s="15"/>
      <c r="L139" s="25"/>
      <c r="M139" s="25"/>
      <c r="N139" s="25"/>
      <c r="O139" s="25"/>
      <c r="P139" s="25"/>
      <c r="Q139" s="16">
        <f t="shared" si="5"/>
        <v>0</v>
      </c>
      <c r="R139" s="343"/>
    </row>
    <row r="140" spans="1:18" ht="15" customHeight="1" hidden="1">
      <c r="A140" s="13"/>
      <c r="B140" s="13"/>
      <c r="C140" s="163"/>
      <c r="D140" s="316" t="s">
        <v>231</v>
      </c>
      <c r="E140" s="318">
        <v>2</v>
      </c>
      <c r="F140" s="599">
        <v>131838</v>
      </c>
      <c r="G140" s="25"/>
      <c r="H140" s="25"/>
      <c r="I140" s="25"/>
      <c r="J140" s="25"/>
      <c r="K140" s="15"/>
      <c r="L140" s="25"/>
      <c r="M140" s="25"/>
      <c r="N140" s="25"/>
      <c r="O140" s="25"/>
      <c r="P140" s="25"/>
      <c r="Q140" s="16">
        <f t="shared" si="5"/>
        <v>0</v>
      </c>
      <c r="R140" s="343"/>
    </row>
    <row r="141" spans="1:18" ht="15" customHeight="1" hidden="1">
      <c r="A141" s="13"/>
      <c r="B141" s="13"/>
      <c r="C141" s="163"/>
      <c r="D141" s="316" t="s">
        <v>232</v>
      </c>
      <c r="E141" s="318">
        <v>2</v>
      </c>
      <c r="F141" s="599">
        <v>131839</v>
      </c>
      <c r="G141" s="25"/>
      <c r="H141" s="25"/>
      <c r="I141" s="25"/>
      <c r="J141" s="25"/>
      <c r="K141" s="15"/>
      <c r="L141" s="25"/>
      <c r="M141" s="25"/>
      <c r="N141" s="25"/>
      <c r="O141" s="25"/>
      <c r="P141" s="25"/>
      <c r="Q141" s="16">
        <f t="shared" si="5"/>
        <v>0</v>
      </c>
      <c r="R141" s="343"/>
    </row>
    <row r="142" spans="1:18" ht="15" customHeight="1" hidden="1">
      <c r="A142" s="13"/>
      <c r="B142" s="13"/>
      <c r="C142" s="163"/>
      <c r="D142" s="316" t="s">
        <v>233</v>
      </c>
      <c r="E142" s="318">
        <v>2</v>
      </c>
      <c r="F142" s="599">
        <v>131840</v>
      </c>
      <c r="G142" s="25"/>
      <c r="H142" s="25"/>
      <c r="I142" s="25"/>
      <c r="J142" s="25"/>
      <c r="K142" s="15"/>
      <c r="L142" s="25"/>
      <c r="M142" s="25"/>
      <c r="N142" s="25"/>
      <c r="O142" s="25"/>
      <c r="P142" s="25"/>
      <c r="Q142" s="16">
        <f t="shared" si="5"/>
        <v>0</v>
      </c>
      <c r="R142" s="343"/>
    </row>
    <row r="143" spans="1:18" ht="15" customHeight="1" hidden="1">
      <c r="A143" s="13"/>
      <c r="B143" s="13"/>
      <c r="C143" s="163"/>
      <c r="D143" s="316" t="s">
        <v>234</v>
      </c>
      <c r="E143" s="318">
        <v>2</v>
      </c>
      <c r="F143" s="599">
        <v>131841</v>
      </c>
      <c r="G143" s="25"/>
      <c r="H143" s="25"/>
      <c r="I143" s="25"/>
      <c r="J143" s="25"/>
      <c r="K143" s="15"/>
      <c r="L143" s="25"/>
      <c r="M143" s="25"/>
      <c r="N143" s="25"/>
      <c r="O143" s="25"/>
      <c r="P143" s="25"/>
      <c r="Q143" s="16">
        <f t="shared" si="5"/>
        <v>0</v>
      </c>
      <c r="R143" s="343"/>
    </row>
    <row r="144" spans="1:18" ht="15" customHeight="1" hidden="1">
      <c r="A144" s="13"/>
      <c r="B144" s="13"/>
      <c r="C144" s="163"/>
      <c r="D144" s="316" t="s">
        <v>235</v>
      </c>
      <c r="E144" s="318">
        <v>2</v>
      </c>
      <c r="F144" s="599">
        <v>131842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6">
        <f t="shared" si="5"/>
        <v>0</v>
      </c>
      <c r="R144" s="343"/>
    </row>
    <row r="145" spans="1:18" ht="15" customHeight="1" hidden="1">
      <c r="A145" s="13"/>
      <c r="B145" s="13"/>
      <c r="C145" s="163"/>
      <c r="D145" s="316" t="s">
        <v>236</v>
      </c>
      <c r="E145" s="318">
        <v>2</v>
      </c>
      <c r="F145" s="599">
        <v>131843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6">
        <f t="shared" si="5"/>
        <v>0</v>
      </c>
      <c r="R145" s="343"/>
    </row>
    <row r="146" spans="1:18" ht="15" customHeight="1" hidden="1">
      <c r="A146" s="13"/>
      <c r="B146" s="13"/>
      <c r="C146" s="163"/>
      <c r="D146" s="24" t="s">
        <v>237</v>
      </c>
      <c r="E146" s="318">
        <v>2</v>
      </c>
      <c r="F146" s="599">
        <v>131844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t="shared" si="5"/>
        <v>0</v>
      </c>
      <c r="R146" s="343"/>
    </row>
    <row r="147" spans="1:18" ht="15" customHeight="1" hidden="1">
      <c r="A147" s="13"/>
      <c r="B147" s="13"/>
      <c r="C147" s="163"/>
      <c r="D147" s="24" t="s">
        <v>100</v>
      </c>
      <c r="E147" s="291"/>
      <c r="F147" s="23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/>
      <c r="R147" s="343"/>
    </row>
    <row r="148" spans="1:18" ht="15" customHeight="1" hidden="1">
      <c r="A148" s="13"/>
      <c r="B148" s="13"/>
      <c r="C148" s="163"/>
      <c r="D148" s="24" t="s">
        <v>238</v>
      </c>
      <c r="E148" s="291">
        <v>1</v>
      </c>
      <c r="F148" s="23">
        <v>131827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6">
        <f>SUM(G148:P148)</f>
        <v>0</v>
      </c>
      <c r="R148" s="343"/>
    </row>
    <row r="149" spans="1:18" ht="12" hidden="1">
      <c r="A149" s="17"/>
      <c r="B149" s="17"/>
      <c r="C149" s="300"/>
      <c r="D149" s="18" t="s">
        <v>445</v>
      </c>
      <c r="E149" s="19"/>
      <c r="F149" s="591"/>
      <c r="G149" s="19">
        <f aca="true" t="shared" si="6" ref="G149:N149">SUM(G45:G148)</f>
        <v>0</v>
      </c>
      <c r="H149" s="19">
        <f t="shared" si="6"/>
        <v>0</v>
      </c>
      <c r="I149" s="19">
        <f t="shared" si="6"/>
        <v>0</v>
      </c>
      <c r="J149" s="19">
        <f t="shared" si="6"/>
        <v>0</v>
      </c>
      <c r="K149" s="19">
        <f t="shared" si="6"/>
        <v>0</v>
      </c>
      <c r="L149" s="19">
        <f t="shared" si="6"/>
        <v>0</v>
      </c>
      <c r="M149" s="19">
        <f t="shared" si="6"/>
        <v>0</v>
      </c>
      <c r="N149" s="19">
        <f t="shared" si="6"/>
        <v>0</v>
      </c>
      <c r="O149" s="19"/>
      <c r="P149" s="19">
        <f>SUM(P45:P148)</f>
        <v>0</v>
      </c>
      <c r="Q149" s="18">
        <f>SUM(Q45:Q148)</f>
        <v>0</v>
      </c>
      <c r="R149" s="532"/>
    </row>
    <row r="150" spans="1:18" ht="12">
      <c r="A150" s="145"/>
      <c r="B150" s="145"/>
      <c r="C150" s="319"/>
      <c r="D150" s="311" t="s">
        <v>159</v>
      </c>
      <c r="E150" s="15"/>
      <c r="F150" s="592"/>
      <c r="G150" s="20"/>
      <c r="H150" s="20"/>
      <c r="I150" s="20"/>
      <c r="J150" s="15"/>
      <c r="K150" s="15"/>
      <c r="L150" s="20"/>
      <c r="M150" s="20"/>
      <c r="N150" s="15"/>
      <c r="O150" s="15"/>
      <c r="P150" s="20"/>
      <c r="Q150" s="16"/>
      <c r="R150" s="343"/>
    </row>
    <row r="151" spans="1:18" ht="12">
      <c r="A151" s="145"/>
      <c r="B151" s="145"/>
      <c r="C151" s="320" t="s">
        <v>548</v>
      </c>
      <c r="D151" s="152" t="s">
        <v>478</v>
      </c>
      <c r="E151" s="15"/>
      <c r="F151" s="592"/>
      <c r="G151" s="20"/>
      <c r="H151" s="20"/>
      <c r="I151" s="20"/>
      <c r="J151" s="15"/>
      <c r="K151" s="15"/>
      <c r="L151" s="20"/>
      <c r="M151" s="20"/>
      <c r="N151" s="15"/>
      <c r="O151" s="15"/>
      <c r="P151" s="20"/>
      <c r="Q151" s="16"/>
      <c r="R151" s="343"/>
    </row>
    <row r="152" spans="1:18" ht="12.75" customHeight="1" hidden="1">
      <c r="A152" s="145"/>
      <c r="B152" s="145"/>
      <c r="C152" s="319" t="s">
        <v>239</v>
      </c>
      <c r="D152" s="321" t="s">
        <v>240</v>
      </c>
      <c r="E152" s="15"/>
      <c r="F152" s="592"/>
      <c r="G152" s="20"/>
      <c r="H152" s="20"/>
      <c r="I152" s="20"/>
      <c r="J152" s="15"/>
      <c r="K152" s="15"/>
      <c r="L152" s="15"/>
      <c r="M152" s="15"/>
      <c r="N152" s="15"/>
      <c r="O152" s="20"/>
      <c r="P152" s="20"/>
      <c r="Q152" s="16"/>
      <c r="R152" s="343"/>
    </row>
    <row r="153" spans="1:18" ht="12" hidden="1">
      <c r="A153" s="145"/>
      <c r="B153" s="145"/>
      <c r="C153" s="163" t="s">
        <v>241</v>
      </c>
      <c r="D153" s="322" t="s">
        <v>1101</v>
      </c>
      <c r="E153" s="15"/>
      <c r="F153" s="592">
        <v>134903</v>
      </c>
      <c r="G153" s="20"/>
      <c r="H153" s="20"/>
      <c r="I153" s="20"/>
      <c r="J153" s="15"/>
      <c r="K153" s="15"/>
      <c r="L153" s="15"/>
      <c r="M153" s="15"/>
      <c r="N153" s="15"/>
      <c r="O153" s="20"/>
      <c r="P153" s="20"/>
      <c r="Q153" s="16">
        <f aca="true" t="shared" si="7" ref="Q153:Q158">SUM(G153:P153)</f>
        <v>0</v>
      </c>
      <c r="R153" s="343"/>
    </row>
    <row r="154" spans="1:18" ht="12" hidden="1">
      <c r="A154" s="145"/>
      <c r="B154" s="145"/>
      <c r="C154" s="163" t="s">
        <v>242</v>
      </c>
      <c r="D154" s="104" t="s">
        <v>243</v>
      </c>
      <c r="E154" s="15"/>
      <c r="F154" s="592">
        <v>134906</v>
      </c>
      <c r="G154" s="20"/>
      <c r="H154" s="20"/>
      <c r="I154" s="20"/>
      <c r="J154" s="15"/>
      <c r="K154" s="15"/>
      <c r="L154" s="15"/>
      <c r="M154" s="15"/>
      <c r="N154" s="15"/>
      <c r="O154" s="20"/>
      <c r="P154" s="20"/>
      <c r="Q154" s="16">
        <f t="shared" si="7"/>
        <v>0</v>
      </c>
      <c r="R154" s="343"/>
    </row>
    <row r="155" spans="1:18" ht="12" hidden="1">
      <c r="A155" s="145"/>
      <c r="B155" s="145"/>
      <c r="C155" s="163" t="s">
        <v>244</v>
      </c>
      <c r="D155" s="104" t="s">
        <v>245</v>
      </c>
      <c r="E155" s="15"/>
      <c r="F155" s="592">
        <v>134956</v>
      </c>
      <c r="G155" s="20"/>
      <c r="H155" s="20"/>
      <c r="I155" s="20"/>
      <c r="J155" s="15"/>
      <c r="K155" s="15"/>
      <c r="L155" s="15"/>
      <c r="M155" s="15"/>
      <c r="N155" s="15"/>
      <c r="O155" s="20"/>
      <c r="P155" s="20"/>
      <c r="Q155" s="16">
        <f t="shared" si="7"/>
        <v>0</v>
      </c>
      <c r="R155" s="343"/>
    </row>
    <row r="156" spans="1:18" ht="24" hidden="1">
      <c r="A156" s="145"/>
      <c r="B156" s="145"/>
      <c r="C156" s="163" t="s">
        <v>247</v>
      </c>
      <c r="D156" s="104" t="s">
        <v>246</v>
      </c>
      <c r="E156" s="15"/>
      <c r="F156" s="592">
        <v>134957</v>
      </c>
      <c r="G156" s="20"/>
      <c r="H156" s="20"/>
      <c r="I156" s="20"/>
      <c r="J156" s="15"/>
      <c r="K156" s="15"/>
      <c r="L156" s="15"/>
      <c r="M156" s="15"/>
      <c r="N156" s="15"/>
      <c r="O156" s="20"/>
      <c r="P156" s="20"/>
      <c r="Q156" s="16">
        <f t="shared" si="7"/>
        <v>0</v>
      </c>
      <c r="R156" s="343"/>
    </row>
    <row r="157" spans="1:18" ht="12.75" hidden="1">
      <c r="A157" s="145"/>
      <c r="B157" s="145"/>
      <c r="C157" s="163" t="s">
        <v>249</v>
      </c>
      <c r="D157" s="323" t="s">
        <v>248</v>
      </c>
      <c r="E157" s="15"/>
      <c r="F157" s="592">
        <v>134958</v>
      </c>
      <c r="G157" s="20"/>
      <c r="H157" s="20"/>
      <c r="I157" s="20"/>
      <c r="J157" s="15"/>
      <c r="K157" s="15"/>
      <c r="L157" s="15"/>
      <c r="M157" s="15"/>
      <c r="N157" s="15"/>
      <c r="O157" s="20"/>
      <c r="P157" s="20"/>
      <c r="Q157" s="16">
        <f t="shared" si="7"/>
        <v>0</v>
      </c>
      <c r="R157" s="343"/>
    </row>
    <row r="158" spans="1:18" ht="12.75" hidden="1">
      <c r="A158" s="145"/>
      <c r="B158" s="145"/>
      <c r="C158" s="163" t="s">
        <v>670</v>
      </c>
      <c r="D158" s="323" t="s">
        <v>250</v>
      </c>
      <c r="E158" s="15"/>
      <c r="F158" s="592">
        <v>134959</v>
      </c>
      <c r="G158" s="20"/>
      <c r="H158" s="20"/>
      <c r="I158" s="20"/>
      <c r="J158" s="15"/>
      <c r="K158" s="15"/>
      <c r="L158" s="15"/>
      <c r="M158" s="15"/>
      <c r="N158" s="15"/>
      <c r="O158" s="20"/>
      <c r="P158" s="20"/>
      <c r="Q158" s="16">
        <f t="shared" si="7"/>
        <v>0</v>
      </c>
      <c r="R158" s="343"/>
    </row>
    <row r="159" spans="1:18" ht="12" hidden="1">
      <c r="A159" s="145"/>
      <c r="B159" s="145"/>
      <c r="C159" s="319" t="s">
        <v>677</v>
      </c>
      <c r="D159" s="324" t="s">
        <v>678</v>
      </c>
      <c r="E159" s="15"/>
      <c r="F159" s="592"/>
      <c r="G159" s="20"/>
      <c r="H159" s="20"/>
      <c r="I159" s="20"/>
      <c r="J159" s="15"/>
      <c r="K159" s="15"/>
      <c r="L159" s="20"/>
      <c r="M159" s="20"/>
      <c r="N159" s="15"/>
      <c r="O159" s="15"/>
      <c r="P159" s="20"/>
      <c r="Q159" s="16"/>
      <c r="R159" s="343"/>
    </row>
    <row r="160" spans="1:18" ht="24" hidden="1">
      <c r="A160" s="145"/>
      <c r="B160" s="145"/>
      <c r="C160" s="163" t="s">
        <v>251</v>
      </c>
      <c r="D160" s="104" t="s">
        <v>252</v>
      </c>
      <c r="E160" s="15"/>
      <c r="F160" s="592">
        <v>132913</v>
      </c>
      <c r="G160" s="20"/>
      <c r="H160" s="20"/>
      <c r="I160" s="20"/>
      <c r="J160" s="15"/>
      <c r="K160" s="15"/>
      <c r="L160" s="15"/>
      <c r="M160" s="20"/>
      <c r="N160" s="15"/>
      <c r="O160" s="15"/>
      <c r="P160" s="20"/>
      <c r="Q160" s="16">
        <f aca="true" t="shared" si="8" ref="Q160:Q167">SUM(G160:P160)</f>
        <v>0</v>
      </c>
      <c r="R160" s="343"/>
    </row>
    <row r="161" spans="1:18" ht="12" hidden="1">
      <c r="A161" s="145"/>
      <c r="B161" s="145"/>
      <c r="C161" s="163" t="s">
        <v>253</v>
      </c>
      <c r="D161" s="104" t="s">
        <v>254</v>
      </c>
      <c r="E161" s="15"/>
      <c r="F161" s="592">
        <v>132912</v>
      </c>
      <c r="G161" s="20"/>
      <c r="H161" s="20"/>
      <c r="I161" s="20"/>
      <c r="J161" s="15"/>
      <c r="K161" s="15"/>
      <c r="L161" s="15"/>
      <c r="M161" s="20"/>
      <c r="N161" s="15"/>
      <c r="O161" s="15"/>
      <c r="P161" s="20"/>
      <c r="Q161" s="16">
        <f t="shared" si="8"/>
        <v>0</v>
      </c>
      <c r="R161" s="343"/>
    </row>
    <row r="162" spans="1:18" ht="12.75" hidden="1">
      <c r="A162" s="145"/>
      <c r="B162" s="145"/>
      <c r="C162" s="163" t="s">
        <v>255</v>
      </c>
      <c r="D162" s="91" t="s">
        <v>256</v>
      </c>
      <c r="E162" s="15"/>
      <c r="F162" s="592">
        <v>134911</v>
      </c>
      <c r="G162" s="20"/>
      <c r="H162" s="20"/>
      <c r="I162" s="20"/>
      <c r="J162" s="15"/>
      <c r="K162" s="15"/>
      <c r="L162" s="15"/>
      <c r="M162" s="15"/>
      <c r="N162" s="15"/>
      <c r="O162" s="20"/>
      <c r="P162" s="20"/>
      <c r="Q162" s="16">
        <f t="shared" si="8"/>
        <v>0</v>
      </c>
      <c r="R162" s="343"/>
    </row>
    <row r="163" spans="1:18" ht="12.75" hidden="1">
      <c r="A163" s="145"/>
      <c r="B163" s="145"/>
      <c r="C163" s="163" t="s">
        <v>257</v>
      </c>
      <c r="D163" s="323" t="s">
        <v>258</v>
      </c>
      <c r="E163" s="15"/>
      <c r="F163" s="592">
        <v>134960</v>
      </c>
      <c r="G163" s="20"/>
      <c r="H163" s="20"/>
      <c r="I163" s="20"/>
      <c r="J163" s="15"/>
      <c r="K163" s="15"/>
      <c r="L163" s="15"/>
      <c r="M163" s="15"/>
      <c r="N163" s="15"/>
      <c r="O163" s="20"/>
      <c r="P163" s="20"/>
      <c r="Q163" s="16">
        <f t="shared" si="8"/>
        <v>0</v>
      </c>
      <c r="R163" s="343"/>
    </row>
    <row r="164" spans="1:18" ht="25.5" hidden="1">
      <c r="A164" s="145"/>
      <c r="B164" s="145"/>
      <c r="C164" s="163" t="s">
        <v>259</v>
      </c>
      <c r="D164" s="323" t="s">
        <v>260</v>
      </c>
      <c r="E164" s="15"/>
      <c r="F164" s="592">
        <v>134946</v>
      </c>
      <c r="G164" s="20"/>
      <c r="H164" s="20"/>
      <c r="I164" s="20"/>
      <c r="J164" s="15"/>
      <c r="K164" s="15"/>
      <c r="L164" s="15"/>
      <c r="M164" s="15"/>
      <c r="N164" s="15"/>
      <c r="O164" s="20"/>
      <c r="P164" s="20"/>
      <c r="Q164" s="16">
        <f t="shared" si="8"/>
        <v>0</v>
      </c>
      <c r="R164" s="343"/>
    </row>
    <row r="165" spans="1:18" ht="12.75" hidden="1">
      <c r="A165" s="145"/>
      <c r="B165" s="145"/>
      <c r="C165" s="163" t="s">
        <v>261</v>
      </c>
      <c r="D165" s="323" t="s">
        <v>262</v>
      </c>
      <c r="E165" s="15"/>
      <c r="F165" s="592">
        <v>134914</v>
      </c>
      <c r="G165" s="20"/>
      <c r="H165" s="20"/>
      <c r="I165" s="20"/>
      <c r="J165" s="15"/>
      <c r="K165" s="15"/>
      <c r="L165" s="15"/>
      <c r="M165" s="15"/>
      <c r="N165" s="15"/>
      <c r="O165" s="20"/>
      <c r="P165" s="20"/>
      <c r="Q165" s="16">
        <f t="shared" si="8"/>
        <v>0</v>
      </c>
      <c r="R165" s="343"/>
    </row>
    <row r="166" spans="1:18" ht="12.75" hidden="1">
      <c r="A166" s="145"/>
      <c r="B166" s="145"/>
      <c r="C166" s="163" t="s">
        <v>263</v>
      </c>
      <c r="D166" s="323" t="s">
        <v>264</v>
      </c>
      <c r="E166" s="15"/>
      <c r="F166" s="592">
        <v>134915</v>
      </c>
      <c r="G166" s="20"/>
      <c r="H166" s="20"/>
      <c r="I166" s="20"/>
      <c r="J166" s="15"/>
      <c r="K166" s="15"/>
      <c r="L166" s="15"/>
      <c r="M166" s="15"/>
      <c r="N166" s="15"/>
      <c r="O166" s="20"/>
      <c r="P166" s="20"/>
      <c r="Q166" s="16">
        <f t="shared" si="8"/>
        <v>0</v>
      </c>
      <c r="R166" s="343"/>
    </row>
    <row r="167" spans="1:18" ht="12.75" hidden="1">
      <c r="A167" s="145"/>
      <c r="B167" s="145"/>
      <c r="C167" s="163" t="s">
        <v>265</v>
      </c>
      <c r="D167" s="323" t="s">
        <v>266</v>
      </c>
      <c r="E167" s="15"/>
      <c r="F167" s="592">
        <v>134961</v>
      </c>
      <c r="G167" s="20"/>
      <c r="H167" s="20"/>
      <c r="I167" s="20"/>
      <c r="J167" s="15"/>
      <c r="K167" s="15"/>
      <c r="L167" s="15"/>
      <c r="M167" s="15"/>
      <c r="N167" s="15"/>
      <c r="O167" s="20"/>
      <c r="P167" s="20"/>
      <c r="Q167" s="16">
        <f t="shared" si="8"/>
        <v>0</v>
      </c>
      <c r="R167" s="343"/>
    </row>
    <row r="168" spans="1:18" ht="13.5" hidden="1">
      <c r="A168" s="145"/>
      <c r="B168" s="145"/>
      <c r="C168" s="319" t="s">
        <v>267</v>
      </c>
      <c r="D168" s="325" t="s">
        <v>976</v>
      </c>
      <c r="E168" s="15"/>
      <c r="F168" s="592"/>
      <c r="G168" s="20"/>
      <c r="H168" s="20"/>
      <c r="I168" s="20"/>
      <c r="J168" s="15"/>
      <c r="K168" s="15"/>
      <c r="L168" s="15"/>
      <c r="M168" s="20"/>
      <c r="N168" s="15"/>
      <c r="O168" s="20"/>
      <c r="P168" s="20"/>
      <c r="Q168" s="16"/>
      <c r="R168" s="343"/>
    </row>
    <row r="169" spans="1:18" ht="12.75" hidden="1">
      <c r="A169" s="145"/>
      <c r="B169" s="145"/>
      <c r="C169" s="163" t="s">
        <v>268</v>
      </c>
      <c r="D169" s="323" t="s">
        <v>269</v>
      </c>
      <c r="E169" s="15"/>
      <c r="F169" s="592">
        <v>134962</v>
      </c>
      <c r="G169" s="20"/>
      <c r="H169" s="20"/>
      <c r="I169" s="20"/>
      <c r="J169" s="15"/>
      <c r="K169" s="15"/>
      <c r="L169" s="15"/>
      <c r="M169" s="15"/>
      <c r="N169" s="15"/>
      <c r="O169" s="20"/>
      <c r="P169" s="20"/>
      <c r="Q169" s="16">
        <f>SUM(G169:P169)</f>
        <v>0</v>
      </c>
      <c r="R169" s="343"/>
    </row>
    <row r="170" spans="1:18" ht="12.75" hidden="1">
      <c r="A170" s="145"/>
      <c r="B170" s="145"/>
      <c r="C170" s="163" t="s">
        <v>270</v>
      </c>
      <c r="D170" s="326" t="s">
        <v>271</v>
      </c>
      <c r="E170" s="15"/>
      <c r="F170" s="592">
        <v>134963</v>
      </c>
      <c r="G170" s="20"/>
      <c r="H170" s="20"/>
      <c r="I170" s="20"/>
      <c r="J170" s="15"/>
      <c r="K170" s="15"/>
      <c r="L170" s="15"/>
      <c r="M170" s="15"/>
      <c r="N170" s="15"/>
      <c r="O170" s="20"/>
      <c r="P170" s="20"/>
      <c r="Q170" s="16">
        <f>SUM(G170:P170)</f>
        <v>0</v>
      </c>
      <c r="R170" s="343"/>
    </row>
    <row r="171" spans="1:18" ht="12">
      <c r="A171" s="145"/>
      <c r="B171" s="145"/>
      <c r="C171" s="319" t="s">
        <v>595</v>
      </c>
      <c r="D171" s="21" t="s">
        <v>512</v>
      </c>
      <c r="E171" s="15"/>
      <c r="F171" s="592"/>
      <c r="G171" s="20"/>
      <c r="H171" s="20"/>
      <c r="I171" s="20"/>
      <c r="J171" s="15"/>
      <c r="K171" s="15"/>
      <c r="L171" s="20"/>
      <c r="M171" s="20"/>
      <c r="N171" s="15"/>
      <c r="O171" s="15"/>
      <c r="P171" s="20"/>
      <c r="Q171" s="16"/>
      <c r="R171" s="343"/>
    </row>
    <row r="172" spans="1:18" ht="24">
      <c r="A172" s="145"/>
      <c r="B172" s="145"/>
      <c r="C172" s="163" t="s">
        <v>596</v>
      </c>
      <c r="D172" s="141" t="s">
        <v>579</v>
      </c>
      <c r="E172" s="15"/>
      <c r="F172" s="592">
        <v>132909</v>
      </c>
      <c r="G172" s="20"/>
      <c r="H172" s="20"/>
      <c r="I172" s="20"/>
      <c r="J172" s="15"/>
      <c r="K172" s="15"/>
      <c r="L172" s="15">
        <v>-4000</v>
      </c>
      <c r="M172" s="20"/>
      <c r="N172" s="15">
        <v>9000</v>
      </c>
      <c r="O172" s="15"/>
      <c r="P172" s="20"/>
      <c r="Q172" s="16">
        <f>SUM(G172:P172)</f>
        <v>5000</v>
      </c>
      <c r="R172" s="343" t="s">
        <v>733</v>
      </c>
    </row>
    <row r="173" spans="1:18" ht="12" hidden="1">
      <c r="A173" s="145"/>
      <c r="B173" s="145"/>
      <c r="C173" s="163" t="s">
        <v>473</v>
      </c>
      <c r="D173" s="16" t="s">
        <v>272</v>
      </c>
      <c r="E173" s="14"/>
      <c r="F173" s="592">
        <v>132910</v>
      </c>
      <c r="G173" s="20"/>
      <c r="H173" s="20"/>
      <c r="I173" s="20"/>
      <c r="J173" s="15"/>
      <c r="K173" s="15"/>
      <c r="L173" s="15"/>
      <c r="M173" s="20"/>
      <c r="N173" s="15"/>
      <c r="O173" s="15"/>
      <c r="P173" s="20"/>
      <c r="Q173" s="16">
        <f>SUM(G173:P173)</f>
        <v>0</v>
      </c>
      <c r="R173" s="343"/>
    </row>
    <row r="174" spans="1:18" ht="12" hidden="1">
      <c r="A174" s="145"/>
      <c r="B174" s="145"/>
      <c r="C174" s="319" t="s">
        <v>597</v>
      </c>
      <c r="D174" s="21" t="s">
        <v>276</v>
      </c>
      <c r="E174" s="14"/>
      <c r="F174" s="592"/>
      <c r="G174" s="20"/>
      <c r="H174" s="20"/>
      <c r="I174" s="20"/>
      <c r="J174" s="15"/>
      <c r="K174" s="15"/>
      <c r="L174" s="15"/>
      <c r="M174" s="20"/>
      <c r="N174" s="15"/>
      <c r="O174" s="15"/>
      <c r="P174" s="20"/>
      <c r="Q174" s="16"/>
      <c r="R174" s="343"/>
    </row>
    <row r="175" spans="1:18" ht="12.75" hidden="1">
      <c r="A175" s="145"/>
      <c r="B175" s="145"/>
      <c r="C175" s="163" t="s">
        <v>277</v>
      </c>
      <c r="D175" s="323" t="s">
        <v>47</v>
      </c>
      <c r="E175" s="14"/>
      <c r="F175" s="592">
        <v>134921</v>
      </c>
      <c r="G175" s="20"/>
      <c r="H175" s="20"/>
      <c r="I175" s="20"/>
      <c r="J175" s="15"/>
      <c r="K175" s="15"/>
      <c r="L175" s="15"/>
      <c r="M175" s="15"/>
      <c r="N175" s="15"/>
      <c r="O175" s="20"/>
      <c r="P175" s="20"/>
      <c r="Q175" s="16">
        <f>SUM(G175:P175)</f>
        <v>0</v>
      </c>
      <c r="R175" s="343"/>
    </row>
    <row r="176" spans="1:18" ht="12.75" hidden="1">
      <c r="A176" s="145"/>
      <c r="B176" s="145"/>
      <c r="C176" s="163" t="s">
        <v>278</v>
      </c>
      <c r="D176" s="323" t="s">
        <v>279</v>
      </c>
      <c r="E176" s="14"/>
      <c r="F176" s="592">
        <v>134922</v>
      </c>
      <c r="G176" s="20"/>
      <c r="H176" s="20"/>
      <c r="I176" s="20"/>
      <c r="J176" s="15"/>
      <c r="K176" s="15"/>
      <c r="L176" s="15"/>
      <c r="M176" s="15"/>
      <c r="N176" s="15"/>
      <c r="O176" s="20"/>
      <c r="P176" s="20"/>
      <c r="Q176" s="16">
        <f>SUM(G176:P176)</f>
        <v>0</v>
      </c>
      <c r="R176" s="343"/>
    </row>
    <row r="177" spans="1:18" ht="12.75" hidden="1">
      <c r="A177" s="145"/>
      <c r="B177" s="145"/>
      <c r="C177" s="163" t="s">
        <v>508</v>
      </c>
      <c r="D177" s="327" t="s">
        <v>48</v>
      </c>
      <c r="E177" s="14"/>
      <c r="F177" s="592">
        <v>134926</v>
      </c>
      <c r="G177" s="20"/>
      <c r="H177" s="20"/>
      <c r="I177" s="20"/>
      <c r="J177" s="15"/>
      <c r="K177" s="15"/>
      <c r="L177" s="15"/>
      <c r="M177" s="15"/>
      <c r="N177" s="15"/>
      <c r="O177" s="20"/>
      <c r="P177" s="20"/>
      <c r="Q177" s="16">
        <f>SUM(G177:P177)</f>
        <v>0</v>
      </c>
      <c r="R177" s="343"/>
    </row>
    <row r="178" spans="1:18" ht="12.75" hidden="1">
      <c r="A178" s="145"/>
      <c r="B178" s="145"/>
      <c r="C178" s="163" t="s">
        <v>509</v>
      </c>
      <c r="D178" s="534" t="s">
        <v>510</v>
      </c>
      <c r="E178" s="14"/>
      <c r="F178" s="592">
        <v>134925</v>
      </c>
      <c r="G178" s="20"/>
      <c r="H178" s="20"/>
      <c r="I178" s="20"/>
      <c r="J178" s="15"/>
      <c r="K178" s="15"/>
      <c r="L178" s="15"/>
      <c r="M178" s="15"/>
      <c r="N178" s="15"/>
      <c r="O178" s="20"/>
      <c r="P178" s="20"/>
      <c r="Q178" s="16">
        <f>SUM(G178:P178)</f>
        <v>0</v>
      </c>
      <c r="R178" s="343"/>
    </row>
    <row r="179" spans="1:18" ht="12" hidden="1">
      <c r="A179" s="145"/>
      <c r="B179" s="145"/>
      <c r="C179" s="320" t="s">
        <v>598</v>
      </c>
      <c r="D179" s="21" t="s">
        <v>280</v>
      </c>
      <c r="E179" s="14"/>
      <c r="F179" s="592"/>
      <c r="G179" s="20"/>
      <c r="H179" s="20"/>
      <c r="I179" s="20"/>
      <c r="J179" s="15"/>
      <c r="K179" s="15"/>
      <c r="L179" s="15"/>
      <c r="M179" s="20"/>
      <c r="N179" s="15"/>
      <c r="O179" s="15"/>
      <c r="P179" s="20"/>
      <c r="Q179" s="16"/>
      <c r="R179" s="343"/>
    </row>
    <row r="180" spans="1:18" ht="51" hidden="1">
      <c r="A180" s="145"/>
      <c r="B180" s="145"/>
      <c r="C180" s="319" t="s">
        <v>604</v>
      </c>
      <c r="D180" s="323" t="s">
        <v>281</v>
      </c>
      <c r="E180" s="14"/>
      <c r="F180" s="592">
        <v>132940</v>
      </c>
      <c r="G180" s="20"/>
      <c r="H180" s="20"/>
      <c r="I180" s="20"/>
      <c r="J180" s="15"/>
      <c r="K180" s="15"/>
      <c r="L180" s="15"/>
      <c r="M180" s="20"/>
      <c r="N180" s="15"/>
      <c r="O180" s="15"/>
      <c r="P180" s="20"/>
      <c r="Q180" s="16">
        <f>SUM(G180:P180)</f>
        <v>0</v>
      </c>
      <c r="R180" s="343"/>
    </row>
    <row r="181" spans="1:18" ht="12.75" hidden="1">
      <c r="A181" s="145"/>
      <c r="B181" s="145"/>
      <c r="C181" s="319" t="s">
        <v>604</v>
      </c>
      <c r="D181" s="328" t="s">
        <v>285</v>
      </c>
      <c r="E181" s="14"/>
      <c r="F181" s="592">
        <v>134964</v>
      </c>
      <c r="G181" s="20"/>
      <c r="H181" s="20"/>
      <c r="I181" s="20"/>
      <c r="J181" s="15"/>
      <c r="K181" s="15"/>
      <c r="L181" s="15"/>
      <c r="M181" s="15"/>
      <c r="N181" s="15"/>
      <c r="O181" s="20"/>
      <c r="P181" s="20"/>
      <c r="Q181" s="16">
        <f>SUM(G181:P181)</f>
        <v>0</v>
      </c>
      <c r="R181" s="343"/>
    </row>
    <row r="182" spans="1:18" ht="12.75" hidden="1">
      <c r="A182" s="145"/>
      <c r="B182" s="145"/>
      <c r="C182" s="319" t="s">
        <v>599</v>
      </c>
      <c r="D182" s="328" t="s">
        <v>631</v>
      </c>
      <c r="E182" s="14"/>
      <c r="F182" s="592"/>
      <c r="G182" s="20"/>
      <c r="H182" s="20"/>
      <c r="I182" s="20"/>
      <c r="J182" s="15"/>
      <c r="K182" s="15"/>
      <c r="L182" s="15"/>
      <c r="M182" s="15"/>
      <c r="N182" s="15"/>
      <c r="O182" s="20"/>
      <c r="P182" s="20"/>
      <c r="Q182" s="16"/>
      <c r="R182" s="343"/>
    </row>
    <row r="183" spans="1:18" ht="30" customHeight="1" hidden="1">
      <c r="A183" s="145"/>
      <c r="B183" s="145"/>
      <c r="C183" s="319" t="s">
        <v>620</v>
      </c>
      <c r="D183" s="158" t="s">
        <v>443</v>
      </c>
      <c r="E183" s="25"/>
      <c r="F183" s="600">
        <v>132903</v>
      </c>
      <c r="G183" s="329"/>
      <c r="H183" s="329"/>
      <c r="I183" s="329"/>
      <c r="J183" s="329"/>
      <c r="K183" s="329"/>
      <c r="L183" s="330"/>
      <c r="M183" s="330"/>
      <c r="N183" s="330"/>
      <c r="O183" s="329"/>
      <c r="P183" s="329"/>
      <c r="Q183" s="101">
        <f>SUM(G183:P183)</f>
        <v>0</v>
      </c>
      <c r="R183" s="343"/>
    </row>
    <row r="184" spans="1:18" ht="12" hidden="1">
      <c r="A184" s="145"/>
      <c r="B184" s="145"/>
      <c r="C184" s="319" t="s">
        <v>600</v>
      </c>
      <c r="D184" s="16" t="s">
        <v>286</v>
      </c>
      <c r="E184" s="14"/>
      <c r="F184" s="592"/>
      <c r="G184" s="20"/>
      <c r="H184" s="20"/>
      <c r="I184" s="20"/>
      <c r="J184" s="15"/>
      <c r="K184" s="15"/>
      <c r="L184" s="15"/>
      <c r="M184" s="20"/>
      <c r="N184" s="15"/>
      <c r="O184" s="15"/>
      <c r="P184" s="20"/>
      <c r="Q184" s="16"/>
      <c r="R184" s="343"/>
    </row>
    <row r="185" spans="1:18" ht="14.25" customHeight="1" hidden="1">
      <c r="A185" s="145"/>
      <c r="B185" s="145"/>
      <c r="C185" s="163" t="s">
        <v>287</v>
      </c>
      <c r="D185" s="331" t="s">
        <v>3</v>
      </c>
      <c r="E185" s="14"/>
      <c r="F185" s="592">
        <v>132946</v>
      </c>
      <c r="G185" s="20"/>
      <c r="H185" s="20"/>
      <c r="I185" s="20"/>
      <c r="J185" s="15"/>
      <c r="K185" s="15"/>
      <c r="L185" s="15"/>
      <c r="M185" s="20"/>
      <c r="N185" s="15"/>
      <c r="O185" s="15"/>
      <c r="P185" s="20"/>
      <c r="Q185" s="16">
        <f aca="true" t="shared" si="9" ref="Q185:Q195">SUM(G185:P185)</f>
        <v>0</v>
      </c>
      <c r="R185" s="343"/>
    </row>
    <row r="186" spans="1:18" ht="36" customHeight="1" hidden="1">
      <c r="A186" s="145"/>
      <c r="B186" s="145"/>
      <c r="C186" s="163" t="s">
        <v>288</v>
      </c>
      <c r="D186" s="323" t="s">
        <v>428</v>
      </c>
      <c r="E186" s="14"/>
      <c r="F186" s="592">
        <v>132941</v>
      </c>
      <c r="G186" s="20"/>
      <c r="H186" s="20"/>
      <c r="I186" s="20"/>
      <c r="J186" s="15"/>
      <c r="K186" s="15"/>
      <c r="L186" s="15"/>
      <c r="M186" s="20"/>
      <c r="N186" s="15"/>
      <c r="O186" s="15"/>
      <c r="P186" s="20"/>
      <c r="Q186" s="16">
        <f t="shared" si="9"/>
        <v>0</v>
      </c>
      <c r="R186" s="343"/>
    </row>
    <row r="187" spans="1:18" ht="22.5" customHeight="1" hidden="1">
      <c r="A187" s="145"/>
      <c r="B187" s="145"/>
      <c r="C187" s="163" t="s">
        <v>289</v>
      </c>
      <c r="D187" s="323" t="s">
        <v>679</v>
      </c>
      <c r="E187" s="14"/>
      <c r="F187" s="592">
        <v>132942</v>
      </c>
      <c r="G187" s="20"/>
      <c r="H187" s="20"/>
      <c r="I187" s="20"/>
      <c r="J187" s="15"/>
      <c r="K187" s="15"/>
      <c r="L187" s="15"/>
      <c r="M187" s="20"/>
      <c r="N187" s="15"/>
      <c r="O187" s="15"/>
      <c r="P187" s="20"/>
      <c r="Q187" s="16">
        <f t="shared" si="9"/>
        <v>0</v>
      </c>
      <c r="R187" s="343"/>
    </row>
    <row r="188" spans="1:18" ht="18.75" customHeight="1" hidden="1">
      <c r="A188" s="145"/>
      <c r="B188" s="145"/>
      <c r="C188" s="163" t="s">
        <v>290</v>
      </c>
      <c r="D188" s="109" t="s">
        <v>291</v>
      </c>
      <c r="E188" s="14"/>
      <c r="F188" s="592">
        <v>132911</v>
      </c>
      <c r="G188" s="20"/>
      <c r="H188" s="20"/>
      <c r="I188" s="20"/>
      <c r="J188" s="15"/>
      <c r="K188" s="15"/>
      <c r="L188" s="15"/>
      <c r="M188" s="20"/>
      <c r="N188" s="15"/>
      <c r="O188" s="15"/>
      <c r="P188" s="20"/>
      <c r="Q188" s="16">
        <f t="shared" si="9"/>
        <v>0</v>
      </c>
      <c r="R188" s="343"/>
    </row>
    <row r="189" spans="1:18" ht="36" customHeight="1" hidden="1">
      <c r="A189" s="145"/>
      <c r="B189" s="145"/>
      <c r="C189" s="163" t="s">
        <v>292</v>
      </c>
      <c r="D189" s="332" t="s">
        <v>447</v>
      </c>
      <c r="E189" s="14"/>
      <c r="F189" s="592">
        <v>132923</v>
      </c>
      <c r="G189" s="15"/>
      <c r="H189" s="15"/>
      <c r="I189" s="15"/>
      <c r="J189" s="15"/>
      <c r="K189" s="15"/>
      <c r="L189" s="15"/>
      <c r="M189" s="20"/>
      <c r="N189" s="15"/>
      <c r="O189" s="15"/>
      <c r="P189" s="20"/>
      <c r="Q189" s="16">
        <f t="shared" si="9"/>
        <v>0</v>
      </c>
      <c r="R189" s="343"/>
    </row>
    <row r="190" spans="1:18" ht="12.75" hidden="1">
      <c r="A190" s="145"/>
      <c r="B190" s="145"/>
      <c r="C190" s="163" t="s">
        <v>293</v>
      </c>
      <c r="D190" s="103" t="s">
        <v>45</v>
      </c>
      <c r="E190" s="14"/>
      <c r="F190" s="592">
        <v>134910</v>
      </c>
      <c r="G190" s="20"/>
      <c r="H190" s="20"/>
      <c r="I190" s="20"/>
      <c r="J190" s="15"/>
      <c r="K190" s="15"/>
      <c r="L190" s="15"/>
      <c r="M190" s="15"/>
      <c r="N190" s="15"/>
      <c r="O190" s="20"/>
      <c r="P190" s="20"/>
      <c r="Q190" s="16">
        <f t="shared" si="9"/>
        <v>0</v>
      </c>
      <c r="R190" s="343"/>
    </row>
    <row r="191" spans="1:18" ht="25.5" customHeight="1" hidden="1">
      <c r="A191" s="145"/>
      <c r="B191" s="145"/>
      <c r="C191" s="163" t="s">
        <v>294</v>
      </c>
      <c r="D191" s="333" t="s">
        <v>2</v>
      </c>
      <c r="E191" s="14"/>
      <c r="F191" s="592">
        <v>134940</v>
      </c>
      <c r="G191" s="20"/>
      <c r="H191" s="20"/>
      <c r="I191" s="20"/>
      <c r="J191" s="15"/>
      <c r="K191" s="15"/>
      <c r="L191" s="15"/>
      <c r="M191" s="20"/>
      <c r="N191" s="15"/>
      <c r="O191" s="20"/>
      <c r="P191" s="20"/>
      <c r="Q191" s="16">
        <f t="shared" si="9"/>
        <v>0</v>
      </c>
      <c r="R191" s="343"/>
    </row>
    <row r="192" spans="1:18" ht="18.75" customHeight="1" hidden="1">
      <c r="A192" s="145"/>
      <c r="B192" s="145"/>
      <c r="C192" s="163" t="s">
        <v>295</v>
      </c>
      <c r="D192" s="334" t="s">
        <v>553</v>
      </c>
      <c r="E192" s="14"/>
      <c r="F192" s="592">
        <v>132904</v>
      </c>
      <c r="G192" s="20"/>
      <c r="H192" s="20"/>
      <c r="I192" s="20"/>
      <c r="J192" s="15"/>
      <c r="K192" s="15"/>
      <c r="L192" s="15"/>
      <c r="M192" s="15"/>
      <c r="N192" s="15"/>
      <c r="O192" s="20"/>
      <c r="P192" s="20"/>
      <c r="Q192" s="16">
        <f t="shared" si="9"/>
        <v>0</v>
      </c>
      <c r="R192" s="343"/>
    </row>
    <row r="193" spans="1:18" ht="25.5" customHeight="1" hidden="1">
      <c r="A193" s="145"/>
      <c r="B193" s="145"/>
      <c r="C193" s="163" t="s">
        <v>296</v>
      </c>
      <c r="D193" s="335" t="s">
        <v>46</v>
      </c>
      <c r="E193" s="14"/>
      <c r="F193" s="592">
        <v>134919</v>
      </c>
      <c r="G193" s="20"/>
      <c r="H193" s="20"/>
      <c r="I193" s="20"/>
      <c r="J193" s="15"/>
      <c r="K193" s="15"/>
      <c r="L193" s="15"/>
      <c r="M193" s="15"/>
      <c r="N193" s="15"/>
      <c r="O193" s="20"/>
      <c r="P193" s="20"/>
      <c r="Q193" s="16">
        <f t="shared" si="9"/>
        <v>0</v>
      </c>
      <c r="R193" s="343"/>
    </row>
    <row r="194" spans="1:18" ht="12.75" hidden="1">
      <c r="A194" s="145"/>
      <c r="B194" s="145"/>
      <c r="C194" s="163" t="s">
        <v>297</v>
      </c>
      <c r="D194" s="336" t="s">
        <v>49</v>
      </c>
      <c r="E194" s="14"/>
      <c r="F194" s="592">
        <v>134930</v>
      </c>
      <c r="G194" s="20"/>
      <c r="H194" s="20"/>
      <c r="I194" s="20"/>
      <c r="J194" s="15"/>
      <c r="K194" s="15"/>
      <c r="L194" s="15"/>
      <c r="M194" s="15"/>
      <c r="N194" s="15"/>
      <c r="O194" s="20"/>
      <c r="P194" s="20"/>
      <c r="Q194" s="16">
        <f t="shared" si="9"/>
        <v>0</v>
      </c>
      <c r="R194" s="343"/>
    </row>
    <row r="195" spans="1:18" ht="22.5" customHeight="1" hidden="1">
      <c r="A195" s="145"/>
      <c r="B195" s="145"/>
      <c r="C195" s="163" t="s">
        <v>298</v>
      </c>
      <c r="D195" s="155" t="s">
        <v>299</v>
      </c>
      <c r="E195" s="14"/>
      <c r="F195" s="592">
        <v>134953</v>
      </c>
      <c r="G195" s="20"/>
      <c r="H195" s="20"/>
      <c r="I195" s="20"/>
      <c r="J195" s="15"/>
      <c r="K195" s="15"/>
      <c r="L195" s="15"/>
      <c r="M195" s="15"/>
      <c r="N195" s="15"/>
      <c r="O195" s="20"/>
      <c r="P195" s="20"/>
      <c r="Q195" s="16">
        <f t="shared" si="9"/>
        <v>0</v>
      </c>
      <c r="R195" s="343"/>
    </row>
    <row r="196" spans="1:18" ht="12.75" customHeight="1">
      <c r="A196" s="17"/>
      <c r="B196" s="17"/>
      <c r="C196" s="300"/>
      <c r="D196" s="267" t="s">
        <v>406</v>
      </c>
      <c r="E196" s="301"/>
      <c r="F196" s="591"/>
      <c r="G196" s="19">
        <f aca="true" t="shared" si="10" ref="G196:Q196">SUM(G149:G195)</f>
        <v>0</v>
      </c>
      <c r="H196" s="19">
        <f t="shared" si="10"/>
        <v>0</v>
      </c>
      <c r="I196" s="19">
        <f t="shared" si="10"/>
        <v>0</v>
      </c>
      <c r="J196" s="19">
        <f t="shared" si="10"/>
        <v>0</v>
      </c>
      <c r="K196" s="19">
        <f t="shared" si="10"/>
        <v>0</v>
      </c>
      <c r="L196" s="19">
        <f t="shared" si="10"/>
        <v>-4000</v>
      </c>
      <c r="M196" s="19">
        <f t="shared" si="10"/>
        <v>0</v>
      </c>
      <c r="N196" s="19">
        <f t="shared" si="10"/>
        <v>9000</v>
      </c>
      <c r="O196" s="19">
        <f t="shared" si="10"/>
        <v>0</v>
      </c>
      <c r="P196" s="19">
        <f t="shared" si="10"/>
        <v>0</v>
      </c>
      <c r="Q196" s="18">
        <f t="shared" si="10"/>
        <v>5000</v>
      </c>
      <c r="R196" s="532"/>
    </row>
    <row r="197" spans="1:18" ht="12.75" customHeight="1" hidden="1">
      <c r="A197" s="145">
        <v>1</v>
      </c>
      <c r="B197" s="145">
        <v>14</v>
      </c>
      <c r="C197" s="319"/>
      <c r="D197" s="21" t="s">
        <v>70</v>
      </c>
      <c r="E197" s="22"/>
      <c r="F197" s="601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R197" s="343"/>
    </row>
    <row r="198" spans="1:18" ht="12.75" customHeight="1" hidden="1">
      <c r="A198" s="145"/>
      <c r="B198" s="145"/>
      <c r="C198" s="319"/>
      <c r="D198" s="337" t="s">
        <v>410</v>
      </c>
      <c r="E198" s="22"/>
      <c r="F198" s="601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R198" s="343"/>
    </row>
    <row r="199" spans="1:18" ht="12.75" customHeight="1" hidden="1">
      <c r="A199" s="145"/>
      <c r="B199" s="145"/>
      <c r="C199" s="319"/>
      <c r="D199" s="16" t="s">
        <v>300</v>
      </c>
      <c r="E199" s="15">
        <v>1</v>
      </c>
      <c r="F199" s="592">
        <v>171918</v>
      </c>
      <c r="G199" s="20"/>
      <c r="H199" s="20"/>
      <c r="I199" s="15"/>
      <c r="J199" s="15"/>
      <c r="K199" s="15"/>
      <c r="L199" s="15"/>
      <c r="M199" s="15"/>
      <c r="N199" s="15"/>
      <c r="O199" s="15"/>
      <c r="P199" s="15"/>
      <c r="Q199" s="16">
        <f>SUM(I199:P199)</f>
        <v>0</v>
      </c>
      <c r="R199" s="343"/>
    </row>
    <row r="200" spans="1:18" ht="12.75" customHeight="1" hidden="1">
      <c r="A200" s="145"/>
      <c r="B200" s="145"/>
      <c r="C200" s="319"/>
      <c r="D200" s="16" t="s">
        <v>301</v>
      </c>
      <c r="E200" s="15">
        <v>1</v>
      </c>
      <c r="F200" s="592">
        <v>171926</v>
      </c>
      <c r="G200" s="20"/>
      <c r="H200" s="20"/>
      <c r="I200" s="15"/>
      <c r="J200" s="15"/>
      <c r="K200" s="15"/>
      <c r="L200" s="15"/>
      <c r="M200" s="15"/>
      <c r="N200" s="15"/>
      <c r="O200" s="15"/>
      <c r="P200" s="15"/>
      <c r="Q200" s="16">
        <f>SUM(I200:P200)</f>
        <v>0</v>
      </c>
      <c r="R200" s="343"/>
    </row>
    <row r="201" spans="1:18" ht="12.75" customHeight="1" hidden="1">
      <c r="A201" s="145"/>
      <c r="B201" s="145"/>
      <c r="C201" s="319"/>
      <c r="D201" s="16" t="s">
        <v>302</v>
      </c>
      <c r="E201" s="15">
        <v>1</v>
      </c>
      <c r="F201" s="592">
        <v>171917</v>
      </c>
      <c r="G201" s="20"/>
      <c r="H201" s="20"/>
      <c r="I201" s="15"/>
      <c r="J201" s="15"/>
      <c r="K201" s="15"/>
      <c r="L201" s="15"/>
      <c r="M201" s="15"/>
      <c r="N201" s="15"/>
      <c r="O201" s="15"/>
      <c r="P201" s="15"/>
      <c r="Q201" s="16">
        <f>SUM(I201:P201)</f>
        <v>0</v>
      </c>
      <c r="R201" s="343"/>
    </row>
    <row r="202" spans="1:18" ht="12.75" customHeight="1" hidden="1">
      <c r="A202" s="145"/>
      <c r="B202" s="145"/>
      <c r="C202" s="319"/>
      <c r="D202" s="16" t="s">
        <v>303</v>
      </c>
      <c r="E202" s="14">
        <v>1</v>
      </c>
      <c r="F202" s="592">
        <v>171967</v>
      </c>
      <c r="G202" s="20"/>
      <c r="H202" s="20"/>
      <c r="I202" s="15"/>
      <c r="J202" s="15"/>
      <c r="K202" s="15"/>
      <c r="L202" s="15"/>
      <c r="M202" s="15"/>
      <c r="N202" s="15"/>
      <c r="O202" s="15"/>
      <c r="P202" s="15"/>
      <c r="Q202" s="16">
        <f>SUM(I202:P202)</f>
        <v>0</v>
      </c>
      <c r="R202" s="343"/>
    </row>
    <row r="203" spans="1:18" ht="12.75" customHeight="1" hidden="1">
      <c r="A203" s="17"/>
      <c r="B203" s="17"/>
      <c r="C203" s="300"/>
      <c r="D203" s="18" t="s">
        <v>304</v>
      </c>
      <c r="E203" s="338"/>
      <c r="F203" s="602"/>
      <c r="G203" s="19"/>
      <c r="H203" s="19"/>
      <c r="I203" s="339">
        <f aca="true" t="shared" si="11" ref="I203:Q203">SUM(I199:I202)</f>
        <v>0</v>
      </c>
      <c r="J203" s="339">
        <f t="shared" si="11"/>
        <v>0</v>
      </c>
      <c r="K203" s="339">
        <f t="shared" si="11"/>
        <v>0</v>
      </c>
      <c r="L203" s="339">
        <f t="shared" si="11"/>
        <v>0</v>
      </c>
      <c r="M203" s="339">
        <f t="shared" si="11"/>
        <v>0</v>
      </c>
      <c r="N203" s="339">
        <f t="shared" si="11"/>
        <v>0</v>
      </c>
      <c r="O203" s="339">
        <f t="shared" si="11"/>
        <v>0</v>
      </c>
      <c r="P203" s="339">
        <f t="shared" si="11"/>
        <v>0</v>
      </c>
      <c r="Q203" s="524">
        <f t="shared" si="11"/>
        <v>0</v>
      </c>
      <c r="R203" s="532"/>
    </row>
    <row r="204" spans="1:18" ht="12.75" customHeight="1" hidden="1">
      <c r="A204" s="145"/>
      <c r="B204" s="145"/>
      <c r="C204" s="319"/>
      <c r="D204" s="311" t="s">
        <v>368</v>
      </c>
      <c r="E204" s="14"/>
      <c r="F204" s="592"/>
      <c r="G204" s="20"/>
      <c r="H204" s="20"/>
      <c r="I204" s="15"/>
      <c r="J204" s="15"/>
      <c r="K204" s="15"/>
      <c r="L204" s="15"/>
      <c r="M204" s="15"/>
      <c r="N204" s="15"/>
      <c r="O204" s="15"/>
      <c r="P204" s="15"/>
      <c r="Q204" s="16"/>
      <c r="R204" s="343"/>
    </row>
    <row r="205" spans="1:18" ht="27.75" customHeight="1" hidden="1">
      <c r="A205" s="145"/>
      <c r="B205" s="145"/>
      <c r="C205" s="319" t="s">
        <v>548</v>
      </c>
      <c r="D205" s="340" t="s">
        <v>305</v>
      </c>
      <c r="E205" s="14"/>
      <c r="F205" s="592">
        <v>172915</v>
      </c>
      <c r="G205" s="20"/>
      <c r="H205" s="20"/>
      <c r="I205" s="15"/>
      <c r="J205" s="15"/>
      <c r="K205" s="15"/>
      <c r="L205" s="15"/>
      <c r="M205" s="15"/>
      <c r="N205" s="15"/>
      <c r="O205" s="15"/>
      <c r="P205" s="15"/>
      <c r="Q205" s="16">
        <f>SUM(L205:P205)</f>
        <v>0</v>
      </c>
      <c r="R205" s="343"/>
    </row>
    <row r="206" spans="1:18" ht="26.25" customHeight="1" hidden="1">
      <c r="A206" s="145"/>
      <c r="B206" s="145"/>
      <c r="C206" s="319" t="s">
        <v>595</v>
      </c>
      <c r="D206" s="141" t="s">
        <v>306</v>
      </c>
      <c r="E206" s="14"/>
      <c r="F206" s="592">
        <v>172916</v>
      </c>
      <c r="G206" s="20"/>
      <c r="H206" s="20"/>
      <c r="I206" s="15"/>
      <c r="J206" s="15"/>
      <c r="K206" s="15"/>
      <c r="L206" s="15"/>
      <c r="M206" s="15"/>
      <c r="N206" s="15"/>
      <c r="O206" s="15"/>
      <c r="P206" s="15"/>
      <c r="Q206" s="16">
        <f>SUM(I206:P206)</f>
        <v>0</v>
      </c>
      <c r="R206" s="343"/>
    </row>
    <row r="207" spans="1:18" ht="12.75" customHeight="1" hidden="1">
      <c r="A207" s="145"/>
      <c r="B207" s="145"/>
      <c r="C207" s="319"/>
      <c r="D207" s="16" t="s">
        <v>286</v>
      </c>
      <c r="E207" s="14"/>
      <c r="F207" s="592"/>
      <c r="G207" s="20"/>
      <c r="H207" s="20"/>
      <c r="I207" s="15"/>
      <c r="J207" s="15"/>
      <c r="K207" s="15"/>
      <c r="L207" s="15"/>
      <c r="M207" s="15"/>
      <c r="N207" s="15"/>
      <c r="O207" s="15"/>
      <c r="P207" s="15"/>
      <c r="Q207" s="16"/>
      <c r="R207" s="343"/>
    </row>
    <row r="208" spans="1:18" ht="12.75" customHeight="1" hidden="1">
      <c r="A208" s="145"/>
      <c r="B208" s="145"/>
      <c r="C208" s="163" t="s">
        <v>492</v>
      </c>
      <c r="D208" s="16" t="s">
        <v>547</v>
      </c>
      <c r="E208" s="14"/>
      <c r="F208" s="592">
        <v>162650</v>
      </c>
      <c r="G208" s="20"/>
      <c r="H208" s="20"/>
      <c r="I208" s="15"/>
      <c r="J208" s="15"/>
      <c r="K208" s="15"/>
      <c r="L208" s="15"/>
      <c r="M208" s="15"/>
      <c r="N208" s="15"/>
      <c r="O208" s="15"/>
      <c r="P208" s="15"/>
      <c r="Q208" s="16">
        <f>SUM(I208:P208)</f>
        <v>0</v>
      </c>
      <c r="R208" s="343"/>
    </row>
    <row r="209" spans="1:18" ht="12.75" customHeight="1" hidden="1">
      <c r="A209" s="145"/>
      <c r="B209" s="145"/>
      <c r="C209" s="163" t="s">
        <v>520</v>
      </c>
      <c r="D209" s="16" t="s">
        <v>307</v>
      </c>
      <c r="E209" s="14"/>
      <c r="F209" s="592">
        <v>162674</v>
      </c>
      <c r="G209" s="20"/>
      <c r="H209" s="20"/>
      <c r="I209" s="15"/>
      <c r="J209" s="15"/>
      <c r="K209" s="15"/>
      <c r="L209" s="15"/>
      <c r="M209" s="15"/>
      <c r="N209" s="15"/>
      <c r="O209" s="15"/>
      <c r="P209" s="15"/>
      <c r="Q209" s="16">
        <f>SUM(I209:P209)</f>
        <v>0</v>
      </c>
      <c r="R209" s="343"/>
    </row>
    <row r="210" spans="1:18" ht="12.75" customHeight="1" hidden="1">
      <c r="A210" s="145"/>
      <c r="B210" s="145"/>
      <c r="C210" s="163" t="s">
        <v>521</v>
      </c>
      <c r="D210" s="125" t="s">
        <v>646</v>
      </c>
      <c r="E210" s="147"/>
      <c r="F210" s="600">
        <v>164903</v>
      </c>
      <c r="G210" s="25"/>
      <c r="H210" s="245"/>
      <c r="I210" s="25"/>
      <c r="J210" s="25"/>
      <c r="K210" s="25"/>
      <c r="L210" s="25"/>
      <c r="M210" s="25"/>
      <c r="N210" s="25"/>
      <c r="O210" s="25"/>
      <c r="P210" s="25"/>
      <c r="Q210" s="24">
        <f>SUM(G210:P210)</f>
        <v>0</v>
      </c>
      <c r="R210" s="343"/>
    </row>
    <row r="211" spans="1:18" ht="25.5" customHeight="1" hidden="1">
      <c r="A211" s="145"/>
      <c r="B211" s="145"/>
      <c r="C211" s="163" t="s">
        <v>522</v>
      </c>
      <c r="D211" s="341" t="s">
        <v>1070</v>
      </c>
      <c r="E211" s="147"/>
      <c r="F211" s="600">
        <v>162670</v>
      </c>
      <c r="G211" s="25"/>
      <c r="H211" s="245"/>
      <c r="I211" s="25"/>
      <c r="J211" s="25"/>
      <c r="K211" s="25"/>
      <c r="L211" s="25"/>
      <c r="M211" s="25"/>
      <c r="N211" s="25"/>
      <c r="O211" s="25"/>
      <c r="P211" s="25"/>
      <c r="Q211" s="24">
        <f>SUM(G211:P211)</f>
        <v>0</v>
      </c>
      <c r="R211" s="343"/>
    </row>
    <row r="212" spans="1:18" ht="12.75" customHeight="1" hidden="1">
      <c r="A212" s="17"/>
      <c r="B212" s="17"/>
      <c r="C212" s="300"/>
      <c r="D212" s="18" t="s">
        <v>308</v>
      </c>
      <c r="E212" s="338"/>
      <c r="F212" s="602"/>
      <c r="G212" s="19">
        <f aca="true" t="shared" si="12" ref="G212:Q212">SUM(G203:G211)</f>
        <v>0</v>
      </c>
      <c r="H212" s="19">
        <f t="shared" si="12"/>
        <v>0</v>
      </c>
      <c r="I212" s="19">
        <f t="shared" si="12"/>
        <v>0</v>
      </c>
      <c r="J212" s="19">
        <f t="shared" si="12"/>
        <v>0</v>
      </c>
      <c r="K212" s="19">
        <f t="shared" si="12"/>
        <v>0</v>
      </c>
      <c r="L212" s="19">
        <f t="shared" si="12"/>
        <v>0</v>
      </c>
      <c r="M212" s="19">
        <f t="shared" si="12"/>
        <v>0</v>
      </c>
      <c r="N212" s="19">
        <f t="shared" si="12"/>
        <v>0</v>
      </c>
      <c r="O212" s="19">
        <f t="shared" si="12"/>
        <v>0</v>
      </c>
      <c r="P212" s="19">
        <f t="shared" si="12"/>
        <v>0</v>
      </c>
      <c r="Q212" s="18">
        <f t="shared" si="12"/>
        <v>0</v>
      </c>
      <c r="R212" s="532"/>
    </row>
    <row r="213" spans="1:18" ht="13.5" customHeight="1">
      <c r="A213" s="23">
        <v>1</v>
      </c>
      <c r="B213" s="23">
        <v>15</v>
      </c>
      <c r="C213" s="342"/>
      <c r="D213" s="28" t="s">
        <v>309</v>
      </c>
      <c r="E213" s="147"/>
      <c r="F213" s="600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4"/>
      <c r="R213" s="343"/>
    </row>
    <row r="214" spans="1:18" ht="13.5" customHeight="1" hidden="1">
      <c r="A214" s="23"/>
      <c r="B214" s="23"/>
      <c r="C214" s="342"/>
      <c r="D214" s="100" t="s">
        <v>424</v>
      </c>
      <c r="E214" s="147"/>
      <c r="F214" s="600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4"/>
      <c r="R214" s="343"/>
    </row>
    <row r="215" spans="1:18" ht="13.5" customHeight="1" hidden="1">
      <c r="A215" s="23"/>
      <c r="B215" s="23"/>
      <c r="C215" s="342"/>
      <c r="D215" s="24" t="s">
        <v>652</v>
      </c>
      <c r="E215" s="147">
        <v>1</v>
      </c>
      <c r="F215" s="600">
        <v>151502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4">
        <f aca="true" t="shared" si="13" ref="Q215:Q235">SUM(G215:P215)</f>
        <v>0</v>
      </c>
      <c r="R215" s="343"/>
    </row>
    <row r="216" spans="1:18" ht="13.5" customHeight="1" hidden="1">
      <c r="A216" s="23"/>
      <c r="B216" s="23"/>
      <c r="C216" s="342"/>
      <c r="D216" s="24" t="s">
        <v>310</v>
      </c>
      <c r="E216" s="147">
        <v>1</v>
      </c>
      <c r="F216" s="600">
        <v>151504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4">
        <f t="shared" si="13"/>
        <v>0</v>
      </c>
      <c r="R216" s="343"/>
    </row>
    <row r="217" spans="1:18" ht="13.5" customHeight="1" hidden="1">
      <c r="A217" s="23"/>
      <c r="B217" s="23"/>
      <c r="C217" s="342"/>
      <c r="D217" s="100" t="s">
        <v>418</v>
      </c>
      <c r="E217" s="147">
        <v>1</v>
      </c>
      <c r="F217" s="600">
        <v>151501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4">
        <f t="shared" si="13"/>
        <v>0</v>
      </c>
      <c r="R217" s="343"/>
    </row>
    <row r="218" spans="1:18" ht="13.5" customHeight="1" hidden="1">
      <c r="A218" s="23"/>
      <c r="B218" s="23"/>
      <c r="C218" s="342"/>
      <c r="D218" s="100" t="s">
        <v>693</v>
      </c>
      <c r="E218" s="147">
        <v>1</v>
      </c>
      <c r="F218" s="600">
        <v>151905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4">
        <f t="shared" si="13"/>
        <v>0</v>
      </c>
      <c r="R218" s="343"/>
    </row>
    <row r="219" spans="1:18" ht="13.5" customHeight="1" hidden="1">
      <c r="A219" s="23"/>
      <c r="B219" s="23"/>
      <c r="C219" s="342"/>
      <c r="D219" s="100" t="s">
        <v>311</v>
      </c>
      <c r="E219" s="147">
        <v>2</v>
      </c>
      <c r="F219" s="600">
        <v>151503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4">
        <f t="shared" si="13"/>
        <v>0</v>
      </c>
      <c r="R219" s="343"/>
    </row>
    <row r="220" spans="1:18" ht="13.5" customHeight="1" hidden="1">
      <c r="A220" s="23"/>
      <c r="B220" s="23"/>
      <c r="C220" s="342"/>
      <c r="D220" s="100" t="s">
        <v>312</v>
      </c>
      <c r="E220" s="147">
        <v>2</v>
      </c>
      <c r="F220" s="600">
        <v>151507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4">
        <f t="shared" si="13"/>
        <v>0</v>
      </c>
      <c r="R220" s="343"/>
    </row>
    <row r="221" spans="1:18" ht="13.5" customHeight="1" hidden="1">
      <c r="A221" s="23"/>
      <c r="B221" s="23"/>
      <c r="C221" s="342"/>
      <c r="D221" s="100" t="s">
        <v>20</v>
      </c>
      <c r="E221" s="147">
        <v>2</v>
      </c>
      <c r="F221" s="600">
        <v>151509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4">
        <f t="shared" si="13"/>
        <v>0</v>
      </c>
      <c r="R221" s="343"/>
    </row>
    <row r="222" spans="1:18" ht="13.5" customHeight="1" hidden="1">
      <c r="A222" s="23"/>
      <c r="B222" s="23"/>
      <c r="C222" s="342"/>
      <c r="D222" s="100" t="s">
        <v>983</v>
      </c>
      <c r="E222" s="147">
        <v>1</v>
      </c>
      <c r="F222" s="600">
        <v>151510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4">
        <f t="shared" si="13"/>
        <v>0</v>
      </c>
      <c r="R222" s="343"/>
    </row>
    <row r="223" spans="1:18" ht="13.5" customHeight="1" hidden="1">
      <c r="A223" s="23"/>
      <c r="B223" s="23"/>
      <c r="C223" s="342"/>
      <c r="D223" s="100" t="s">
        <v>313</v>
      </c>
      <c r="E223" s="147">
        <v>1</v>
      </c>
      <c r="F223" s="600">
        <v>151512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4">
        <f t="shared" si="13"/>
        <v>0</v>
      </c>
      <c r="R223" s="343"/>
    </row>
    <row r="224" spans="1:18" ht="13.5" customHeight="1" hidden="1">
      <c r="A224" s="23"/>
      <c r="B224" s="23"/>
      <c r="C224" s="342"/>
      <c r="D224" s="100" t="s">
        <v>314</v>
      </c>
      <c r="E224" s="147">
        <v>1</v>
      </c>
      <c r="F224" s="600">
        <v>151519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4">
        <f t="shared" si="13"/>
        <v>0</v>
      </c>
      <c r="R224" s="343"/>
    </row>
    <row r="225" spans="1:18" ht="13.5" customHeight="1" hidden="1">
      <c r="A225" s="23"/>
      <c r="B225" s="23"/>
      <c r="C225" s="342"/>
      <c r="D225" s="100" t="s">
        <v>315</v>
      </c>
      <c r="E225" s="147">
        <v>2</v>
      </c>
      <c r="F225" s="600">
        <v>151511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4">
        <f t="shared" si="13"/>
        <v>0</v>
      </c>
      <c r="R225" s="343"/>
    </row>
    <row r="226" spans="1:18" ht="13.5" customHeight="1" hidden="1">
      <c r="A226" s="23"/>
      <c r="B226" s="23"/>
      <c r="C226" s="342"/>
      <c r="D226" s="100" t="s">
        <v>21</v>
      </c>
      <c r="E226" s="484">
        <v>2</v>
      </c>
      <c r="F226" s="600">
        <v>151514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4">
        <f t="shared" si="13"/>
        <v>0</v>
      </c>
      <c r="R226" s="343"/>
    </row>
    <row r="227" spans="1:18" ht="13.5" customHeight="1" hidden="1">
      <c r="A227" s="23"/>
      <c r="B227" s="23"/>
      <c r="C227" s="342"/>
      <c r="D227" s="100" t="s">
        <v>22</v>
      </c>
      <c r="E227" s="484">
        <v>2</v>
      </c>
      <c r="F227" s="600">
        <v>151515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4">
        <f t="shared" si="13"/>
        <v>0</v>
      </c>
      <c r="R227" s="343"/>
    </row>
    <row r="228" spans="1:18" ht="13.5" customHeight="1" hidden="1">
      <c r="A228" s="23"/>
      <c r="B228" s="23"/>
      <c r="C228" s="342"/>
      <c r="D228" s="100" t="s">
        <v>316</v>
      </c>
      <c r="E228" s="484">
        <v>1</v>
      </c>
      <c r="F228" s="600">
        <v>151513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4">
        <f t="shared" si="13"/>
        <v>0</v>
      </c>
      <c r="R228" s="343"/>
    </row>
    <row r="229" spans="1:18" ht="13.5" customHeight="1" hidden="1">
      <c r="A229" s="23"/>
      <c r="B229" s="23"/>
      <c r="C229" s="342"/>
      <c r="D229" s="24" t="s">
        <v>408</v>
      </c>
      <c r="E229" s="70"/>
      <c r="F229" s="600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4">
        <f t="shared" si="13"/>
        <v>0</v>
      </c>
      <c r="R229" s="343"/>
    </row>
    <row r="230" spans="1:18" ht="13.5" customHeight="1" hidden="1">
      <c r="A230" s="23"/>
      <c r="B230" s="23"/>
      <c r="C230" s="342"/>
      <c r="D230" s="24" t="s">
        <v>653</v>
      </c>
      <c r="E230" s="147">
        <v>1</v>
      </c>
      <c r="F230" s="600">
        <v>151401</v>
      </c>
      <c r="G230" s="25"/>
      <c r="H230" s="343"/>
      <c r="I230" s="25"/>
      <c r="J230" s="25"/>
      <c r="K230" s="25"/>
      <c r="L230" s="25"/>
      <c r="M230" s="25"/>
      <c r="N230" s="25"/>
      <c r="O230" s="25"/>
      <c r="P230" s="25"/>
      <c r="Q230" s="24">
        <f t="shared" si="13"/>
        <v>0</v>
      </c>
      <c r="R230" s="343"/>
    </row>
    <row r="231" spans="1:18" ht="13.5" customHeight="1" hidden="1">
      <c r="A231" s="23"/>
      <c r="B231" s="23"/>
      <c r="C231" s="342"/>
      <c r="D231" s="24" t="s">
        <v>23</v>
      </c>
      <c r="E231" s="70">
        <v>1</v>
      </c>
      <c r="F231" s="600">
        <v>151402</v>
      </c>
      <c r="G231" s="25"/>
      <c r="H231" s="343"/>
      <c r="I231" s="25"/>
      <c r="J231" s="25"/>
      <c r="K231" s="25"/>
      <c r="L231" s="25"/>
      <c r="M231" s="25"/>
      <c r="N231" s="25"/>
      <c r="O231" s="25"/>
      <c r="P231" s="25"/>
      <c r="Q231" s="24">
        <f t="shared" si="13"/>
        <v>0</v>
      </c>
      <c r="R231" s="343"/>
    </row>
    <row r="232" spans="1:18" ht="13.5" customHeight="1" hidden="1">
      <c r="A232" s="23"/>
      <c r="B232" s="23"/>
      <c r="C232" s="342"/>
      <c r="D232" s="24" t="s">
        <v>24</v>
      </c>
      <c r="E232" s="70">
        <v>2</v>
      </c>
      <c r="F232" s="600">
        <v>151406</v>
      </c>
      <c r="G232" s="25"/>
      <c r="H232" s="343"/>
      <c r="I232" s="25"/>
      <c r="J232" s="25"/>
      <c r="K232" s="25"/>
      <c r="L232" s="25"/>
      <c r="M232" s="25"/>
      <c r="N232" s="25"/>
      <c r="O232" s="25"/>
      <c r="P232" s="25"/>
      <c r="Q232" s="24">
        <f t="shared" si="13"/>
        <v>0</v>
      </c>
      <c r="R232" s="343"/>
    </row>
    <row r="233" spans="1:18" ht="13.5" customHeight="1" hidden="1">
      <c r="A233" s="23"/>
      <c r="B233" s="23"/>
      <c r="C233" s="342"/>
      <c r="D233" s="24" t="s">
        <v>25</v>
      </c>
      <c r="E233" s="70">
        <v>2</v>
      </c>
      <c r="F233" s="600">
        <v>151407</v>
      </c>
      <c r="G233" s="25"/>
      <c r="H233" s="343"/>
      <c r="I233" s="25"/>
      <c r="J233" s="25"/>
      <c r="K233" s="25"/>
      <c r="L233" s="25"/>
      <c r="M233" s="25"/>
      <c r="N233" s="25"/>
      <c r="O233" s="25"/>
      <c r="P233" s="25"/>
      <c r="Q233" s="24">
        <f t="shared" si="13"/>
        <v>0</v>
      </c>
      <c r="R233" s="343"/>
    </row>
    <row r="234" spans="1:18" ht="13.5" customHeight="1" hidden="1">
      <c r="A234" s="23"/>
      <c r="B234" s="23"/>
      <c r="C234" s="342"/>
      <c r="D234" s="24" t="s">
        <v>317</v>
      </c>
      <c r="E234" s="70">
        <v>1</v>
      </c>
      <c r="F234" s="600">
        <v>151403</v>
      </c>
      <c r="G234" s="25"/>
      <c r="H234" s="343"/>
      <c r="I234" s="25"/>
      <c r="J234" s="25"/>
      <c r="K234" s="25"/>
      <c r="L234" s="25"/>
      <c r="M234" s="25"/>
      <c r="N234" s="25"/>
      <c r="O234" s="25"/>
      <c r="P234" s="25"/>
      <c r="Q234" s="24">
        <f t="shared" si="13"/>
        <v>0</v>
      </c>
      <c r="R234" s="343"/>
    </row>
    <row r="235" spans="1:18" ht="13.5" customHeight="1" hidden="1">
      <c r="A235" s="23"/>
      <c r="B235" s="23"/>
      <c r="C235" s="342"/>
      <c r="D235" s="24" t="s">
        <v>318</v>
      </c>
      <c r="E235" s="70">
        <v>2</v>
      </c>
      <c r="F235" s="600">
        <v>151404</v>
      </c>
      <c r="G235" s="25"/>
      <c r="H235" s="343"/>
      <c r="I235" s="25"/>
      <c r="J235" s="25"/>
      <c r="K235" s="25"/>
      <c r="L235" s="25"/>
      <c r="M235" s="25"/>
      <c r="N235" s="25"/>
      <c r="O235" s="25"/>
      <c r="P235" s="25"/>
      <c r="Q235" s="24">
        <f t="shared" si="13"/>
        <v>0</v>
      </c>
      <c r="R235" s="343"/>
    </row>
    <row r="236" spans="1:18" ht="13.5" customHeight="1" hidden="1">
      <c r="A236" s="23"/>
      <c r="B236" s="23"/>
      <c r="C236" s="342"/>
      <c r="D236" s="100" t="s">
        <v>984</v>
      </c>
      <c r="E236" s="70"/>
      <c r="F236" s="600"/>
      <c r="G236" s="25"/>
      <c r="H236" s="343"/>
      <c r="I236" s="25"/>
      <c r="J236" s="25"/>
      <c r="K236" s="25"/>
      <c r="L236" s="25"/>
      <c r="M236" s="25"/>
      <c r="N236" s="25"/>
      <c r="O236" s="25"/>
      <c r="P236" s="25"/>
      <c r="Q236" s="24"/>
      <c r="R236" s="343"/>
    </row>
    <row r="237" spans="1:18" ht="13.5" customHeight="1" hidden="1">
      <c r="A237" s="25"/>
      <c r="B237" s="25"/>
      <c r="C237" s="25"/>
      <c r="D237" s="24" t="s">
        <v>26</v>
      </c>
      <c r="E237" s="147">
        <v>1</v>
      </c>
      <c r="F237" s="600">
        <v>151102</v>
      </c>
      <c r="G237" s="25"/>
      <c r="H237" s="343"/>
      <c r="I237" s="25"/>
      <c r="J237" s="25"/>
      <c r="K237" s="25"/>
      <c r="L237" s="25"/>
      <c r="M237" s="25"/>
      <c r="N237" s="25"/>
      <c r="O237" s="25"/>
      <c r="P237" s="25"/>
      <c r="Q237" s="24">
        <f>SUM(G237:P237)</f>
        <v>0</v>
      </c>
      <c r="R237" s="343"/>
    </row>
    <row r="238" spans="1:18" ht="13.5" customHeight="1" hidden="1">
      <c r="A238" s="23"/>
      <c r="B238" s="23"/>
      <c r="C238" s="342"/>
      <c r="D238" s="24" t="s">
        <v>27</v>
      </c>
      <c r="E238" s="147">
        <v>1</v>
      </c>
      <c r="F238" s="600">
        <v>151103</v>
      </c>
      <c r="G238" s="25"/>
      <c r="H238" s="343"/>
      <c r="I238" s="25"/>
      <c r="J238" s="25"/>
      <c r="K238" s="25"/>
      <c r="L238" s="25"/>
      <c r="M238" s="25"/>
      <c r="N238" s="25"/>
      <c r="O238" s="25"/>
      <c r="P238" s="25"/>
      <c r="Q238" s="24">
        <f>SUM(G238:P238)</f>
        <v>0</v>
      </c>
      <c r="R238" s="343"/>
    </row>
    <row r="239" spans="1:18" ht="13.5" customHeight="1" hidden="1">
      <c r="A239" s="23"/>
      <c r="B239" s="23"/>
      <c r="C239" s="342"/>
      <c r="D239" s="24" t="s">
        <v>726</v>
      </c>
      <c r="E239" s="70"/>
      <c r="F239" s="600"/>
      <c r="G239" s="25"/>
      <c r="H239" s="343"/>
      <c r="I239" s="25"/>
      <c r="J239" s="25"/>
      <c r="K239" s="25"/>
      <c r="L239" s="25"/>
      <c r="M239" s="25"/>
      <c r="N239" s="25"/>
      <c r="O239" s="25"/>
      <c r="P239" s="25"/>
      <c r="Q239" s="24"/>
      <c r="R239" s="343"/>
    </row>
    <row r="240" spans="1:18" ht="13.5" customHeight="1" hidden="1">
      <c r="A240" s="23"/>
      <c r="B240" s="23"/>
      <c r="C240" s="342"/>
      <c r="D240" s="100" t="s">
        <v>319</v>
      </c>
      <c r="E240" s="70">
        <v>1</v>
      </c>
      <c r="F240" s="600">
        <v>151301</v>
      </c>
      <c r="G240" s="25"/>
      <c r="H240" s="343"/>
      <c r="I240" s="25"/>
      <c r="J240" s="25"/>
      <c r="K240" s="25"/>
      <c r="L240" s="25"/>
      <c r="M240" s="25"/>
      <c r="N240" s="25"/>
      <c r="O240" s="25"/>
      <c r="P240" s="25"/>
      <c r="Q240" s="24">
        <f aca="true" t="shared" si="14" ref="Q240:Q264">SUM(G240:P240)</f>
        <v>0</v>
      </c>
      <c r="R240" s="343"/>
    </row>
    <row r="241" spans="1:18" ht="25.5" customHeight="1" hidden="1">
      <c r="A241" s="23"/>
      <c r="B241" s="23"/>
      <c r="C241" s="342"/>
      <c r="D241" s="160" t="s">
        <v>28</v>
      </c>
      <c r="E241" s="70">
        <v>1</v>
      </c>
      <c r="F241" s="600">
        <v>151305</v>
      </c>
      <c r="G241" s="25"/>
      <c r="H241" s="343"/>
      <c r="I241" s="25"/>
      <c r="J241" s="25"/>
      <c r="K241" s="25"/>
      <c r="L241" s="25"/>
      <c r="M241" s="25"/>
      <c r="N241" s="25"/>
      <c r="O241" s="25"/>
      <c r="P241" s="25"/>
      <c r="Q241" s="24">
        <f t="shared" si="14"/>
        <v>0</v>
      </c>
      <c r="R241" s="343"/>
    </row>
    <row r="242" spans="1:18" ht="25.5" customHeight="1" hidden="1">
      <c r="A242" s="23"/>
      <c r="B242" s="23"/>
      <c r="C242" s="342"/>
      <c r="D242" s="160" t="s">
        <v>320</v>
      </c>
      <c r="E242" s="70">
        <v>1</v>
      </c>
      <c r="F242" s="600">
        <v>151306</v>
      </c>
      <c r="G242" s="25"/>
      <c r="H242" s="343"/>
      <c r="I242" s="25"/>
      <c r="J242" s="25"/>
      <c r="K242" s="25"/>
      <c r="L242" s="25"/>
      <c r="M242" s="25"/>
      <c r="N242" s="25"/>
      <c r="O242" s="25"/>
      <c r="P242" s="25"/>
      <c r="Q242" s="24">
        <f t="shared" si="14"/>
        <v>0</v>
      </c>
      <c r="R242" s="343"/>
    </row>
    <row r="243" spans="1:18" ht="24" customHeight="1" hidden="1">
      <c r="A243" s="23"/>
      <c r="B243" s="23"/>
      <c r="C243" s="342"/>
      <c r="D243" s="160" t="s">
        <v>321</v>
      </c>
      <c r="E243" s="70">
        <v>1</v>
      </c>
      <c r="F243" s="600">
        <v>151308</v>
      </c>
      <c r="G243" s="25"/>
      <c r="H243" s="343"/>
      <c r="I243" s="25"/>
      <c r="J243" s="25"/>
      <c r="K243" s="25"/>
      <c r="L243" s="25"/>
      <c r="M243" s="25"/>
      <c r="N243" s="25"/>
      <c r="O243" s="25"/>
      <c r="P243" s="25"/>
      <c r="Q243" s="24">
        <f t="shared" si="14"/>
        <v>0</v>
      </c>
      <c r="R243" s="343"/>
    </row>
    <row r="244" spans="1:18" ht="24" customHeight="1" hidden="1">
      <c r="A244" s="23"/>
      <c r="B244" s="23"/>
      <c r="C244" s="342"/>
      <c r="D244" s="160" t="s">
        <v>322</v>
      </c>
      <c r="E244" s="485">
        <v>1</v>
      </c>
      <c r="F244" s="603">
        <v>151311</v>
      </c>
      <c r="G244" s="25"/>
      <c r="H244" s="343"/>
      <c r="I244" s="25"/>
      <c r="J244" s="25"/>
      <c r="K244" s="25"/>
      <c r="L244" s="25"/>
      <c r="M244" s="25"/>
      <c r="N244" s="25"/>
      <c r="O244" s="25"/>
      <c r="P244" s="25"/>
      <c r="Q244" s="24">
        <f t="shared" si="14"/>
        <v>0</v>
      </c>
      <c r="R244" s="343"/>
    </row>
    <row r="245" spans="1:18" ht="12" customHeight="1" hidden="1">
      <c r="A245" s="23"/>
      <c r="B245" s="23"/>
      <c r="C245" s="342"/>
      <c r="D245" s="24" t="s">
        <v>323</v>
      </c>
      <c r="E245" s="70">
        <v>1</v>
      </c>
      <c r="F245" s="600">
        <v>151312</v>
      </c>
      <c r="G245" s="25"/>
      <c r="H245" s="343"/>
      <c r="I245" s="25"/>
      <c r="J245" s="25"/>
      <c r="K245" s="25"/>
      <c r="L245" s="25"/>
      <c r="M245" s="25"/>
      <c r="N245" s="25"/>
      <c r="O245" s="25"/>
      <c r="P245" s="25"/>
      <c r="Q245" s="24">
        <f t="shared" si="14"/>
        <v>0</v>
      </c>
      <c r="R245" s="343"/>
    </row>
    <row r="246" spans="1:18" ht="12" customHeight="1" hidden="1">
      <c r="A246" s="23"/>
      <c r="B246" s="23"/>
      <c r="C246" s="342"/>
      <c r="D246" s="24" t="s">
        <v>29</v>
      </c>
      <c r="E246" s="70">
        <v>1</v>
      </c>
      <c r="F246" s="600">
        <v>151302</v>
      </c>
      <c r="G246" s="25"/>
      <c r="H246" s="343"/>
      <c r="I246" s="25"/>
      <c r="J246" s="25"/>
      <c r="K246" s="25"/>
      <c r="L246" s="25"/>
      <c r="M246" s="25"/>
      <c r="N246" s="25"/>
      <c r="O246" s="25"/>
      <c r="P246" s="25"/>
      <c r="Q246" s="24">
        <f t="shared" si="14"/>
        <v>0</v>
      </c>
      <c r="R246" s="343"/>
    </row>
    <row r="247" spans="1:18" ht="25.5" customHeight="1" hidden="1">
      <c r="A247" s="23"/>
      <c r="B247" s="23"/>
      <c r="C247" s="342"/>
      <c r="D247" s="161" t="s">
        <v>324</v>
      </c>
      <c r="E247" s="70">
        <v>1</v>
      </c>
      <c r="F247" s="600">
        <v>151303</v>
      </c>
      <c r="G247" s="25"/>
      <c r="H247" s="343"/>
      <c r="I247" s="25"/>
      <c r="J247" s="25"/>
      <c r="K247" s="25"/>
      <c r="L247" s="25"/>
      <c r="M247" s="25"/>
      <c r="N247" s="25"/>
      <c r="O247" s="25"/>
      <c r="P247" s="25"/>
      <c r="Q247" s="24">
        <f t="shared" si="14"/>
        <v>0</v>
      </c>
      <c r="R247" s="343"/>
    </row>
    <row r="248" spans="1:18" ht="24" customHeight="1" hidden="1">
      <c r="A248" s="23"/>
      <c r="B248" s="23"/>
      <c r="C248" s="342"/>
      <c r="D248" s="160" t="s">
        <v>30</v>
      </c>
      <c r="E248" s="485">
        <v>2</v>
      </c>
      <c r="F248" s="603">
        <v>151315</v>
      </c>
      <c r="G248" s="25"/>
      <c r="H248" s="343"/>
      <c r="I248" s="25"/>
      <c r="J248" s="25"/>
      <c r="K248" s="25"/>
      <c r="L248" s="25"/>
      <c r="M248" s="25"/>
      <c r="N248" s="25"/>
      <c r="O248" s="25"/>
      <c r="P248" s="25"/>
      <c r="Q248" s="24">
        <f t="shared" si="14"/>
        <v>0</v>
      </c>
      <c r="R248" s="343"/>
    </row>
    <row r="249" spans="1:18" ht="24.75" customHeight="1" hidden="1">
      <c r="A249" s="23"/>
      <c r="B249" s="23"/>
      <c r="C249" s="342"/>
      <c r="D249" s="160" t="s">
        <v>40</v>
      </c>
      <c r="E249" s="485"/>
      <c r="F249" s="603"/>
      <c r="G249" s="25"/>
      <c r="H249" s="343"/>
      <c r="I249" s="25"/>
      <c r="J249" s="25"/>
      <c r="K249" s="25"/>
      <c r="L249" s="25"/>
      <c r="M249" s="25"/>
      <c r="N249" s="25"/>
      <c r="O249" s="25"/>
      <c r="P249" s="25"/>
      <c r="Q249" s="24">
        <f t="shared" si="14"/>
        <v>0</v>
      </c>
      <c r="R249" s="343"/>
    </row>
    <row r="250" spans="1:18" ht="13.5" customHeight="1" hidden="1">
      <c r="A250" s="23"/>
      <c r="B250" s="23"/>
      <c r="C250" s="342"/>
      <c r="D250" s="24" t="s">
        <v>325</v>
      </c>
      <c r="E250" s="147">
        <v>1</v>
      </c>
      <c r="F250" s="600">
        <v>151703</v>
      </c>
      <c r="G250" s="25"/>
      <c r="H250" s="343"/>
      <c r="I250" s="25"/>
      <c r="J250" s="25"/>
      <c r="K250" s="25"/>
      <c r="L250" s="25"/>
      <c r="M250" s="25"/>
      <c r="N250" s="25"/>
      <c r="O250" s="25"/>
      <c r="P250" s="25"/>
      <c r="Q250" s="24">
        <f t="shared" si="14"/>
        <v>0</v>
      </c>
      <c r="R250" s="343"/>
    </row>
    <row r="251" spans="1:18" ht="13.5" customHeight="1">
      <c r="A251" s="23"/>
      <c r="B251" s="23"/>
      <c r="C251" s="342"/>
      <c r="D251" s="100" t="s">
        <v>409</v>
      </c>
      <c r="E251" s="70"/>
      <c r="F251" s="600"/>
      <c r="G251" s="25"/>
      <c r="H251" s="343"/>
      <c r="I251" s="25"/>
      <c r="J251" s="25"/>
      <c r="K251" s="25"/>
      <c r="L251" s="25"/>
      <c r="M251" s="25"/>
      <c r="N251" s="25"/>
      <c r="O251" s="25"/>
      <c r="P251" s="25"/>
      <c r="Q251" s="24"/>
      <c r="R251" s="343"/>
    </row>
    <row r="252" spans="1:18" ht="13.5" customHeight="1" hidden="1">
      <c r="A252" s="23"/>
      <c r="B252" s="23"/>
      <c r="C252" s="342"/>
      <c r="D252" s="24" t="s">
        <v>326</v>
      </c>
      <c r="E252" s="147">
        <v>1</v>
      </c>
      <c r="F252" s="600">
        <v>151601</v>
      </c>
      <c r="G252" s="25"/>
      <c r="H252" s="343"/>
      <c r="I252" s="25"/>
      <c r="J252" s="25"/>
      <c r="K252" s="25"/>
      <c r="L252" s="25"/>
      <c r="M252" s="25"/>
      <c r="N252" s="25"/>
      <c r="O252" s="25"/>
      <c r="P252" s="25"/>
      <c r="Q252" s="24">
        <f t="shared" si="14"/>
        <v>0</v>
      </c>
      <c r="R252" s="343"/>
    </row>
    <row r="253" spans="1:18" ht="13.5" customHeight="1" hidden="1">
      <c r="A253" s="23"/>
      <c r="B253" s="23"/>
      <c r="C253" s="342"/>
      <c r="D253" s="16" t="s">
        <v>327</v>
      </c>
      <c r="E253" s="14">
        <v>1</v>
      </c>
      <c r="F253" s="592">
        <v>151602</v>
      </c>
      <c r="G253" s="25"/>
      <c r="H253" s="343"/>
      <c r="I253" s="25"/>
      <c r="J253" s="25"/>
      <c r="K253" s="25"/>
      <c r="L253" s="25"/>
      <c r="M253" s="25"/>
      <c r="N253" s="25"/>
      <c r="O253" s="25"/>
      <c r="P253" s="25"/>
      <c r="Q253" s="24">
        <f t="shared" si="14"/>
        <v>0</v>
      </c>
      <c r="R253" s="343"/>
    </row>
    <row r="254" spans="1:18" ht="13.5" customHeight="1" hidden="1">
      <c r="A254" s="23"/>
      <c r="B254" s="23"/>
      <c r="C254" s="342"/>
      <c r="D254" s="24" t="s">
        <v>985</v>
      </c>
      <c r="E254" s="147">
        <v>1</v>
      </c>
      <c r="F254" s="600">
        <v>151607</v>
      </c>
      <c r="G254" s="25"/>
      <c r="H254" s="343"/>
      <c r="I254" s="25"/>
      <c r="J254" s="25"/>
      <c r="K254" s="25"/>
      <c r="L254" s="25"/>
      <c r="M254" s="25"/>
      <c r="N254" s="25"/>
      <c r="O254" s="25"/>
      <c r="P254" s="25"/>
      <c r="Q254" s="24">
        <f t="shared" si="14"/>
        <v>0</v>
      </c>
      <c r="R254" s="343"/>
    </row>
    <row r="255" spans="1:18" ht="13.5" customHeight="1" hidden="1">
      <c r="A255" s="23"/>
      <c r="B255" s="23"/>
      <c r="C255" s="342"/>
      <c r="D255" s="24" t="s">
        <v>31</v>
      </c>
      <c r="E255" s="147">
        <v>2</v>
      </c>
      <c r="F255" s="600">
        <v>151610</v>
      </c>
      <c r="G255" s="25"/>
      <c r="H255" s="343"/>
      <c r="I255" s="25"/>
      <c r="J255" s="25"/>
      <c r="K255" s="25"/>
      <c r="L255" s="25"/>
      <c r="M255" s="25"/>
      <c r="N255" s="25"/>
      <c r="O255" s="25"/>
      <c r="P255" s="25"/>
      <c r="Q255" s="24">
        <f t="shared" si="14"/>
        <v>0</v>
      </c>
      <c r="R255" s="343"/>
    </row>
    <row r="256" spans="1:18" ht="13.5" customHeight="1" hidden="1">
      <c r="A256" s="23" t="s">
        <v>122</v>
      </c>
      <c r="B256" s="23"/>
      <c r="C256" s="342"/>
      <c r="D256" s="24" t="s">
        <v>32</v>
      </c>
      <c r="E256" s="70">
        <v>2</v>
      </c>
      <c r="F256" s="600">
        <v>151619</v>
      </c>
      <c r="G256" s="25"/>
      <c r="H256" s="343"/>
      <c r="I256" s="25"/>
      <c r="J256" s="25"/>
      <c r="K256" s="25"/>
      <c r="L256" s="25"/>
      <c r="M256" s="25"/>
      <c r="N256" s="25"/>
      <c r="O256" s="25"/>
      <c r="P256" s="25"/>
      <c r="Q256" s="24">
        <f t="shared" si="14"/>
        <v>0</v>
      </c>
      <c r="R256" s="343"/>
    </row>
    <row r="257" spans="1:18" ht="13.5" customHeight="1" hidden="1">
      <c r="A257" s="23"/>
      <c r="B257" s="23"/>
      <c r="C257" s="342"/>
      <c r="D257" s="100" t="s">
        <v>328</v>
      </c>
      <c r="E257" s="484">
        <v>2</v>
      </c>
      <c r="F257" s="600">
        <v>151626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4">
        <f t="shared" si="14"/>
        <v>0</v>
      </c>
      <c r="R257" s="343"/>
    </row>
    <row r="258" spans="1:18" ht="24.75" customHeight="1" hidden="1">
      <c r="A258" s="23"/>
      <c r="B258" s="23"/>
      <c r="C258" s="342"/>
      <c r="D258" s="161" t="s">
        <v>33</v>
      </c>
      <c r="E258" s="486">
        <v>2</v>
      </c>
      <c r="F258" s="603">
        <v>151627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4">
        <f t="shared" si="14"/>
        <v>0</v>
      </c>
      <c r="R258" s="343"/>
    </row>
    <row r="259" spans="1:18" ht="13.5" customHeight="1" hidden="1">
      <c r="A259" s="23"/>
      <c r="B259" s="23"/>
      <c r="C259" s="342"/>
      <c r="D259" s="24" t="s">
        <v>329</v>
      </c>
      <c r="E259" s="147">
        <v>1</v>
      </c>
      <c r="F259" s="600">
        <v>151603</v>
      </c>
      <c r="G259" s="25"/>
      <c r="H259" s="343"/>
      <c r="I259" s="15"/>
      <c r="J259" s="25"/>
      <c r="K259" s="25"/>
      <c r="L259" s="25"/>
      <c r="M259" s="25"/>
      <c r="N259" s="25"/>
      <c r="O259" s="25"/>
      <c r="P259" s="25"/>
      <c r="Q259" s="24">
        <f t="shared" si="14"/>
        <v>0</v>
      </c>
      <c r="R259" s="343"/>
    </row>
    <row r="260" spans="1:18" ht="13.5" customHeight="1" hidden="1">
      <c r="A260" s="23"/>
      <c r="B260" s="23"/>
      <c r="C260" s="342"/>
      <c r="D260" s="24" t="s">
        <v>330</v>
      </c>
      <c r="E260" s="147">
        <v>1</v>
      </c>
      <c r="F260" s="600">
        <v>151605</v>
      </c>
      <c r="G260" s="25"/>
      <c r="H260" s="343"/>
      <c r="I260" s="25"/>
      <c r="J260" s="25"/>
      <c r="K260" s="25"/>
      <c r="L260" s="25"/>
      <c r="M260" s="25"/>
      <c r="N260" s="25"/>
      <c r="O260" s="25"/>
      <c r="P260" s="25"/>
      <c r="Q260" s="24">
        <f t="shared" si="14"/>
        <v>0</v>
      </c>
      <c r="R260" s="343"/>
    </row>
    <row r="261" spans="1:18" ht="13.5" customHeight="1" hidden="1">
      <c r="A261" s="23"/>
      <c r="B261" s="23"/>
      <c r="C261" s="342"/>
      <c r="D261" s="24" t="s">
        <v>331</v>
      </c>
      <c r="E261" s="147">
        <v>1</v>
      </c>
      <c r="F261" s="600">
        <v>151608</v>
      </c>
      <c r="G261" s="25"/>
      <c r="H261" s="343"/>
      <c r="I261" s="25"/>
      <c r="J261" s="25"/>
      <c r="K261" s="25"/>
      <c r="L261" s="25"/>
      <c r="M261" s="25"/>
      <c r="N261" s="25"/>
      <c r="O261" s="25"/>
      <c r="P261" s="25"/>
      <c r="Q261" s="24">
        <f t="shared" si="14"/>
        <v>0</v>
      </c>
      <c r="R261" s="343"/>
    </row>
    <row r="262" spans="1:18" ht="13.5" customHeight="1" hidden="1">
      <c r="A262" s="23"/>
      <c r="B262" s="23"/>
      <c r="C262" s="342"/>
      <c r="D262" s="24" t="s">
        <v>34</v>
      </c>
      <c r="E262" s="147">
        <v>2</v>
      </c>
      <c r="F262" s="600">
        <v>151624</v>
      </c>
      <c r="G262" s="25"/>
      <c r="H262" s="343"/>
      <c r="I262" s="25"/>
      <c r="J262" s="25"/>
      <c r="K262" s="25"/>
      <c r="L262" s="25"/>
      <c r="M262" s="25"/>
      <c r="N262" s="25"/>
      <c r="O262" s="25"/>
      <c r="P262" s="25"/>
      <c r="Q262" s="24">
        <f t="shared" si="14"/>
        <v>0</v>
      </c>
      <c r="R262" s="343"/>
    </row>
    <row r="263" spans="1:18" ht="13.5" customHeight="1" hidden="1">
      <c r="A263" s="23"/>
      <c r="B263" s="23"/>
      <c r="C263" s="342"/>
      <c r="D263" s="24" t="s">
        <v>332</v>
      </c>
      <c r="E263" s="147">
        <v>2</v>
      </c>
      <c r="F263" s="600">
        <v>151621</v>
      </c>
      <c r="G263" s="25"/>
      <c r="H263" s="343"/>
      <c r="I263" s="25"/>
      <c r="J263" s="25"/>
      <c r="K263" s="25"/>
      <c r="L263" s="25"/>
      <c r="M263" s="25"/>
      <c r="N263" s="25"/>
      <c r="O263" s="25"/>
      <c r="P263" s="25"/>
      <c r="Q263" s="24">
        <f t="shared" si="14"/>
        <v>0</v>
      </c>
      <c r="R263" s="343"/>
    </row>
    <row r="264" spans="1:18" ht="13.5" customHeight="1">
      <c r="A264" s="23"/>
      <c r="B264" s="23"/>
      <c r="C264" s="342"/>
      <c r="D264" s="24" t="s">
        <v>578</v>
      </c>
      <c r="E264" s="25">
        <v>2</v>
      </c>
      <c r="F264" s="600"/>
      <c r="G264" s="25"/>
      <c r="H264" s="343"/>
      <c r="I264" s="25">
        <v>300</v>
      </c>
      <c r="J264" s="25"/>
      <c r="K264" s="25"/>
      <c r="L264" s="25"/>
      <c r="M264" s="25"/>
      <c r="N264" s="25"/>
      <c r="O264" s="25"/>
      <c r="P264" s="25"/>
      <c r="Q264" s="24">
        <f t="shared" si="14"/>
        <v>300</v>
      </c>
      <c r="R264" s="343" t="s">
        <v>733</v>
      </c>
    </row>
    <row r="265" spans="1:18" ht="12.75" customHeight="1" hidden="1">
      <c r="A265" s="23"/>
      <c r="B265" s="23"/>
      <c r="C265" s="342"/>
      <c r="D265" s="344" t="s">
        <v>333</v>
      </c>
      <c r="E265" s="147"/>
      <c r="F265" s="600"/>
      <c r="G265" s="25"/>
      <c r="H265" s="343"/>
      <c r="I265" s="25"/>
      <c r="J265" s="25"/>
      <c r="K265" s="25"/>
      <c r="L265" s="25"/>
      <c r="M265" s="25"/>
      <c r="N265" s="25"/>
      <c r="O265" s="25"/>
      <c r="P265" s="25"/>
      <c r="Q265" s="24"/>
      <c r="R265" s="343"/>
    </row>
    <row r="266" spans="1:18" ht="12.75" customHeight="1" hidden="1">
      <c r="A266" s="23"/>
      <c r="B266" s="23"/>
      <c r="C266" s="342"/>
      <c r="D266" s="24" t="s">
        <v>334</v>
      </c>
      <c r="E266" s="147">
        <v>1</v>
      </c>
      <c r="F266" s="600">
        <v>151505</v>
      </c>
      <c r="G266" s="25"/>
      <c r="H266" s="343"/>
      <c r="I266" s="25"/>
      <c r="J266" s="25"/>
      <c r="K266" s="25"/>
      <c r="L266" s="25"/>
      <c r="M266" s="25"/>
      <c r="N266" s="25"/>
      <c r="O266" s="25"/>
      <c r="P266" s="25"/>
      <c r="Q266" s="24">
        <f>SUM(G266:P266)</f>
        <v>0</v>
      </c>
      <c r="R266" s="343"/>
    </row>
    <row r="267" spans="1:18" ht="12.75" customHeight="1" hidden="1">
      <c r="A267" s="23"/>
      <c r="B267" s="23"/>
      <c r="C267" s="342"/>
      <c r="D267" s="100" t="s">
        <v>85</v>
      </c>
      <c r="E267" s="70"/>
      <c r="F267" s="600"/>
      <c r="G267" s="25"/>
      <c r="H267" s="343"/>
      <c r="I267" s="25"/>
      <c r="J267" s="25"/>
      <c r="K267" s="25"/>
      <c r="L267" s="25"/>
      <c r="M267" s="25"/>
      <c r="N267" s="25"/>
      <c r="O267" s="25"/>
      <c r="P267" s="25"/>
      <c r="Q267" s="24"/>
      <c r="R267" s="343"/>
    </row>
    <row r="268" spans="1:18" ht="13.5" customHeight="1" hidden="1">
      <c r="A268" s="23"/>
      <c r="B268" s="23"/>
      <c r="C268" s="23"/>
      <c r="D268" s="24" t="s">
        <v>86</v>
      </c>
      <c r="E268" s="147">
        <v>2</v>
      </c>
      <c r="F268" s="600">
        <v>151906</v>
      </c>
      <c r="G268" s="25"/>
      <c r="H268" s="343"/>
      <c r="I268" s="25"/>
      <c r="J268" s="25"/>
      <c r="K268" s="25"/>
      <c r="L268" s="25"/>
      <c r="M268" s="25"/>
      <c r="N268" s="25"/>
      <c r="O268" s="25"/>
      <c r="P268" s="25"/>
      <c r="Q268" s="24">
        <f>SUM(G268:P268)</f>
        <v>0</v>
      </c>
      <c r="R268" s="343"/>
    </row>
    <row r="269" spans="1:18" ht="13.5" customHeight="1" hidden="1">
      <c r="A269" s="23"/>
      <c r="B269" s="23"/>
      <c r="C269" s="342"/>
      <c r="D269" s="24" t="s">
        <v>335</v>
      </c>
      <c r="E269" s="147">
        <v>2</v>
      </c>
      <c r="F269" s="600">
        <v>151905</v>
      </c>
      <c r="G269" s="25"/>
      <c r="H269" s="343"/>
      <c r="I269" s="25"/>
      <c r="J269" s="25"/>
      <c r="K269" s="25"/>
      <c r="L269" s="25"/>
      <c r="M269" s="25"/>
      <c r="N269" s="25"/>
      <c r="O269" s="25"/>
      <c r="P269" s="25"/>
      <c r="Q269" s="24">
        <f>SUM(G269:P269)</f>
        <v>0</v>
      </c>
      <c r="R269" s="343"/>
    </row>
    <row r="270" spans="1:18" ht="13.5" customHeight="1" hidden="1">
      <c r="A270" s="23"/>
      <c r="B270" s="23"/>
      <c r="C270" s="342"/>
      <c r="D270" s="24" t="s">
        <v>87</v>
      </c>
      <c r="E270" s="147">
        <v>2</v>
      </c>
      <c r="F270" s="600">
        <v>151907</v>
      </c>
      <c r="G270" s="25"/>
      <c r="H270" s="343"/>
      <c r="I270" s="25"/>
      <c r="J270" s="25"/>
      <c r="K270" s="25"/>
      <c r="L270" s="25"/>
      <c r="M270" s="25"/>
      <c r="N270" s="25"/>
      <c r="O270" s="25"/>
      <c r="P270" s="25"/>
      <c r="Q270" s="24">
        <f>SUM(G270:P270)</f>
        <v>0</v>
      </c>
      <c r="R270" s="343"/>
    </row>
    <row r="271" spans="1:18" ht="13.5" customHeight="1" hidden="1">
      <c r="A271" s="23"/>
      <c r="B271" s="23"/>
      <c r="C271" s="342"/>
      <c r="D271" s="24" t="s">
        <v>336</v>
      </c>
      <c r="E271" s="147">
        <v>2</v>
      </c>
      <c r="F271" s="600">
        <v>151914</v>
      </c>
      <c r="G271" s="25"/>
      <c r="H271" s="343"/>
      <c r="I271" s="25"/>
      <c r="J271" s="25"/>
      <c r="K271" s="25"/>
      <c r="L271" s="25"/>
      <c r="M271" s="25"/>
      <c r="N271" s="25"/>
      <c r="O271" s="25"/>
      <c r="P271" s="25"/>
      <c r="Q271" s="24">
        <f>SUM(G271:P271)</f>
        <v>0</v>
      </c>
      <c r="R271" s="343"/>
    </row>
    <row r="272" spans="1:18" ht="13.5" customHeight="1" hidden="1">
      <c r="A272" s="23"/>
      <c r="B272" s="23"/>
      <c r="C272" s="342"/>
      <c r="D272" s="100" t="s">
        <v>392</v>
      </c>
      <c r="E272" s="70"/>
      <c r="F272" s="600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4"/>
      <c r="R272" s="343"/>
    </row>
    <row r="273" spans="1:18" ht="13.5" customHeight="1" hidden="1">
      <c r="A273" s="23"/>
      <c r="B273" s="23"/>
      <c r="C273" s="342"/>
      <c r="D273" s="100" t="s">
        <v>35</v>
      </c>
      <c r="E273" s="70">
        <v>1</v>
      </c>
      <c r="F273" s="600">
        <v>151801</v>
      </c>
      <c r="G273" s="25"/>
      <c r="H273" s="25"/>
      <c r="I273" s="25"/>
      <c r="J273" s="15"/>
      <c r="K273" s="25"/>
      <c r="L273" s="25"/>
      <c r="M273" s="25"/>
      <c r="N273" s="25"/>
      <c r="O273" s="25"/>
      <c r="P273" s="25"/>
      <c r="Q273" s="24">
        <f aca="true" t="shared" si="15" ref="Q273:Q282">SUM(G273:P273)</f>
        <v>0</v>
      </c>
      <c r="R273" s="343"/>
    </row>
    <row r="274" spans="1:18" ht="13.5" customHeight="1" hidden="1">
      <c r="A274" s="23"/>
      <c r="B274" s="23"/>
      <c r="C274" s="342"/>
      <c r="D274" s="100" t="s">
        <v>337</v>
      </c>
      <c r="E274" s="70">
        <v>1</v>
      </c>
      <c r="F274" s="600">
        <v>151803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4">
        <f t="shared" si="15"/>
        <v>0</v>
      </c>
      <c r="R274" s="343"/>
    </row>
    <row r="275" spans="1:18" ht="13.5" customHeight="1" hidden="1">
      <c r="A275" s="23"/>
      <c r="B275" s="23"/>
      <c r="C275" s="342"/>
      <c r="D275" s="100" t="s">
        <v>36</v>
      </c>
      <c r="E275" s="70">
        <v>1</v>
      </c>
      <c r="F275" s="600">
        <v>151802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4">
        <f t="shared" si="15"/>
        <v>0</v>
      </c>
      <c r="R275" s="343"/>
    </row>
    <row r="276" spans="1:18" ht="13.5" customHeight="1" hidden="1">
      <c r="A276" s="23"/>
      <c r="B276" s="23"/>
      <c r="C276" s="342"/>
      <c r="D276" s="100" t="s">
        <v>986</v>
      </c>
      <c r="E276" s="70"/>
      <c r="F276" s="600"/>
      <c r="G276" s="25"/>
      <c r="H276" s="343"/>
      <c r="I276" s="25"/>
      <c r="J276" s="25"/>
      <c r="K276" s="25"/>
      <c r="L276" s="25"/>
      <c r="M276" s="25"/>
      <c r="N276" s="25"/>
      <c r="O276" s="25"/>
      <c r="P276" s="25"/>
      <c r="Q276" s="24">
        <f t="shared" si="15"/>
        <v>0</v>
      </c>
      <c r="R276" s="343"/>
    </row>
    <row r="277" spans="1:18" ht="13.5" customHeight="1" hidden="1">
      <c r="A277" s="23"/>
      <c r="B277" s="23"/>
      <c r="C277" s="342"/>
      <c r="D277" s="100" t="s">
        <v>338</v>
      </c>
      <c r="E277" s="147">
        <v>1</v>
      </c>
      <c r="F277" s="600">
        <v>151201</v>
      </c>
      <c r="G277" s="25"/>
      <c r="H277" s="343"/>
      <c r="I277" s="15"/>
      <c r="J277" s="25"/>
      <c r="K277" s="25"/>
      <c r="L277" s="25"/>
      <c r="M277" s="25"/>
      <c r="N277" s="25"/>
      <c r="O277" s="25"/>
      <c r="P277" s="25"/>
      <c r="Q277" s="24">
        <f t="shared" si="15"/>
        <v>0</v>
      </c>
      <c r="R277" s="343"/>
    </row>
    <row r="278" spans="1:18" ht="13.5" customHeight="1" hidden="1">
      <c r="A278" s="23"/>
      <c r="B278" s="23"/>
      <c r="C278" s="342"/>
      <c r="D278" s="100" t="s">
        <v>339</v>
      </c>
      <c r="E278" s="147">
        <v>2</v>
      </c>
      <c r="F278" s="600">
        <v>151203</v>
      </c>
      <c r="G278" s="25"/>
      <c r="H278" s="343"/>
      <c r="I278" s="25"/>
      <c r="J278" s="25"/>
      <c r="K278" s="25"/>
      <c r="L278" s="25"/>
      <c r="M278" s="25"/>
      <c r="N278" s="25"/>
      <c r="O278" s="25"/>
      <c r="P278" s="25"/>
      <c r="Q278" s="24">
        <f t="shared" si="15"/>
        <v>0</v>
      </c>
      <c r="R278" s="343"/>
    </row>
    <row r="279" spans="1:18" ht="13.5" customHeight="1" hidden="1">
      <c r="A279" s="23"/>
      <c r="B279" s="23"/>
      <c r="C279" s="342"/>
      <c r="D279" s="100" t="s">
        <v>37</v>
      </c>
      <c r="E279" s="70">
        <v>1</v>
      </c>
      <c r="F279" s="600">
        <v>151204</v>
      </c>
      <c r="G279" s="25"/>
      <c r="H279" s="343"/>
      <c r="I279" s="25"/>
      <c r="J279" s="25"/>
      <c r="K279" s="25"/>
      <c r="L279" s="25"/>
      <c r="M279" s="25"/>
      <c r="N279" s="25"/>
      <c r="O279" s="25"/>
      <c r="P279" s="25"/>
      <c r="Q279" s="24">
        <f t="shared" si="15"/>
        <v>0</v>
      </c>
      <c r="R279" s="343"/>
    </row>
    <row r="280" spans="1:18" ht="13.5" customHeight="1" hidden="1">
      <c r="A280" s="23"/>
      <c r="B280" s="23"/>
      <c r="C280" s="342"/>
      <c r="D280" s="100" t="s">
        <v>340</v>
      </c>
      <c r="E280" s="70">
        <v>1</v>
      </c>
      <c r="F280" s="600">
        <v>151202</v>
      </c>
      <c r="G280" s="25"/>
      <c r="H280" s="343"/>
      <c r="I280" s="25"/>
      <c r="J280" s="25"/>
      <c r="K280" s="25"/>
      <c r="L280" s="25"/>
      <c r="M280" s="25"/>
      <c r="N280" s="25"/>
      <c r="O280" s="25"/>
      <c r="P280" s="25"/>
      <c r="Q280" s="24">
        <f t="shared" si="15"/>
        <v>0</v>
      </c>
      <c r="R280" s="343"/>
    </row>
    <row r="281" spans="1:18" ht="13.5" customHeight="1" hidden="1">
      <c r="A281" s="23"/>
      <c r="B281" s="23"/>
      <c r="C281" s="342"/>
      <c r="D281" s="100" t="s">
        <v>38</v>
      </c>
      <c r="E281" s="70">
        <v>1</v>
      </c>
      <c r="F281" s="600">
        <v>151205</v>
      </c>
      <c r="G281" s="25"/>
      <c r="H281" s="343"/>
      <c r="I281" s="25"/>
      <c r="J281" s="25"/>
      <c r="K281" s="25"/>
      <c r="L281" s="25"/>
      <c r="M281" s="25"/>
      <c r="N281" s="25"/>
      <c r="O281" s="25"/>
      <c r="P281" s="25"/>
      <c r="Q281" s="24">
        <f t="shared" si="15"/>
        <v>0</v>
      </c>
      <c r="R281" s="343"/>
    </row>
    <row r="282" spans="1:18" ht="13.5" customHeight="1" hidden="1">
      <c r="A282" s="23"/>
      <c r="B282" s="23"/>
      <c r="C282" s="342"/>
      <c r="D282" s="100" t="s">
        <v>419</v>
      </c>
      <c r="E282" s="70">
        <v>1</v>
      </c>
      <c r="F282" s="600">
        <v>151902</v>
      </c>
      <c r="G282" s="15"/>
      <c r="H282" s="15"/>
      <c r="I282" s="15"/>
      <c r="J282" s="15"/>
      <c r="K282" s="15"/>
      <c r="L282" s="25"/>
      <c r="M282" s="25"/>
      <c r="N282" s="25"/>
      <c r="O282" s="25"/>
      <c r="P282" s="25"/>
      <c r="Q282" s="24">
        <f t="shared" si="15"/>
        <v>0</v>
      </c>
      <c r="R282" s="343"/>
    </row>
    <row r="283" spans="1:18" ht="15" customHeight="1" hidden="1">
      <c r="A283" s="23"/>
      <c r="B283" s="23"/>
      <c r="C283" s="342"/>
      <c r="D283" s="141" t="s">
        <v>93</v>
      </c>
      <c r="E283" s="487"/>
      <c r="F283" s="604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4"/>
      <c r="R283" s="343"/>
    </row>
    <row r="284" spans="1:19" ht="24.75" customHeight="1" hidden="1">
      <c r="A284" s="23"/>
      <c r="B284" s="23"/>
      <c r="C284" s="342"/>
      <c r="D284" s="141" t="s">
        <v>341</v>
      </c>
      <c r="E284" s="488">
        <v>2</v>
      </c>
      <c r="F284" s="604">
        <v>151910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4">
        <f>SUM(G284:P284)</f>
        <v>0</v>
      </c>
      <c r="R284" s="394"/>
      <c r="S284" s="30"/>
    </row>
    <row r="285" spans="1:19" ht="15" customHeight="1" hidden="1">
      <c r="A285" s="23"/>
      <c r="B285" s="23"/>
      <c r="C285" s="342"/>
      <c r="D285" s="141" t="s">
        <v>114</v>
      </c>
      <c r="E285" s="488"/>
      <c r="F285" s="60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4"/>
      <c r="R285" s="394"/>
      <c r="S285" s="30"/>
    </row>
    <row r="286" spans="1:19" ht="24.75" customHeight="1" hidden="1">
      <c r="A286" s="23"/>
      <c r="B286" s="23"/>
      <c r="C286" s="342"/>
      <c r="D286" s="141" t="s">
        <v>342</v>
      </c>
      <c r="E286" s="488">
        <v>1</v>
      </c>
      <c r="F286" s="604">
        <v>152915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4">
        <f>SUM(G286:P286)</f>
        <v>0</v>
      </c>
      <c r="R286" s="394"/>
      <c r="S286" s="30"/>
    </row>
    <row r="287" spans="1:18" ht="13.5" customHeight="1" hidden="1">
      <c r="A287" s="23"/>
      <c r="B287" s="23"/>
      <c r="C287" s="342"/>
      <c r="D287" s="100" t="s">
        <v>343</v>
      </c>
      <c r="E287" s="70"/>
      <c r="F287" s="600"/>
      <c r="G287" s="25"/>
      <c r="H287" s="343"/>
      <c r="I287" s="25"/>
      <c r="J287" s="25"/>
      <c r="K287" s="25"/>
      <c r="L287" s="25"/>
      <c r="M287" s="25"/>
      <c r="N287" s="25"/>
      <c r="O287" s="25"/>
      <c r="P287" s="25"/>
      <c r="Q287" s="24"/>
      <c r="R287" s="343"/>
    </row>
    <row r="288" spans="1:18" ht="13.5" customHeight="1" hidden="1">
      <c r="A288" s="23"/>
      <c r="B288" s="23"/>
      <c r="C288" s="342"/>
      <c r="D288" s="100" t="s">
        <v>344</v>
      </c>
      <c r="E288" s="147">
        <v>1</v>
      </c>
      <c r="F288" s="600">
        <v>151704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4">
        <f>SUM(G288:P288)</f>
        <v>0</v>
      </c>
      <c r="R288" s="343"/>
    </row>
    <row r="289" spans="1:18" ht="12.75" customHeight="1">
      <c r="A289" s="17"/>
      <c r="B289" s="17"/>
      <c r="C289" s="300"/>
      <c r="D289" s="345" t="s">
        <v>345</v>
      </c>
      <c r="E289" s="301"/>
      <c r="F289" s="591"/>
      <c r="G289" s="19">
        <f aca="true" t="shared" si="16" ref="G289:L289">SUM(G213:G288)</f>
        <v>0</v>
      </c>
      <c r="H289" s="19">
        <f t="shared" si="16"/>
        <v>0</v>
      </c>
      <c r="I289" s="19">
        <f t="shared" si="16"/>
        <v>300</v>
      </c>
      <c r="J289" s="19">
        <f t="shared" si="16"/>
        <v>0</v>
      </c>
      <c r="K289" s="19">
        <f t="shared" si="16"/>
        <v>0</v>
      </c>
      <c r="L289" s="19">
        <f t="shared" si="16"/>
        <v>0</v>
      </c>
      <c r="M289" s="19">
        <f>SUM(M213:M288)</f>
        <v>0</v>
      </c>
      <c r="N289" s="19">
        <f>SUM(N213:N288)</f>
        <v>0</v>
      </c>
      <c r="O289" s="19">
        <f>SUM(O213:O288)</f>
        <v>0</v>
      </c>
      <c r="P289" s="19">
        <f>SUM(P213:P288)</f>
        <v>0</v>
      </c>
      <c r="Q289" s="18">
        <f>SUM(Q213:Q288)</f>
        <v>300</v>
      </c>
      <c r="R289" s="532"/>
    </row>
    <row r="290" spans="1:18" ht="12.75" customHeight="1">
      <c r="A290" s="346"/>
      <c r="B290" s="346"/>
      <c r="C290" s="346"/>
      <c r="D290" s="489" t="s">
        <v>159</v>
      </c>
      <c r="E290" s="147"/>
      <c r="F290" s="600"/>
      <c r="G290" s="329"/>
      <c r="H290" s="329"/>
      <c r="I290" s="329"/>
      <c r="J290" s="329"/>
      <c r="K290" s="329"/>
      <c r="L290" s="330"/>
      <c r="M290" s="330"/>
      <c r="N290" s="330"/>
      <c r="O290" s="329"/>
      <c r="P290" s="329"/>
      <c r="Q290" s="101"/>
      <c r="R290" s="343"/>
    </row>
    <row r="291" spans="1:18" ht="12.75" customHeight="1" hidden="1">
      <c r="A291" s="346"/>
      <c r="B291" s="346"/>
      <c r="C291" s="346" t="s">
        <v>548</v>
      </c>
      <c r="D291" s="121" t="s">
        <v>494</v>
      </c>
      <c r="E291" s="147"/>
      <c r="F291" s="600"/>
      <c r="G291" s="329"/>
      <c r="H291" s="329"/>
      <c r="I291" s="329"/>
      <c r="J291" s="329"/>
      <c r="K291" s="329"/>
      <c r="L291" s="330"/>
      <c r="M291" s="330"/>
      <c r="N291" s="330"/>
      <c r="O291" s="329"/>
      <c r="P291" s="329"/>
      <c r="Q291" s="101"/>
      <c r="R291" s="343"/>
    </row>
    <row r="292" spans="1:18" ht="12.75" customHeight="1" hidden="1">
      <c r="A292" s="346"/>
      <c r="B292" s="346"/>
      <c r="C292" s="144" t="s">
        <v>592</v>
      </c>
      <c r="D292" s="347" t="s">
        <v>695</v>
      </c>
      <c r="E292" s="147"/>
      <c r="F292" s="600">
        <v>152116</v>
      </c>
      <c r="G292" s="329"/>
      <c r="H292" s="329"/>
      <c r="I292" s="329"/>
      <c r="J292" s="329"/>
      <c r="K292" s="329"/>
      <c r="L292" s="330"/>
      <c r="M292" s="330"/>
      <c r="N292" s="330"/>
      <c r="O292" s="329"/>
      <c r="P292" s="329"/>
      <c r="Q292" s="101">
        <f aca="true" t="shared" si="17" ref="Q292:Q302">SUM(G292:P292)</f>
        <v>0</v>
      </c>
      <c r="R292" s="343"/>
    </row>
    <row r="293" spans="1:18" ht="21.75" customHeight="1" hidden="1">
      <c r="A293" s="346"/>
      <c r="B293" s="346"/>
      <c r="C293" s="144" t="s">
        <v>593</v>
      </c>
      <c r="D293" s="348" t="s">
        <v>346</v>
      </c>
      <c r="E293" s="147"/>
      <c r="F293" s="600">
        <v>152122</v>
      </c>
      <c r="G293" s="329"/>
      <c r="H293" s="329"/>
      <c r="I293" s="329"/>
      <c r="J293" s="329"/>
      <c r="K293" s="329"/>
      <c r="L293" s="330"/>
      <c r="M293" s="330"/>
      <c r="N293" s="330"/>
      <c r="O293" s="329"/>
      <c r="P293" s="329"/>
      <c r="Q293" s="101">
        <f t="shared" si="17"/>
        <v>0</v>
      </c>
      <c r="R293" s="343"/>
    </row>
    <row r="294" spans="1:18" ht="24.75" customHeight="1" hidden="1">
      <c r="A294" s="346"/>
      <c r="B294" s="346"/>
      <c r="C294" s="144" t="s">
        <v>594</v>
      </c>
      <c r="D294" s="348" t="s">
        <v>347</v>
      </c>
      <c r="E294" s="147"/>
      <c r="F294" s="600">
        <v>152114</v>
      </c>
      <c r="G294" s="329"/>
      <c r="H294" s="329"/>
      <c r="I294" s="329"/>
      <c r="J294" s="329"/>
      <c r="K294" s="329"/>
      <c r="L294" s="330"/>
      <c r="M294" s="330"/>
      <c r="N294" s="330"/>
      <c r="O294" s="329"/>
      <c r="P294" s="329"/>
      <c r="Q294" s="101">
        <f t="shared" si="17"/>
        <v>0</v>
      </c>
      <c r="R294" s="343"/>
    </row>
    <row r="295" spans="1:18" ht="12.75" customHeight="1" hidden="1">
      <c r="A295" s="346"/>
      <c r="B295" s="346"/>
      <c r="C295" s="144" t="s">
        <v>581</v>
      </c>
      <c r="D295" s="349" t="s">
        <v>357</v>
      </c>
      <c r="E295" s="147"/>
      <c r="F295" s="600">
        <v>152109</v>
      </c>
      <c r="G295" s="329"/>
      <c r="H295" s="329"/>
      <c r="I295" s="329"/>
      <c r="J295" s="329"/>
      <c r="K295" s="329"/>
      <c r="L295" s="330"/>
      <c r="M295" s="330"/>
      <c r="N295" s="330"/>
      <c r="O295" s="329"/>
      <c r="P295" s="329"/>
      <c r="Q295" s="101">
        <f t="shared" si="17"/>
        <v>0</v>
      </c>
      <c r="R295" s="343"/>
    </row>
    <row r="296" spans="1:18" ht="12.75" customHeight="1" hidden="1">
      <c r="A296" s="346"/>
      <c r="B296" s="346"/>
      <c r="C296" s="144" t="s">
        <v>582</v>
      </c>
      <c r="D296" s="157" t="s">
        <v>685</v>
      </c>
      <c r="E296" s="147"/>
      <c r="F296" s="600">
        <v>152103</v>
      </c>
      <c r="G296" s="329"/>
      <c r="H296" s="329"/>
      <c r="I296" s="329"/>
      <c r="J296" s="329"/>
      <c r="K296" s="329"/>
      <c r="L296" s="330"/>
      <c r="M296" s="330"/>
      <c r="N296" s="330"/>
      <c r="O296" s="329"/>
      <c r="P296" s="329"/>
      <c r="Q296" s="101">
        <f t="shared" si="17"/>
        <v>0</v>
      </c>
      <c r="R296" s="343"/>
    </row>
    <row r="297" spans="1:18" ht="12.75" customHeight="1" hidden="1">
      <c r="A297" s="346"/>
      <c r="B297" s="346"/>
      <c r="C297" s="144" t="s">
        <v>365</v>
      </c>
      <c r="D297" s="157" t="s">
        <v>348</v>
      </c>
      <c r="E297" s="147"/>
      <c r="F297" s="600">
        <v>152123</v>
      </c>
      <c r="G297" s="329"/>
      <c r="H297" s="329"/>
      <c r="I297" s="329"/>
      <c r="J297" s="329"/>
      <c r="K297" s="329"/>
      <c r="L297" s="330"/>
      <c r="M297" s="330"/>
      <c r="N297" s="330"/>
      <c r="O297" s="329"/>
      <c r="P297" s="329"/>
      <c r="Q297" s="101">
        <f t="shared" si="17"/>
        <v>0</v>
      </c>
      <c r="R297" s="343"/>
    </row>
    <row r="298" spans="1:18" ht="24.75" customHeight="1" hidden="1">
      <c r="A298" s="346"/>
      <c r="B298" s="346"/>
      <c r="C298" s="144" t="s">
        <v>366</v>
      </c>
      <c r="D298" s="350" t="s">
        <v>349</v>
      </c>
      <c r="E298" s="147"/>
      <c r="F298" s="600">
        <v>151114</v>
      </c>
      <c r="G298" s="329"/>
      <c r="H298" s="329"/>
      <c r="I298" s="329"/>
      <c r="J298" s="329"/>
      <c r="K298" s="329"/>
      <c r="L298" s="330"/>
      <c r="M298" s="330"/>
      <c r="N298" s="330"/>
      <c r="O298" s="329"/>
      <c r="P298" s="329"/>
      <c r="Q298" s="101">
        <f t="shared" si="17"/>
        <v>0</v>
      </c>
      <c r="R298" s="343"/>
    </row>
    <row r="299" spans="1:18" ht="21.75" customHeight="1" hidden="1">
      <c r="A299" s="346"/>
      <c r="B299" s="346"/>
      <c r="C299" s="144" t="s">
        <v>362</v>
      </c>
      <c r="D299" s="351" t="s">
        <v>50</v>
      </c>
      <c r="E299" s="147"/>
      <c r="F299" s="600">
        <v>154112</v>
      </c>
      <c r="G299" s="25"/>
      <c r="H299" s="245"/>
      <c r="I299" s="25"/>
      <c r="J299" s="25"/>
      <c r="K299" s="25"/>
      <c r="L299" s="25"/>
      <c r="M299" s="25"/>
      <c r="N299" s="25"/>
      <c r="O299" s="25"/>
      <c r="P299" s="25"/>
      <c r="Q299" s="24">
        <f t="shared" si="17"/>
        <v>0</v>
      </c>
      <c r="R299" s="343"/>
    </row>
    <row r="300" spans="1:18" ht="12.75" customHeight="1" hidden="1">
      <c r="A300" s="346"/>
      <c r="B300" s="346"/>
      <c r="C300" s="144" t="s">
        <v>694</v>
      </c>
      <c r="D300" s="347" t="s">
        <v>350</v>
      </c>
      <c r="E300" s="147"/>
      <c r="F300" s="600">
        <v>151115</v>
      </c>
      <c r="G300" s="25"/>
      <c r="H300" s="245"/>
      <c r="I300" s="25"/>
      <c r="J300" s="25"/>
      <c r="K300" s="25"/>
      <c r="L300" s="25"/>
      <c r="M300" s="25"/>
      <c r="N300" s="25"/>
      <c r="O300" s="25"/>
      <c r="P300" s="25"/>
      <c r="Q300" s="24">
        <f t="shared" si="17"/>
        <v>0</v>
      </c>
      <c r="R300" s="343"/>
    </row>
    <row r="301" spans="1:18" ht="22.5" customHeight="1" hidden="1">
      <c r="A301" s="346"/>
      <c r="B301" s="346"/>
      <c r="C301" s="144" t="s">
        <v>436</v>
      </c>
      <c r="D301" s="347" t="s">
        <v>351</v>
      </c>
      <c r="E301" s="147"/>
      <c r="F301" s="600">
        <v>154113</v>
      </c>
      <c r="G301" s="25"/>
      <c r="H301" s="245"/>
      <c r="I301" s="25"/>
      <c r="J301" s="25"/>
      <c r="K301" s="25"/>
      <c r="L301" s="25"/>
      <c r="M301" s="25"/>
      <c r="N301" s="25"/>
      <c r="O301" s="25"/>
      <c r="P301" s="25"/>
      <c r="Q301" s="24">
        <f t="shared" si="17"/>
        <v>0</v>
      </c>
      <c r="R301" s="343"/>
    </row>
    <row r="302" spans="1:18" ht="24" customHeight="1" hidden="1">
      <c r="A302" s="346"/>
      <c r="B302" s="346"/>
      <c r="C302" s="144" t="s">
        <v>427</v>
      </c>
      <c r="D302" s="352" t="s">
        <v>730</v>
      </c>
      <c r="E302" s="147"/>
      <c r="F302" s="600">
        <v>151116</v>
      </c>
      <c r="G302" s="329"/>
      <c r="H302" s="329"/>
      <c r="I302" s="329"/>
      <c r="J302" s="329"/>
      <c r="K302" s="329"/>
      <c r="L302" s="330"/>
      <c r="M302" s="330"/>
      <c r="N302" s="330"/>
      <c r="O302" s="329"/>
      <c r="P302" s="329"/>
      <c r="Q302" s="101">
        <f t="shared" si="17"/>
        <v>0</v>
      </c>
      <c r="R302" s="343"/>
    </row>
    <row r="303" spans="1:18" ht="12.75" customHeight="1" hidden="1">
      <c r="A303" s="346"/>
      <c r="B303" s="346"/>
      <c r="C303" s="144"/>
      <c r="D303" s="353" t="s">
        <v>286</v>
      </c>
      <c r="E303" s="147"/>
      <c r="F303" s="600"/>
      <c r="G303" s="329"/>
      <c r="H303" s="329"/>
      <c r="I303" s="329"/>
      <c r="J303" s="329"/>
      <c r="K303" s="329"/>
      <c r="L303" s="330"/>
      <c r="M303" s="330"/>
      <c r="N303" s="330"/>
      <c r="O303" s="329"/>
      <c r="P303" s="329"/>
      <c r="Q303" s="101"/>
      <c r="R303" s="343"/>
    </row>
    <row r="304" spans="1:18" ht="15.75" customHeight="1" hidden="1">
      <c r="A304" s="346"/>
      <c r="B304" s="346"/>
      <c r="C304" s="144" t="s">
        <v>520</v>
      </c>
      <c r="D304" s="244" t="s">
        <v>4</v>
      </c>
      <c r="E304" s="147"/>
      <c r="F304" s="600">
        <v>152120</v>
      </c>
      <c r="G304" s="329"/>
      <c r="H304" s="329"/>
      <c r="I304" s="329"/>
      <c r="J304" s="329"/>
      <c r="K304" s="329"/>
      <c r="L304" s="330"/>
      <c r="M304" s="330"/>
      <c r="N304" s="330"/>
      <c r="O304" s="329"/>
      <c r="P304" s="329"/>
      <c r="Q304" s="101">
        <f aca="true" t="shared" si="18" ref="Q304:Q317">SUM(G304:P304)</f>
        <v>0</v>
      </c>
      <c r="R304" s="343"/>
    </row>
    <row r="305" spans="1:18" ht="15" customHeight="1" hidden="1">
      <c r="A305" s="346"/>
      <c r="B305" s="346"/>
      <c r="C305" s="144" t="s">
        <v>521</v>
      </c>
      <c r="D305" s="244" t="s">
        <v>412</v>
      </c>
      <c r="E305" s="147"/>
      <c r="F305" s="600">
        <v>152121</v>
      </c>
      <c r="G305" s="329"/>
      <c r="H305" s="329"/>
      <c r="I305" s="329"/>
      <c r="J305" s="329"/>
      <c r="K305" s="329"/>
      <c r="L305" s="330"/>
      <c r="M305" s="330"/>
      <c r="N305" s="330"/>
      <c r="O305" s="329"/>
      <c r="P305" s="329"/>
      <c r="Q305" s="101">
        <f t="shared" si="18"/>
        <v>0</v>
      </c>
      <c r="R305" s="343"/>
    </row>
    <row r="306" spans="1:18" ht="25.5" customHeight="1" hidden="1">
      <c r="A306" s="346"/>
      <c r="B306" s="346"/>
      <c r="C306" s="144" t="s">
        <v>522</v>
      </c>
      <c r="D306" s="354" t="s">
        <v>696</v>
      </c>
      <c r="E306" s="147"/>
      <c r="F306" s="600">
        <v>152105</v>
      </c>
      <c r="G306" s="329"/>
      <c r="H306" s="329"/>
      <c r="I306" s="329"/>
      <c r="J306" s="329"/>
      <c r="K306" s="329"/>
      <c r="L306" s="330"/>
      <c r="M306" s="330"/>
      <c r="N306" s="330"/>
      <c r="O306" s="329"/>
      <c r="P306" s="329"/>
      <c r="Q306" s="101">
        <f t="shared" si="18"/>
        <v>0</v>
      </c>
      <c r="R306" s="343"/>
    </row>
    <row r="307" spans="1:18" ht="16.5" customHeight="1" hidden="1">
      <c r="A307" s="346"/>
      <c r="B307" s="346"/>
      <c r="C307" s="144" t="s">
        <v>448</v>
      </c>
      <c r="D307" s="355" t="s">
        <v>457</v>
      </c>
      <c r="E307" s="147"/>
      <c r="F307" s="600">
        <v>154108</v>
      </c>
      <c r="G307" s="329"/>
      <c r="H307" s="329"/>
      <c r="I307" s="329"/>
      <c r="J307" s="329"/>
      <c r="K307" s="329"/>
      <c r="L307" s="330"/>
      <c r="M307" s="330"/>
      <c r="N307" s="330"/>
      <c r="O307" s="329"/>
      <c r="P307" s="329"/>
      <c r="Q307" s="101">
        <f t="shared" si="18"/>
        <v>0</v>
      </c>
      <c r="R307" s="343"/>
    </row>
    <row r="308" spans="1:18" ht="16.5" customHeight="1" hidden="1">
      <c r="A308" s="346"/>
      <c r="B308" s="346"/>
      <c r="C308" s="144" t="s">
        <v>449</v>
      </c>
      <c r="D308" s="356" t="s">
        <v>456</v>
      </c>
      <c r="E308" s="147"/>
      <c r="F308" s="600">
        <v>154107</v>
      </c>
      <c r="G308" s="329"/>
      <c r="H308" s="329"/>
      <c r="I308" s="329"/>
      <c r="J308" s="329"/>
      <c r="K308" s="329"/>
      <c r="L308" s="330"/>
      <c r="M308" s="330"/>
      <c r="N308" s="330"/>
      <c r="O308" s="329"/>
      <c r="P308" s="329"/>
      <c r="Q308" s="101">
        <f t="shared" si="18"/>
        <v>0</v>
      </c>
      <c r="R308" s="343"/>
    </row>
    <row r="309" spans="1:18" ht="27" customHeight="1" hidden="1">
      <c r="A309" s="346"/>
      <c r="B309" s="346"/>
      <c r="C309" s="144" t="s">
        <v>731</v>
      </c>
      <c r="D309" s="113" t="s">
        <v>735</v>
      </c>
      <c r="E309" s="147"/>
      <c r="F309" s="600">
        <v>152108</v>
      </c>
      <c r="G309" s="25"/>
      <c r="H309" s="245"/>
      <c r="I309" s="25"/>
      <c r="J309" s="25"/>
      <c r="K309" s="25"/>
      <c r="L309" s="25"/>
      <c r="M309" s="25"/>
      <c r="N309" s="25"/>
      <c r="O309" s="25"/>
      <c r="P309" s="25"/>
      <c r="Q309" s="24">
        <f t="shared" si="18"/>
        <v>0</v>
      </c>
      <c r="R309" s="343"/>
    </row>
    <row r="310" spans="1:18" ht="37.5" customHeight="1" hidden="1">
      <c r="A310" s="346"/>
      <c r="B310" s="346"/>
      <c r="C310" s="144" t="s">
        <v>736</v>
      </c>
      <c r="D310" s="158" t="s">
        <v>737</v>
      </c>
      <c r="E310" s="147"/>
      <c r="F310" s="600">
        <v>152117</v>
      </c>
      <c r="G310" s="329"/>
      <c r="H310" s="329"/>
      <c r="I310" s="329"/>
      <c r="J310" s="329"/>
      <c r="K310" s="329"/>
      <c r="L310" s="330"/>
      <c r="M310" s="330"/>
      <c r="N310" s="330"/>
      <c r="O310" s="329"/>
      <c r="P310" s="329"/>
      <c r="Q310" s="101">
        <f t="shared" si="18"/>
        <v>0</v>
      </c>
      <c r="R310" s="343"/>
    </row>
    <row r="311" spans="1:18" ht="36" customHeight="1" hidden="1">
      <c r="A311" s="346"/>
      <c r="B311" s="346"/>
      <c r="C311" s="144" t="s">
        <v>738</v>
      </c>
      <c r="D311" s="158" t="s">
        <v>739</v>
      </c>
      <c r="E311" s="147"/>
      <c r="F311" s="600">
        <v>152117</v>
      </c>
      <c r="G311" s="329"/>
      <c r="H311" s="329"/>
      <c r="I311" s="329"/>
      <c r="J311" s="329"/>
      <c r="K311" s="329"/>
      <c r="L311" s="330"/>
      <c r="M311" s="330"/>
      <c r="N311" s="330"/>
      <c r="O311" s="329"/>
      <c r="P311" s="329"/>
      <c r="Q311" s="101">
        <f t="shared" si="18"/>
        <v>0</v>
      </c>
      <c r="R311" s="343"/>
    </row>
    <row r="312" spans="1:18" ht="12.75" customHeight="1" hidden="1">
      <c r="A312" s="346"/>
      <c r="B312" s="346"/>
      <c r="C312" s="346">
        <v>2</v>
      </c>
      <c r="D312" s="357" t="s">
        <v>740</v>
      </c>
      <c r="E312" s="147"/>
      <c r="F312" s="600"/>
      <c r="G312" s="329"/>
      <c r="H312" s="329"/>
      <c r="I312" s="329"/>
      <c r="J312" s="329"/>
      <c r="K312" s="329"/>
      <c r="L312" s="330"/>
      <c r="M312" s="330"/>
      <c r="N312" s="330"/>
      <c r="O312" s="329"/>
      <c r="P312" s="329"/>
      <c r="Q312" s="101">
        <f t="shared" si="18"/>
        <v>0</v>
      </c>
      <c r="R312" s="343"/>
    </row>
    <row r="313" spans="1:18" ht="12.75" customHeight="1" hidden="1">
      <c r="A313" s="346"/>
      <c r="B313" s="346"/>
      <c r="C313" s="144" t="s">
        <v>596</v>
      </c>
      <c r="D313" s="347" t="s">
        <v>474</v>
      </c>
      <c r="E313" s="147"/>
      <c r="F313" s="600">
        <v>152201</v>
      </c>
      <c r="G313" s="329"/>
      <c r="H313" s="329"/>
      <c r="I313" s="329"/>
      <c r="J313" s="329"/>
      <c r="K313" s="329"/>
      <c r="L313" s="330"/>
      <c r="M313" s="330"/>
      <c r="N313" s="330"/>
      <c r="O313" s="329"/>
      <c r="P313" s="329"/>
      <c r="Q313" s="101">
        <f t="shared" si="18"/>
        <v>0</v>
      </c>
      <c r="R313" s="343"/>
    </row>
    <row r="314" spans="1:18" ht="12.75" customHeight="1" hidden="1">
      <c r="A314" s="346"/>
      <c r="B314" s="346"/>
      <c r="C314" s="144" t="s">
        <v>473</v>
      </c>
      <c r="D314" s="347" t="s">
        <v>741</v>
      </c>
      <c r="E314" s="147"/>
      <c r="F314" s="600">
        <v>152205</v>
      </c>
      <c r="G314" s="329"/>
      <c r="H314" s="329"/>
      <c r="I314" s="329"/>
      <c r="J314" s="329"/>
      <c r="K314" s="329"/>
      <c r="L314" s="330"/>
      <c r="M314" s="330"/>
      <c r="N314" s="330"/>
      <c r="O314" s="329"/>
      <c r="P314" s="329"/>
      <c r="Q314" s="101">
        <f t="shared" si="18"/>
        <v>0</v>
      </c>
      <c r="R314" s="343"/>
    </row>
    <row r="315" spans="1:18" ht="12.75" customHeight="1" hidden="1">
      <c r="A315" s="346"/>
      <c r="B315" s="346"/>
      <c r="C315" s="346"/>
      <c r="D315" s="353" t="s">
        <v>286</v>
      </c>
      <c r="E315" s="147"/>
      <c r="F315" s="600"/>
      <c r="G315" s="329"/>
      <c r="H315" s="329"/>
      <c r="I315" s="329"/>
      <c r="J315" s="329"/>
      <c r="K315" s="329"/>
      <c r="L315" s="330"/>
      <c r="M315" s="330"/>
      <c r="N315" s="330"/>
      <c r="O315" s="329"/>
      <c r="P315" s="329"/>
      <c r="Q315" s="101">
        <f t="shared" si="18"/>
        <v>0</v>
      </c>
      <c r="R315" s="343"/>
    </row>
    <row r="316" spans="1:18" ht="25.5" customHeight="1" hidden="1">
      <c r="A316" s="346"/>
      <c r="B316" s="346"/>
      <c r="C316" s="144" t="s">
        <v>742</v>
      </c>
      <c r="D316" s="158" t="s">
        <v>743</v>
      </c>
      <c r="E316" s="147"/>
      <c r="F316" s="600">
        <v>152203</v>
      </c>
      <c r="G316" s="329"/>
      <c r="H316" s="329"/>
      <c r="I316" s="329"/>
      <c r="J316" s="329"/>
      <c r="K316" s="329"/>
      <c r="L316" s="330"/>
      <c r="M316" s="330"/>
      <c r="N316" s="330"/>
      <c r="O316" s="329"/>
      <c r="P316" s="329"/>
      <c r="Q316" s="101">
        <f t="shared" si="18"/>
        <v>0</v>
      </c>
      <c r="R316" s="343"/>
    </row>
    <row r="317" spans="1:18" ht="23.25" customHeight="1" hidden="1">
      <c r="A317" s="346"/>
      <c r="B317" s="346"/>
      <c r="C317" s="144" t="s">
        <v>744</v>
      </c>
      <c r="D317" s="158" t="s">
        <v>650</v>
      </c>
      <c r="E317" s="147"/>
      <c r="F317" s="600">
        <v>152204</v>
      </c>
      <c r="G317" s="329"/>
      <c r="H317" s="329"/>
      <c r="I317" s="329"/>
      <c r="J317" s="329"/>
      <c r="K317" s="329"/>
      <c r="L317" s="330"/>
      <c r="M317" s="330"/>
      <c r="N317" s="330"/>
      <c r="O317" s="329"/>
      <c r="P317" s="329"/>
      <c r="Q317" s="101">
        <f t="shared" si="18"/>
        <v>0</v>
      </c>
      <c r="R317" s="343"/>
    </row>
    <row r="318" spans="1:18" ht="12.75" customHeight="1" hidden="1">
      <c r="A318" s="346"/>
      <c r="B318" s="346"/>
      <c r="C318" s="346" t="s">
        <v>597</v>
      </c>
      <c r="D318" s="358" t="s">
        <v>745</v>
      </c>
      <c r="E318" s="147"/>
      <c r="F318" s="600"/>
      <c r="G318" s="329"/>
      <c r="H318" s="329"/>
      <c r="I318" s="329"/>
      <c r="J318" s="329"/>
      <c r="K318" s="329"/>
      <c r="L318" s="330"/>
      <c r="M318" s="330"/>
      <c r="N318" s="330"/>
      <c r="O318" s="329"/>
      <c r="P318" s="329"/>
      <c r="Q318" s="101"/>
      <c r="R318" s="343"/>
    </row>
    <row r="319" spans="1:18" ht="12.75" customHeight="1" hidden="1">
      <c r="A319" s="346"/>
      <c r="B319" s="346"/>
      <c r="C319" s="144" t="s">
        <v>601</v>
      </c>
      <c r="D319" s="359" t="s">
        <v>746</v>
      </c>
      <c r="E319" s="147"/>
      <c r="F319" s="600">
        <v>152316</v>
      </c>
      <c r="G319" s="329"/>
      <c r="H319" s="329"/>
      <c r="I319" s="329"/>
      <c r="J319" s="329"/>
      <c r="K319" s="329"/>
      <c r="L319" s="330"/>
      <c r="M319" s="330"/>
      <c r="N319" s="330"/>
      <c r="O319" s="329"/>
      <c r="P319" s="329"/>
      <c r="Q319" s="101">
        <f aca="true" t="shared" si="19" ref="Q319:Q325">SUM(G319:P319)</f>
        <v>0</v>
      </c>
      <c r="R319" s="343"/>
    </row>
    <row r="320" spans="1:18" ht="12.75" customHeight="1" hidden="1">
      <c r="A320" s="346"/>
      <c r="B320" s="346"/>
      <c r="C320" s="144" t="s">
        <v>602</v>
      </c>
      <c r="D320" s="359" t="s">
        <v>747</v>
      </c>
      <c r="E320" s="147"/>
      <c r="F320" s="600">
        <v>152320</v>
      </c>
      <c r="G320" s="329"/>
      <c r="H320" s="329"/>
      <c r="I320" s="329"/>
      <c r="J320" s="329"/>
      <c r="K320" s="329"/>
      <c r="L320" s="330"/>
      <c r="M320" s="330"/>
      <c r="N320" s="330"/>
      <c r="O320" s="329"/>
      <c r="P320" s="329"/>
      <c r="Q320" s="101">
        <f t="shared" si="19"/>
        <v>0</v>
      </c>
      <c r="R320" s="343"/>
    </row>
    <row r="321" spans="1:18" ht="12.75" customHeight="1" hidden="1">
      <c r="A321" s="346"/>
      <c r="B321" s="346"/>
      <c r="C321" s="144" t="s">
        <v>624</v>
      </c>
      <c r="D321" s="360" t="s">
        <v>748</v>
      </c>
      <c r="E321" s="147"/>
      <c r="F321" s="600">
        <v>152321</v>
      </c>
      <c r="G321" s="329"/>
      <c r="H321" s="329"/>
      <c r="I321" s="329"/>
      <c r="J321" s="329"/>
      <c r="K321" s="329"/>
      <c r="L321" s="330"/>
      <c r="M321" s="330"/>
      <c r="N321" s="330"/>
      <c r="O321" s="329"/>
      <c r="P321" s="329"/>
      <c r="Q321" s="101">
        <f t="shared" si="19"/>
        <v>0</v>
      </c>
      <c r="R321" s="343"/>
    </row>
    <row r="322" spans="1:18" ht="12.75" customHeight="1" hidden="1">
      <c r="A322" s="346"/>
      <c r="B322" s="346"/>
      <c r="C322" s="144" t="s">
        <v>481</v>
      </c>
      <c r="D322" s="361" t="s">
        <v>749</v>
      </c>
      <c r="E322" s="147"/>
      <c r="F322" s="600">
        <v>152322</v>
      </c>
      <c r="G322" s="329"/>
      <c r="H322" s="329"/>
      <c r="I322" s="329"/>
      <c r="J322" s="329"/>
      <c r="K322" s="329"/>
      <c r="L322" s="330"/>
      <c r="M322" s="330"/>
      <c r="N322" s="330"/>
      <c r="O322" s="329"/>
      <c r="P322" s="329"/>
      <c r="Q322" s="101">
        <f t="shared" si="19"/>
        <v>0</v>
      </c>
      <c r="R322" s="343"/>
    </row>
    <row r="323" spans="1:18" ht="12.75" customHeight="1" hidden="1">
      <c r="A323" s="346"/>
      <c r="B323" s="346"/>
      <c r="C323" s="144" t="s">
        <v>385</v>
      </c>
      <c r="D323" s="362" t="s">
        <v>750</v>
      </c>
      <c r="E323" s="147"/>
      <c r="F323" s="600">
        <v>152323</v>
      </c>
      <c r="G323" s="329"/>
      <c r="H323" s="329"/>
      <c r="I323" s="329"/>
      <c r="J323" s="329"/>
      <c r="K323" s="329"/>
      <c r="L323" s="330"/>
      <c r="M323" s="330"/>
      <c r="N323" s="330"/>
      <c r="O323" s="329"/>
      <c r="P323" s="329"/>
      <c r="Q323" s="101">
        <f t="shared" si="19"/>
        <v>0</v>
      </c>
      <c r="R323" s="343"/>
    </row>
    <row r="324" spans="1:18" ht="12.75" customHeight="1" hidden="1">
      <c r="A324" s="346"/>
      <c r="B324" s="346"/>
      <c r="C324" s="144" t="s">
        <v>386</v>
      </c>
      <c r="D324" s="362" t="s">
        <v>751</v>
      </c>
      <c r="E324" s="147"/>
      <c r="F324" s="600">
        <v>152319</v>
      </c>
      <c r="G324" s="329"/>
      <c r="H324" s="329"/>
      <c r="I324" s="329"/>
      <c r="J324" s="329"/>
      <c r="K324" s="329"/>
      <c r="L324" s="330"/>
      <c r="M324" s="330"/>
      <c r="N324" s="330"/>
      <c r="O324" s="329"/>
      <c r="P324" s="329"/>
      <c r="Q324" s="101">
        <f t="shared" si="19"/>
        <v>0</v>
      </c>
      <c r="R324" s="343"/>
    </row>
    <row r="325" spans="1:18" ht="12.75" customHeight="1" hidden="1">
      <c r="A325" s="346"/>
      <c r="B325" s="346"/>
      <c r="C325" s="144" t="s">
        <v>387</v>
      </c>
      <c r="D325" s="362" t="s">
        <v>752</v>
      </c>
      <c r="E325" s="147"/>
      <c r="F325" s="600">
        <v>152324</v>
      </c>
      <c r="G325" s="329"/>
      <c r="H325" s="329"/>
      <c r="I325" s="329"/>
      <c r="J325" s="329"/>
      <c r="K325" s="329"/>
      <c r="L325" s="330"/>
      <c r="M325" s="330"/>
      <c r="N325" s="330"/>
      <c r="O325" s="329"/>
      <c r="P325" s="329"/>
      <c r="Q325" s="101">
        <f t="shared" si="19"/>
        <v>0</v>
      </c>
      <c r="R325" s="343"/>
    </row>
    <row r="326" spans="1:18" ht="12.75" customHeight="1" hidden="1">
      <c r="A326" s="346"/>
      <c r="B326" s="346"/>
      <c r="C326" s="346"/>
      <c r="D326" s="353" t="s">
        <v>286</v>
      </c>
      <c r="E326" s="147"/>
      <c r="F326" s="600"/>
      <c r="G326" s="329"/>
      <c r="H326" s="329"/>
      <c r="I326" s="329"/>
      <c r="J326" s="329"/>
      <c r="K326" s="329"/>
      <c r="L326" s="330"/>
      <c r="M326" s="330"/>
      <c r="N326" s="330"/>
      <c r="O326" s="329"/>
      <c r="P326" s="329"/>
      <c r="Q326" s="101"/>
      <c r="R326" s="343"/>
    </row>
    <row r="327" spans="1:18" ht="12.75" customHeight="1" hidden="1">
      <c r="A327" s="346"/>
      <c r="B327" s="346"/>
      <c r="C327" s="144" t="s">
        <v>698</v>
      </c>
      <c r="D327" s="244" t="s">
        <v>697</v>
      </c>
      <c r="E327" s="147"/>
      <c r="F327" s="600">
        <v>152315</v>
      </c>
      <c r="G327" s="329"/>
      <c r="H327" s="329"/>
      <c r="I327" s="329"/>
      <c r="J327" s="329"/>
      <c r="K327" s="329"/>
      <c r="L327" s="330"/>
      <c r="M327" s="330"/>
      <c r="N327" s="330"/>
      <c r="O327" s="329"/>
      <c r="P327" s="329"/>
      <c r="Q327" s="101">
        <f>SUM(G327:P327)</f>
        <v>0</v>
      </c>
      <c r="R327" s="343"/>
    </row>
    <row r="328" spans="1:18" ht="12.75" customHeight="1">
      <c r="A328" s="346"/>
      <c r="B328" s="346"/>
      <c r="C328" s="346" t="s">
        <v>598</v>
      </c>
      <c r="D328" s="107" t="s">
        <v>753</v>
      </c>
      <c r="E328" s="147"/>
      <c r="F328" s="600"/>
      <c r="G328" s="329"/>
      <c r="H328" s="329"/>
      <c r="I328" s="329"/>
      <c r="J328" s="329"/>
      <c r="K328" s="329"/>
      <c r="L328" s="330"/>
      <c r="M328" s="330"/>
      <c r="N328" s="330"/>
      <c r="O328" s="329"/>
      <c r="P328" s="329"/>
      <c r="Q328" s="101"/>
      <c r="R328" s="343"/>
    </row>
    <row r="329" spans="1:18" ht="12.75" customHeight="1" hidden="1">
      <c r="A329" s="346"/>
      <c r="B329" s="346"/>
      <c r="C329" s="144" t="s">
        <v>604</v>
      </c>
      <c r="D329" s="352" t="s">
        <v>754</v>
      </c>
      <c r="E329" s="147"/>
      <c r="F329" s="600">
        <v>152443</v>
      </c>
      <c r="G329" s="329"/>
      <c r="H329" s="329"/>
      <c r="I329" s="329"/>
      <c r="J329" s="329"/>
      <c r="K329" s="329"/>
      <c r="L329" s="330"/>
      <c r="M329" s="330"/>
      <c r="N329" s="330"/>
      <c r="O329" s="329"/>
      <c r="P329" s="329"/>
      <c r="Q329" s="101">
        <f aca="true" t="shared" si="20" ref="Q329:Q369">SUM(G329:P329)</f>
        <v>0</v>
      </c>
      <c r="R329" s="343"/>
    </row>
    <row r="330" spans="1:18" ht="12.75" customHeight="1" hidden="1">
      <c r="A330" s="346"/>
      <c r="B330" s="346"/>
      <c r="C330" s="144" t="s">
        <v>605</v>
      </c>
      <c r="D330" s="363" t="s">
        <v>755</v>
      </c>
      <c r="E330" s="147"/>
      <c r="F330" s="600">
        <v>152444</v>
      </c>
      <c r="G330" s="329"/>
      <c r="H330" s="329"/>
      <c r="I330" s="329"/>
      <c r="J330" s="329"/>
      <c r="K330" s="329"/>
      <c r="L330" s="330"/>
      <c r="M330" s="330"/>
      <c r="N330" s="330"/>
      <c r="O330" s="329"/>
      <c r="P330" s="329"/>
      <c r="Q330" s="101">
        <f t="shared" si="20"/>
        <v>0</v>
      </c>
      <c r="R330" s="343"/>
    </row>
    <row r="331" spans="1:18" ht="12.75" customHeight="1" hidden="1">
      <c r="A331" s="346"/>
      <c r="B331" s="346"/>
      <c r="C331" s="144" t="s">
        <v>606</v>
      </c>
      <c r="D331" s="364" t="s">
        <v>756</v>
      </c>
      <c r="E331" s="147"/>
      <c r="F331" s="600">
        <v>152445</v>
      </c>
      <c r="G331" s="329"/>
      <c r="H331" s="329"/>
      <c r="I331" s="329"/>
      <c r="J331" s="329"/>
      <c r="K331" s="329"/>
      <c r="L331" s="330"/>
      <c r="M331" s="330"/>
      <c r="N331" s="330"/>
      <c r="O331" s="329"/>
      <c r="P331" s="329"/>
      <c r="Q331" s="101">
        <f t="shared" si="20"/>
        <v>0</v>
      </c>
      <c r="R331" s="343"/>
    </row>
    <row r="332" spans="1:18" ht="12.75" customHeight="1" hidden="1">
      <c r="A332" s="346"/>
      <c r="B332" s="346"/>
      <c r="C332" s="144" t="s">
        <v>607</v>
      </c>
      <c r="D332" s="244" t="s">
        <v>757</v>
      </c>
      <c r="E332" s="147"/>
      <c r="F332" s="600">
        <v>152446</v>
      </c>
      <c r="G332" s="329"/>
      <c r="H332" s="329"/>
      <c r="I332" s="329"/>
      <c r="J332" s="329"/>
      <c r="K332" s="329"/>
      <c r="L332" s="330"/>
      <c r="M332" s="330"/>
      <c r="N332" s="330"/>
      <c r="O332" s="329"/>
      <c r="P332" s="329"/>
      <c r="Q332" s="101">
        <f t="shared" si="20"/>
        <v>0</v>
      </c>
      <c r="R332" s="343"/>
    </row>
    <row r="333" spans="1:18" ht="12.75" customHeight="1" hidden="1">
      <c r="A333" s="346"/>
      <c r="B333" s="346"/>
      <c r="C333" s="144" t="s">
        <v>608</v>
      </c>
      <c r="D333" s="365" t="s">
        <v>758</v>
      </c>
      <c r="E333" s="147"/>
      <c r="F333" s="600">
        <v>154401</v>
      </c>
      <c r="G333" s="329"/>
      <c r="H333" s="329"/>
      <c r="I333" s="329"/>
      <c r="J333" s="329"/>
      <c r="K333" s="329"/>
      <c r="L333" s="330"/>
      <c r="M333" s="330"/>
      <c r="N333" s="330"/>
      <c r="O333" s="329"/>
      <c r="P333" s="329"/>
      <c r="Q333" s="101">
        <f t="shared" si="20"/>
        <v>0</v>
      </c>
      <c r="R333" s="343"/>
    </row>
    <row r="334" spans="1:18" ht="12.75" customHeight="1" hidden="1">
      <c r="A334" s="346"/>
      <c r="B334" s="346"/>
      <c r="C334" s="144" t="s">
        <v>609</v>
      </c>
      <c r="D334" s="366" t="s">
        <v>759</v>
      </c>
      <c r="E334" s="147"/>
      <c r="F334" s="600">
        <v>154402</v>
      </c>
      <c r="G334" s="329"/>
      <c r="H334" s="329"/>
      <c r="I334" s="329"/>
      <c r="J334" s="329"/>
      <c r="K334" s="329"/>
      <c r="L334" s="330"/>
      <c r="M334" s="330"/>
      <c r="N334" s="330"/>
      <c r="O334" s="329"/>
      <c r="P334" s="329"/>
      <c r="Q334" s="101">
        <f t="shared" si="20"/>
        <v>0</v>
      </c>
      <c r="R334" s="343"/>
    </row>
    <row r="335" spans="1:18" ht="12.75" customHeight="1" hidden="1">
      <c r="A335" s="346"/>
      <c r="B335" s="346"/>
      <c r="C335" s="144" t="s">
        <v>610</v>
      </c>
      <c r="D335" s="367" t="s">
        <v>760</v>
      </c>
      <c r="E335" s="147"/>
      <c r="F335" s="600">
        <v>154403</v>
      </c>
      <c r="G335" s="329"/>
      <c r="H335" s="329"/>
      <c r="I335" s="329"/>
      <c r="J335" s="329"/>
      <c r="K335" s="329"/>
      <c r="L335" s="330"/>
      <c r="M335" s="330"/>
      <c r="N335" s="330"/>
      <c r="O335" s="329"/>
      <c r="P335" s="329"/>
      <c r="Q335" s="101">
        <f t="shared" si="20"/>
        <v>0</v>
      </c>
      <c r="R335" s="343"/>
    </row>
    <row r="336" spans="1:18" ht="12.75" customHeight="1" hidden="1">
      <c r="A336" s="346"/>
      <c r="B336" s="346"/>
      <c r="C336" s="144" t="s">
        <v>612</v>
      </c>
      <c r="D336" s="366" t="s">
        <v>761</v>
      </c>
      <c r="E336" s="147"/>
      <c r="F336" s="600">
        <v>154404</v>
      </c>
      <c r="G336" s="329"/>
      <c r="H336" s="329"/>
      <c r="I336" s="329"/>
      <c r="J336" s="329"/>
      <c r="K336" s="329"/>
      <c r="L336" s="330"/>
      <c r="M336" s="330"/>
      <c r="N336" s="330"/>
      <c r="O336" s="329"/>
      <c r="P336" s="329"/>
      <c r="Q336" s="101">
        <f t="shared" si="20"/>
        <v>0</v>
      </c>
      <c r="R336" s="343"/>
    </row>
    <row r="337" spans="1:18" ht="12.75" customHeight="1">
      <c r="A337" s="346"/>
      <c r="B337" s="346"/>
      <c r="C337" s="144" t="s">
        <v>613</v>
      </c>
      <c r="D337" s="366" t="s">
        <v>762</v>
      </c>
      <c r="E337" s="147"/>
      <c r="F337" s="600">
        <v>154405</v>
      </c>
      <c r="G337" s="329"/>
      <c r="H337" s="329"/>
      <c r="I337" s="329"/>
      <c r="J337" s="329"/>
      <c r="K337" s="329"/>
      <c r="L337" s="330"/>
      <c r="M337" s="330">
        <v>-800</v>
      </c>
      <c r="N337" s="330"/>
      <c r="O337" s="329"/>
      <c r="P337" s="329"/>
      <c r="Q337" s="101">
        <f t="shared" si="20"/>
        <v>-800</v>
      </c>
      <c r="R337" s="343" t="s">
        <v>733</v>
      </c>
    </row>
    <row r="338" spans="1:18" ht="12.75" customHeight="1" hidden="1">
      <c r="A338" s="346"/>
      <c r="B338" s="346"/>
      <c r="C338" s="144" t="s">
        <v>614</v>
      </c>
      <c r="D338" s="366" t="s">
        <v>763</v>
      </c>
      <c r="E338" s="147"/>
      <c r="F338" s="600">
        <v>154406</v>
      </c>
      <c r="G338" s="329"/>
      <c r="H338" s="329"/>
      <c r="I338" s="329"/>
      <c r="J338" s="329"/>
      <c r="K338" s="329"/>
      <c r="L338" s="330"/>
      <c r="M338" s="330"/>
      <c r="N338" s="330"/>
      <c r="O338" s="329"/>
      <c r="P338" s="329"/>
      <c r="Q338" s="101">
        <f t="shared" si="20"/>
        <v>0</v>
      </c>
      <c r="R338" s="343"/>
    </row>
    <row r="339" spans="1:18" ht="21" customHeight="1">
      <c r="A339" s="346"/>
      <c r="B339" s="346"/>
      <c r="C339" s="144" t="s">
        <v>615</v>
      </c>
      <c r="D339" s="366" t="s">
        <v>764</v>
      </c>
      <c r="E339" s="147"/>
      <c r="F339" s="600">
        <v>154407</v>
      </c>
      <c r="G339" s="329"/>
      <c r="H339" s="329"/>
      <c r="I339" s="329"/>
      <c r="J339" s="329"/>
      <c r="K339" s="329"/>
      <c r="L339" s="330"/>
      <c r="M339" s="330">
        <v>500</v>
      </c>
      <c r="N339" s="330"/>
      <c r="O339" s="329"/>
      <c r="P339" s="329"/>
      <c r="Q339" s="101">
        <f t="shared" si="20"/>
        <v>500</v>
      </c>
      <c r="R339" s="343" t="s">
        <v>733</v>
      </c>
    </row>
    <row r="340" spans="1:18" ht="12.75" customHeight="1" hidden="1">
      <c r="A340" s="346"/>
      <c r="B340" s="346"/>
      <c r="C340" s="144" t="s">
        <v>616</v>
      </c>
      <c r="D340" s="366" t="s">
        <v>765</v>
      </c>
      <c r="E340" s="147"/>
      <c r="F340" s="600">
        <v>154408</v>
      </c>
      <c r="G340" s="329"/>
      <c r="H340" s="329"/>
      <c r="I340" s="329"/>
      <c r="J340" s="329"/>
      <c r="K340" s="329"/>
      <c r="L340" s="330"/>
      <c r="M340" s="330"/>
      <c r="N340" s="330"/>
      <c r="O340" s="329"/>
      <c r="P340" s="329"/>
      <c r="Q340" s="101">
        <f t="shared" si="20"/>
        <v>0</v>
      </c>
      <c r="R340" s="343"/>
    </row>
    <row r="341" spans="1:18" ht="12.75" customHeight="1" hidden="1">
      <c r="A341" s="346"/>
      <c r="B341" s="346"/>
      <c r="C341" s="144" t="s">
        <v>617</v>
      </c>
      <c r="D341" s="366" t="s">
        <v>766</v>
      </c>
      <c r="E341" s="147"/>
      <c r="F341" s="600">
        <v>154409</v>
      </c>
      <c r="G341" s="329"/>
      <c r="H341" s="329"/>
      <c r="I341" s="329"/>
      <c r="J341" s="329"/>
      <c r="K341" s="329"/>
      <c r="L341" s="330"/>
      <c r="M341" s="330"/>
      <c r="N341" s="330"/>
      <c r="O341" s="329"/>
      <c r="P341" s="329"/>
      <c r="Q341" s="101">
        <f t="shared" si="20"/>
        <v>0</v>
      </c>
      <c r="R341" s="343"/>
    </row>
    <row r="342" spans="1:18" ht="12.75" customHeight="1" hidden="1">
      <c r="A342" s="346"/>
      <c r="B342" s="346"/>
      <c r="C342" s="144" t="s">
        <v>618</v>
      </c>
      <c r="D342" s="366" t="s">
        <v>546</v>
      </c>
      <c r="E342" s="147"/>
      <c r="F342" s="600">
        <v>154485</v>
      </c>
      <c r="G342" s="329"/>
      <c r="H342" s="329"/>
      <c r="I342" s="329"/>
      <c r="J342" s="329"/>
      <c r="K342" s="329"/>
      <c r="L342" s="330"/>
      <c r="M342" s="330"/>
      <c r="N342" s="330"/>
      <c r="O342" s="329"/>
      <c r="P342" s="329"/>
      <c r="Q342" s="101">
        <f t="shared" si="20"/>
        <v>0</v>
      </c>
      <c r="R342" s="343"/>
    </row>
    <row r="343" spans="1:18" ht="12.75" customHeight="1" hidden="1">
      <c r="A343" s="346"/>
      <c r="B343" s="346"/>
      <c r="C343" s="144" t="s">
        <v>619</v>
      </c>
      <c r="D343" s="368" t="s">
        <v>53</v>
      </c>
      <c r="E343" s="147"/>
      <c r="F343" s="600">
        <v>154492</v>
      </c>
      <c r="G343" s="329"/>
      <c r="H343" s="329"/>
      <c r="I343" s="329"/>
      <c r="J343" s="329"/>
      <c r="K343" s="329"/>
      <c r="L343" s="330"/>
      <c r="M343" s="330"/>
      <c r="N343" s="330"/>
      <c r="O343" s="329"/>
      <c r="P343" s="329"/>
      <c r="Q343" s="101">
        <f t="shared" si="20"/>
        <v>0</v>
      </c>
      <c r="R343" s="343"/>
    </row>
    <row r="344" spans="1:18" ht="12.75" customHeight="1" hidden="1">
      <c r="A344" s="346"/>
      <c r="B344" s="346"/>
      <c r="C344" s="144" t="s">
        <v>583</v>
      </c>
      <c r="D344" s="369" t="s">
        <v>767</v>
      </c>
      <c r="E344" s="147"/>
      <c r="F344" s="600">
        <v>154410</v>
      </c>
      <c r="G344" s="329"/>
      <c r="H344" s="329"/>
      <c r="I344" s="329"/>
      <c r="J344" s="329"/>
      <c r="K344" s="329"/>
      <c r="L344" s="330"/>
      <c r="M344" s="330"/>
      <c r="N344" s="330"/>
      <c r="O344" s="329"/>
      <c r="P344" s="329"/>
      <c r="Q344" s="101">
        <f t="shared" si="20"/>
        <v>0</v>
      </c>
      <c r="R344" s="343"/>
    </row>
    <row r="345" spans="1:18" ht="12.75" customHeight="1" hidden="1">
      <c r="A345" s="346"/>
      <c r="B345" s="346"/>
      <c r="C345" s="144" t="s">
        <v>584</v>
      </c>
      <c r="D345" s="369" t="s">
        <v>768</v>
      </c>
      <c r="E345" s="147"/>
      <c r="F345" s="600">
        <v>154411</v>
      </c>
      <c r="G345" s="329"/>
      <c r="H345" s="329"/>
      <c r="I345" s="329"/>
      <c r="J345" s="329"/>
      <c r="K345" s="329"/>
      <c r="L345" s="330"/>
      <c r="M345" s="330"/>
      <c r="N345" s="330"/>
      <c r="O345" s="329"/>
      <c r="P345" s="329"/>
      <c r="Q345" s="101">
        <f t="shared" si="20"/>
        <v>0</v>
      </c>
      <c r="R345" s="343"/>
    </row>
    <row r="346" spans="1:18" ht="15.75" customHeight="1" hidden="1">
      <c r="A346" s="346"/>
      <c r="B346" s="346"/>
      <c r="C346" s="144" t="s">
        <v>585</v>
      </c>
      <c r="D346" s="366" t="s">
        <v>769</v>
      </c>
      <c r="E346" s="147"/>
      <c r="F346" s="600">
        <v>154412</v>
      </c>
      <c r="G346" s="329"/>
      <c r="H346" s="329"/>
      <c r="I346" s="329"/>
      <c r="J346" s="329"/>
      <c r="K346" s="329"/>
      <c r="L346" s="330"/>
      <c r="M346" s="330"/>
      <c r="N346" s="330"/>
      <c r="O346" s="329"/>
      <c r="P346" s="329"/>
      <c r="Q346" s="101">
        <f t="shared" si="20"/>
        <v>0</v>
      </c>
      <c r="R346" s="343"/>
    </row>
    <row r="347" spans="1:23" ht="12.75" customHeight="1" hidden="1">
      <c r="A347" s="346"/>
      <c r="B347" s="346"/>
      <c r="C347" s="144" t="s">
        <v>586</v>
      </c>
      <c r="D347" s="370" t="s">
        <v>770</v>
      </c>
      <c r="E347" s="147"/>
      <c r="F347" s="600">
        <v>154413</v>
      </c>
      <c r="G347" s="329"/>
      <c r="H347" s="329"/>
      <c r="I347" s="329"/>
      <c r="J347" s="329"/>
      <c r="K347" s="329"/>
      <c r="L347" s="330"/>
      <c r="M347" s="330"/>
      <c r="N347" s="330"/>
      <c r="O347" s="329"/>
      <c r="P347" s="329"/>
      <c r="Q347" s="101">
        <f t="shared" si="20"/>
        <v>0</v>
      </c>
      <c r="R347" s="343"/>
      <c r="W347" s="330"/>
    </row>
    <row r="348" spans="1:23" ht="12.75" customHeight="1" hidden="1">
      <c r="A348" s="346"/>
      <c r="B348" s="346"/>
      <c r="C348" s="144" t="s">
        <v>587</v>
      </c>
      <c r="D348" s="370" t="s">
        <v>771</v>
      </c>
      <c r="E348" s="147"/>
      <c r="F348" s="600">
        <v>154414</v>
      </c>
      <c r="G348" s="329"/>
      <c r="H348" s="329"/>
      <c r="I348" s="329"/>
      <c r="J348" s="329"/>
      <c r="K348" s="329"/>
      <c r="L348" s="330"/>
      <c r="M348" s="330"/>
      <c r="N348" s="330"/>
      <c r="O348" s="329"/>
      <c r="P348" s="329"/>
      <c r="Q348" s="101">
        <f t="shared" si="20"/>
        <v>0</v>
      </c>
      <c r="R348" s="343"/>
      <c r="W348" s="330"/>
    </row>
    <row r="349" spans="1:23" ht="12.75" customHeight="1" hidden="1">
      <c r="A349" s="346"/>
      <c r="B349" s="346"/>
      <c r="C349" s="144" t="s">
        <v>588</v>
      </c>
      <c r="D349" s="370" t="s">
        <v>772</v>
      </c>
      <c r="E349" s="147"/>
      <c r="F349" s="600">
        <v>154416</v>
      </c>
      <c r="G349" s="329"/>
      <c r="H349" s="329"/>
      <c r="I349" s="329"/>
      <c r="J349" s="329"/>
      <c r="K349" s="329"/>
      <c r="L349" s="330"/>
      <c r="M349" s="330"/>
      <c r="N349" s="330"/>
      <c r="O349" s="329"/>
      <c r="P349" s="329"/>
      <c r="Q349" s="101">
        <f t="shared" si="20"/>
        <v>0</v>
      </c>
      <c r="R349" s="343"/>
      <c r="W349" s="330"/>
    </row>
    <row r="350" spans="1:23" ht="12.75" customHeight="1" hidden="1">
      <c r="A350" s="346"/>
      <c r="B350" s="346"/>
      <c r="C350" s="144" t="s">
        <v>589</v>
      </c>
      <c r="D350" s="370" t="s">
        <v>773</v>
      </c>
      <c r="E350" s="147"/>
      <c r="F350" s="600">
        <v>154417</v>
      </c>
      <c r="G350" s="329"/>
      <c r="H350" s="329"/>
      <c r="I350" s="329"/>
      <c r="J350" s="329"/>
      <c r="K350" s="329"/>
      <c r="L350" s="330"/>
      <c r="M350" s="330"/>
      <c r="N350" s="330"/>
      <c r="O350" s="329"/>
      <c r="P350" s="329"/>
      <c r="Q350" s="101">
        <f t="shared" si="20"/>
        <v>0</v>
      </c>
      <c r="R350" s="343"/>
      <c r="W350" s="330"/>
    </row>
    <row r="351" spans="1:23" ht="21" customHeight="1" hidden="1">
      <c r="A351" s="346"/>
      <c r="B351" s="346"/>
      <c r="C351" s="144" t="s">
        <v>590</v>
      </c>
      <c r="D351" s="370" t="s">
        <v>774</v>
      </c>
      <c r="E351" s="147"/>
      <c r="F351" s="600">
        <v>154418</v>
      </c>
      <c r="G351" s="329"/>
      <c r="H351" s="329"/>
      <c r="I351" s="329"/>
      <c r="J351" s="329"/>
      <c r="K351" s="329"/>
      <c r="L351" s="330"/>
      <c r="M351" s="330"/>
      <c r="N351" s="330"/>
      <c r="O351" s="329"/>
      <c r="P351" s="329"/>
      <c r="Q351" s="101">
        <f t="shared" si="20"/>
        <v>0</v>
      </c>
      <c r="R351" s="343"/>
      <c r="W351" s="330"/>
    </row>
    <row r="352" spans="1:23" ht="12.75" customHeight="1" hidden="1">
      <c r="A352" s="346"/>
      <c r="B352" s="346"/>
      <c r="C352" s="144" t="s">
        <v>591</v>
      </c>
      <c r="D352" s="370" t="s">
        <v>775</v>
      </c>
      <c r="E352" s="147"/>
      <c r="F352" s="600">
        <v>154410</v>
      </c>
      <c r="G352" s="329"/>
      <c r="H352" s="329"/>
      <c r="I352" s="329"/>
      <c r="J352" s="329"/>
      <c r="K352" s="329"/>
      <c r="L352" s="330"/>
      <c r="M352" s="330"/>
      <c r="N352" s="330"/>
      <c r="O352" s="329"/>
      <c r="P352" s="329"/>
      <c r="Q352" s="101">
        <f t="shared" si="20"/>
        <v>0</v>
      </c>
      <c r="R352" s="343"/>
      <c r="W352" s="330"/>
    </row>
    <row r="353" spans="1:23" ht="12.75" customHeight="1" hidden="1">
      <c r="A353" s="346"/>
      <c r="B353" s="346"/>
      <c r="C353" s="144" t="s">
        <v>552</v>
      </c>
      <c r="D353" s="370" t="s">
        <v>776</v>
      </c>
      <c r="E353" s="147"/>
      <c r="F353" s="600">
        <v>154419</v>
      </c>
      <c r="G353" s="329"/>
      <c r="H353" s="329"/>
      <c r="I353" s="329"/>
      <c r="J353" s="329"/>
      <c r="K353" s="329"/>
      <c r="L353" s="330"/>
      <c r="M353" s="330"/>
      <c r="N353" s="330"/>
      <c r="O353" s="329"/>
      <c r="P353" s="329"/>
      <c r="Q353" s="101">
        <f t="shared" si="20"/>
        <v>0</v>
      </c>
      <c r="R353" s="343"/>
      <c r="W353" s="330"/>
    </row>
    <row r="354" spans="1:23" ht="12.75" customHeight="1" hidden="1">
      <c r="A354" s="346"/>
      <c r="B354" s="346"/>
      <c r="C354" s="144" t="s">
        <v>555</v>
      </c>
      <c r="D354" s="370" t="s">
        <v>777</v>
      </c>
      <c r="E354" s="147"/>
      <c r="F354" s="600">
        <v>155416</v>
      </c>
      <c r="G354" s="329"/>
      <c r="H354" s="329"/>
      <c r="I354" s="329"/>
      <c r="J354" s="329"/>
      <c r="K354" s="329"/>
      <c r="L354" s="330"/>
      <c r="M354" s="330"/>
      <c r="N354" s="330"/>
      <c r="O354" s="329"/>
      <c r="P354" s="329"/>
      <c r="Q354" s="101">
        <f t="shared" si="20"/>
        <v>0</v>
      </c>
      <c r="R354" s="343"/>
      <c r="W354" s="330"/>
    </row>
    <row r="355" spans="1:23" ht="12.75" customHeight="1" hidden="1">
      <c r="A355" s="346"/>
      <c r="B355" s="346"/>
      <c r="C355" s="144" t="s">
        <v>556</v>
      </c>
      <c r="D355" s="370" t="s">
        <v>778</v>
      </c>
      <c r="E355" s="147"/>
      <c r="F355" s="600">
        <v>154420</v>
      </c>
      <c r="G355" s="329"/>
      <c r="H355" s="329"/>
      <c r="I355" s="329"/>
      <c r="J355" s="329"/>
      <c r="K355" s="329"/>
      <c r="L355" s="330"/>
      <c r="M355" s="330"/>
      <c r="N355" s="330"/>
      <c r="O355" s="329"/>
      <c r="P355" s="329"/>
      <c r="Q355" s="101">
        <f t="shared" si="20"/>
        <v>0</v>
      </c>
      <c r="R355" s="343"/>
      <c r="W355" s="330"/>
    </row>
    <row r="356" spans="1:23" ht="12.75" customHeight="1" hidden="1">
      <c r="A356" s="346"/>
      <c r="B356" s="346"/>
      <c r="C356" s="144" t="s">
        <v>557</v>
      </c>
      <c r="D356" s="369" t="s">
        <v>779</v>
      </c>
      <c r="E356" s="147"/>
      <c r="F356" s="600">
        <v>155436</v>
      </c>
      <c r="G356" s="329"/>
      <c r="H356" s="329"/>
      <c r="I356" s="329"/>
      <c r="J356" s="329"/>
      <c r="K356" s="329"/>
      <c r="L356" s="330"/>
      <c r="M356" s="330"/>
      <c r="N356" s="330"/>
      <c r="O356" s="329"/>
      <c r="P356" s="329"/>
      <c r="Q356" s="101">
        <f t="shared" si="20"/>
        <v>0</v>
      </c>
      <c r="R356" s="343"/>
      <c r="W356" s="371"/>
    </row>
    <row r="357" spans="1:23" ht="12.75" customHeight="1" hidden="1">
      <c r="A357" s="346"/>
      <c r="B357" s="346"/>
      <c r="C357" s="144" t="s">
        <v>558</v>
      </c>
      <c r="D357" s="366" t="s">
        <v>780</v>
      </c>
      <c r="E357" s="147"/>
      <c r="F357" s="600">
        <v>154421</v>
      </c>
      <c r="G357" s="329"/>
      <c r="H357" s="329"/>
      <c r="I357" s="329"/>
      <c r="J357" s="329"/>
      <c r="K357" s="329"/>
      <c r="L357" s="330"/>
      <c r="M357" s="330"/>
      <c r="N357" s="330"/>
      <c r="O357" s="329"/>
      <c r="P357" s="329"/>
      <c r="Q357" s="101">
        <f t="shared" si="20"/>
        <v>0</v>
      </c>
      <c r="R357" s="343"/>
      <c r="W357" s="371"/>
    </row>
    <row r="358" spans="1:23" ht="12.75" customHeight="1" hidden="1">
      <c r="A358" s="346"/>
      <c r="B358" s="346"/>
      <c r="C358" s="144" t="s">
        <v>559</v>
      </c>
      <c r="D358" s="366" t="s">
        <v>781</v>
      </c>
      <c r="E358" s="147"/>
      <c r="F358" s="600">
        <v>154476</v>
      </c>
      <c r="G358" s="329"/>
      <c r="H358" s="329"/>
      <c r="I358" s="329"/>
      <c r="J358" s="329"/>
      <c r="K358" s="329"/>
      <c r="L358" s="330"/>
      <c r="M358" s="330"/>
      <c r="N358" s="330"/>
      <c r="O358" s="329"/>
      <c r="P358" s="329"/>
      <c r="Q358" s="101">
        <f t="shared" si="20"/>
        <v>0</v>
      </c>
      <c r="R358" s="343"/>
      <c r="W358" s="371"/>
    </row>
    <row r="359" spans="1:23" ht="21.75" customHeight="1" hidden="1">
      <c r="A359" s="346"/>
      <c r="B359" s="346"/>
      <c r="C359" s="144" t="s">
        <v>560</v>
      </c>
      <c r="D359" s="370" t="s">
        <v>782</v>
      </c>
      <c r="E359" s="147"/>
      <c r="F359" s="600">
        <v>154422</v>
      </c>
      <c r="G359" s="329"/>
      <c r="H359" s="329"/>
      <c r="I359" s="329"/>
      <c r="J359" s="329"/>
      <c r="K359" s="329"/>
      <c r="L359" s="330"/>
      <c r="M359" s="330"/>
      <c r="N359" s="330"/>
      <c r="O359" s="329"/>
      <c r="P359" s="329"/>
      <c r="Q359" s="101">
        <f t="shared" si="20"/>
        <v>0</v>
      </c>
      <c r="R359" s="343"/>
      <c r="W359" s="371"/>
    </row>
    <row r="360" spans="1:23" ht="12.75" customHeight="1" hidden="1">
      <c r="A360" s="346"/>
      <c r="B360" s="346"/>
      <c r="C360" s="144" t="s">
        <v>561</v>
      </c>
      <c r="D360" s="370" t="s">
        <v>783</v>
      </c>
      <c r="E360" s="147"/>
      <c r="F360" s="600">
        <v>155420</v>
      </c>
      <c r="G360" s="329"/>
      <c r="H360" s="329"/>
      <c r="I360" s="329"/>
      <c r="J360" s="329"/>
      <c r="K360" s="329"/>
      <c r="L360" s="330"/>
      <c r="M360" s="330"/>
      <c r="N360" s="330"/>
      <c r="O360" s="329"/>
      <c r="P360" s="329"/>
      <c r="Q360" s="101">
        <f t="shared" si="20"/>
        <v>0</v>
      </c>
      <c r="R360" s="343"/>
      <c r="W360" s="371"/>
    </row>
    <row r="361" spans="1:23" ht="12.75" customHeight="1" hidden="1">
      <c r="A361" s="346"/>
      <c r="B361" s="346"/>
      <c r="C361" s="144" t="s">
        <v>562</v>
      </c>
      <c r="D361" s="370" t="s">
        <v>784</v>
      </c>
      <c r="E361" s="147"/>
      <c r="F361" s="600">
        <v>155428</v>
      </c>
      <c r="G361" s="329"/>
      <c r="H361" s="329"/>
      <c r="I361" s="329"/>
      <c r="J361" s="329"/>
      <c r="K361" s="329"/>
      <c r="L361" s="330"/>
      <c r="M361" s="330"/>
      <c r="N361" s="330"/>
      <c r="O361" s="329"/>
      <c r="P361" s="329"/>
      <c r="Q361" s="101">
        <f t="shared" si="20"/>
        <v>0</v>
      </c>
      <c r="R361" s="343"/>
      <c r="W361" s="371"/>
    </row>
    <row r="362" spans="1:23" ht="21" customHeight="1" hidden="1">
      <c r="A362" s="346"/>
      <c r="B362" s="346"/>
      <c r="C362" s="144" t="s">
        <v>563</v>
      </c>
      <c r="D362" s="370" t="s">
        <v>785</v>
      </c>
      <c r="E362" s="147"/>
      <c r="F362" s="600">
        <v>155432</v>
      </c>
      <c r="G362" s="329"/>
      <c r="H362" s="329"/>
      <c r="I362" s="329"/>
      <c r="J362" s="329"/>
      <c r="K362" s="329"/>
      <c r="L362" s="330"/>
      <c r="M362" s="330"/>
      <c r="N362" s="330"/>
      <c r="O362" s="329"/>
      <c r="P362" s="329"/>
      <c r="Q362" s="101">
        <f t="shared" si="20"/>
        <v>0</v>
      </c>
      <c r="R362" s="343"/>
      <c r="W362" s="371"/>
    </row>
    <row r="363" spans="1:23" ht="12.75" customHeight="1" hidden="1">
      <c r="A363" s="346"/>
      <c r="B363" s="346"/>
      <c r="C363" s="144" t="s">
        <v>564</v>
      </c>
      <c r="D363" s="370" t="s">
        <v>786</v>
      </c>
      <c r="E363" s="147"/>
      <c r="F363" s="600">
        <v>155435</v>
      </c>
      <c r="G363" s="329"/>
      <c r="H363" s="329"/>
      <c r="I363" s="329"/>
      <c r="J363" s="329"/>
      <c r="K363" s="329"/>
      <c r="L363" s="330"/>
      <c r="M363" s="330"/>
      <c r="N363" s="330"/>
      <c r="O363" s="329"/>
      <c r="P363" s="329"/>
      <c r="Q363" s="101">
        <f t="shared" si="20"/>
        <v>0</v>
      </c>
      <c r="R363" s="343"/>
      <c r="W363" s="371"/>
    </row>
    <row r="364" spans="1:23" ht="20.25" customHeight="1" hidden="1">
      <c r="A364" s="346"/>
      <c r="B364" s="346"/>
      <c r="C364" s="144" t="s">
        <v>565</v>
      </c>
      <c r="D364" s="370" t="s">
        <v>787</v>
      </c>
      <c r="E364" s="147"/>
      <c r="F364" s="600">
        <v>154423</v>
      </c>
      <c r="G364" s="329"/>
      <c r="H364" s="329"/>
      <c r="I364" s="329"/>
      <c r="J364" s="329"/>
      <c r="K364" s="329"/>
      <c r="L364" s="330"/>
      <c r="M364" s="330"/>
      <c r="N364" s="330"/>
      <c r="O364" s="329"/>
      <c r="P364" s="329"/>
      <c r="Q364" s="101">
        <f t="shared" si="20"/>
        <v>0</v>
      </c>
      <c r="R364" s="343"/>
      <c r="W364" s="371"/>
    </row>
    <row r="365" spans="1:23" ht="12.75" customHeight="1" hidden="1">
      <c r="A365" s="346"/>
      <c r="B365" s="346"/>
      <c r="C365" s="144" t="s">
        <v>566</v>
      </c>
      <c r="D365" s="370" t="s">
        <v>788</v>
      </c>
      <c r="E365" s="147"/>
      <c r="F365" s="600">
        <v>154424</v>
      </c>
      <c r="G365" s="329"/>
      <c r="H365" s="329"/>
      <c r="I365" s="329"/>
      <c r="J365" s="329"/>
      <c r="K365" s="329"/>
      <c r="L365" s="330"/>
      <c r="M365" s="330"/>
      <c r="N365" s="330"/>
      <c r="O365" s="329"/>
      <c r="P365" s="329"/>
      <c r="Q365" s="101">
        <f t="shared" si="20"/>
        <v>0</v>
      </c>
      <c r="R365" s="343"/>
      <c r="W365" s="371"/>
    </row>
    <row r="366" spans="1:23" ht="21" customHeight="1" hidden="1">
      <c r="A366" s="346"/>
      <c r="B366" s="346"/>
      <c r="C366" s="144" t="s">
        <v>567</v>
      </c>
      <c r="D366" s="370" t="s">
        <v>789</v>
      </c>
      <c r="E366" s="147"/>
      <c r="F366" s="600">
        <v>154425</v>
      </c>
      <c r="G366" s="329"/>
      <c r="H366" s="329"/>
      <c r="I366" s="329"/>
      <c r="J366" s="329"/>
      <c r="K366" s="329"/>
      <c r="L366" s="330"/>
      <c r="M366" s="330"/>
      <c r="N366" s="330"/>
      <c r="O366" s="329"/>
      <c r="P366" s="329"/>
      <c r="Q366" s="101">
        <f t="shared" si="20"/>
        <v>0</v>
      </c>
      <c r="R366" s="343"/>
      <c r="W366" s="371"/>
    </row>
    <row r="367" spans="1:23" ht="12.75" customHeight="1" hidden="1">
      <c r="A367" s="346"/>
      <c r="B367" s="346"/>
      <c r="C367" s="144" t="s">
        <v>568</v>
      </c>
      <c r="D367" s="370" t="s">
        <v>790</v>
      </c>
      <c r="E367" s="147"/>
      <c r="F367" s="600">
        <v>154426</v>
      </c>
      <c r="G367" s="329"/>
      <c r="H367" s="329"/>
      <c r="I367" s="329"/>
      <c r="J367" s="329"/>
      <c r="K367" s="329"/>
      <c r="L367" s="330"/>
      <c r="M367" s="330"/>
      <c r="N367" s="330"/>
      <c r="O367" s="329"/>
      <c r="P367" s="329"/>
      <c r="Q367" s="101">
        <f t="shared" si="20"/>
        <v>0</v>
      </c>
      <c r="R367" s="343"/>
      <c r="W367" s="371"/>
    </row>
    <row r="368" spans="1:23" ht="12.75" customHeight="1" hidden="1">
      <c r="A368" s="346"/>
      <c r="B368" s="346"/>
      <c r="C368" s="144" t="s">
        <v>569</v>
      </c>
      <c r="D368" s="370" t="s">
        <v>791</v>
      </c>
      <c r="E368" s="147"/>
      <c r="F368" s="600">
        <v>154427</v>
      </c>
      <c r="G368" s="329"/>
      <c r="H368" s="329"/>
      <c r="I368" s="329"/>
      <c r="J368" s="329"/>
      <c r="K368" s="329"/>
      <c r="L368" s="330"/>
      <c r="M368" s="330"/>
      <c r="N368" s="330"/>
      <c r="O368" s="329"/>
      <c r="P368" s="329"/>
      <c r="Q368" s="101">
        <f t="shared" si="20"/>
        <v>0</v>
      </c>
      <c r="R368" s="343"/>
      <c r="W368" s="371"/>
    </row>
    <row r="369" spans="1:23" ht="12.75" customHeight="1" hidden="1">
      <c r="A369" s="346"/>
      <c r="B369" s="346"/>
      <c r="C369" s="144" t="s">
        <v>54</v>
      </c>
      <c r="D369" s="370" t="s">
        <v>792</v>
      </c>
      <c r="E369" s="147"/>
      <c r="F369" s="600">
        <v>154428</v>
      </c>
      <c r="G369" s="329"/>
      <c r="H369" s="329"/>
      <c r="I369" s="329"/>
      <c r="J369" s="329"/>
      <c r="K369" s="329"/>
      <c r="L369" s="330"/>
      <c r="M369" s="330"/>
      <c r="N369" s="330"/>
      <c r="O369" s="329"/>
      <c r="P369" s="329"/>
      <c r="Q369" s="101">
        <f t="shared" si="20"/>
        <v>0</v>
      </c>
      <c r="R369" s="343"/>
      <c r="W369" s="371"/>
    </row>
    <row r="370" spans="1:18" ht="12.75" customHeight="1" hidden="1">
      <c r="A370" s="346"/>
      <c r="B370" s="346"/>
      <c r="C370" s="346"/>
      <c r="D370" s="353" t="s">
        <v>286</v>
      </c>
      <c r="E370" s="147"/>
      <c r="F370" s="600"/>
      <c r="G370" s="329"/>
      <c r="H370" s="329"/>
      <c r="I370" s="329"/>
      <c r="J370" s="329"/>
      <c r="K370" s="329"/>
      <c r="L370" s="330"/>
      <c r="M370" s="330"/>
      <c r="N370" s="330"/>
      <c r="O370" s="329"/>
      <c r="P370" s="329"/>
      <c r="Q370" s="101"/>
      <c r="R370" s="343"/>
    </row>
    <row r="371" spans="1:18" ht="17.25" customHeight="1" hidden="1">
      <c r="A371" s="346"/>
      <c r="B371" s="346"/>
      <c r="C371" s="144" t="s">
        <v>523</v>
      </c>
      <c r="D371" s="372" t="s">
        <v>359</v>
      </c>
      <c r="E371" s="147"/>
      <c r="F371" s="600">
        <v>152406</v>
      </c>
      <c r="G371" s="329"/>
      <c r="H371" s="329"/>
      <c r="I371" s="329"/>
      <c r="J371" s="329"/>
      <c r="K371" s="329"/>
      <c r="L371" s="330"/>
      <c r="M371" s="330"/>
      <c r="N371" s="330"/>
      <c r="O371" s="329"/>
      <c r="P371" s="329"/>
      <c r="Q371" s="101">
        <f aca="true" t="shared" si="21" ref="Q371:Q385">SUM(G371:P371)</f>
        <v>0</v>
      </c>
      <c r="R371" s="343"/>
    </row>
    <row r="372" spans="1:18" ht="25.5" customHeight="1" hidden="1">
      <c r="A372" s="346"/>
      <c r="B372" s="346"/>
      <c r="C372" s="144" t="s">
        <v>524</v>
      </c>
      <c r="D372" s="372" t="s">
        <v>699</v>
      </c>
      <c r="E372" s="147"/>
      <c r="F372" s="600">
        <v>152405</v>
      </c>
      <c r="G372" s="329"/>
      <c r="H372" s="329"/>
      <c r="I372" s="329"/>
      <c r="J372" s="329"/>
      <c r="K372" s="329"/>
      <c r="L372" s="343"/>
      <c r="M372" s="330"/>
      <c r="N372" s="330"/>
      <c r="O372" s="329"/>
      <c r="P372" s="329"/>
      <c r="Q372" s="101">
        <f t="shared" si="21"/>
        <v>0</v>
      </c>
      <c r="R372" s="343"/>
    </row>
    <row r="373" spans="1:18" ht="12.75" customHeight="1" hidden="1">
      <c r="A373" s="346"/>
      <c r="B373" s="346"/>
      <c r="C373" s="144" t="s">
        <v>525</v>
      </c>
      <c r="D373" s="244" t="s">
        <v>728</v>
      </c>
      <c r="E373" s="147"/>
      <c r="F373" s="600">
        <v>152442</v>
      </c>
      <c r="G373" s="329"/>
      <c r="H373" s="329"/>
      <c r="I373" s="329"/>
      <c r="J373" s="329"/>
      <c r="K373" s="329"/>
      <c r="L373" s="343"/>
      <c r="M373" s="330"/>
      <c r="N373" s="330"/>
      <c r="O373" s="329"/>
      <c r="P373" s="329"/>
      <c r="Q373" s="101">
        <f t="shared" si="21"/>
        <v>0</v>
      </c>
      <c r="R373" s="343"/>
    </row>
    <row r="374" spans="1:18" ht="12.75" customHeight="1" hidden="1">
      <c r="A374" s="346"/>
      <c r="B374" s="346"/>
      <c r="C374" s="144" t="s">
        <v>526</v>
      </c>
      <c r="D374" s="244" t="s">
        <v>977</v>
      </c>
      <c r="E374" s="147"/>
      <c r="F374" s="600">
        <v>152401</v>
      </c>
      <c r="G374" s="329"/>
      <c r="H374" s="329"/>
      <c r="I374" s="329"/>
      <c r="J374" s="329"/>
      <c r="K374" s="329"/>
      <c r="L374" s="343"/>
      <c r="M374" s="330"/>
      <c r="N374" s="330"/>
      <c r="O374" s="329"/>
      <c r="P374" s="329"/>
      <c r="Q374" s="101">
        <f t="shared" si="21"/>
        <v>0</v>
      </c>
      <c r="R374" s="343"/>
    </row>
    <row r="375" spans="1:18" ht="12.75" customHeight="1" hidden="1">
      <c r="A375" s="346"/>
      <c r="B375" s="346"/>
      <c r="C375" s="144" t="s">
        <v>527</v>
      </c>
      <c r="D375" s="244" t="s">
        <v>700</v>
      </c>
      <c r="E375" s="147"/>
      <c r="F375" s="600">
        <v>152431</v>
      </c>
      <c r="G375" s="329"/>
      <c r="H375" s="329"/>
      <c r="I375" s="329"/>
      <c r="J375" s="329"/>
      <c r="K375" s="329"/>
      <c r="L375" s="343"/>
      <c r="M375" s="330"/>
      <c r="N375" s="330"/>
      <c r="O375" s="329"/>
      <c r="P375" s="329"/>
      <c r="Q375" s="101">
        <f t="shared" si="21"/>
        <v>0</v>
      </c>
      <c r="R375" s="343"/>
    </row>
    <row r="376" spans="1:18" ht="12.75" customHeight="1" hidden="1">
      <c r="A376" s="346"/>
      <c r="B376" s="346"/>
      <c r="C376" s="144" t="s">
        <v>528</v>
      </c>
      <c r="D376" s="244" t="s">
        <v>51</v>
      </c>
      <c r="E376" s="147"/>
      <c r="F376" s="600">
        <v>154463</v>
      </c>
      <c r="G376" s="329"/>
      <c r="H376" s="329"/>
      <c r="I376" s="329"/>
      <c r="J376" s="329"/>
      <c r="K376" s="329"/>
      <c r="L376" s="330"/>
      <c r="M376" s="330"/>
      <c r="N376" s="330"/>
      <c r="O376" s="329"/>
      <c r="P376" s="329"/>
      <c r="Q376" s="101">
        <f t="shared" si="21"/>
        <v>0</v>
      </c>
      <c r="R376" s="343"/>
    </row>
    <row r="377" spans="1:18" ht="12.75" customHeight="1" hidden="1">
      <c r="A377" s="346"/>
      <c r="B377" s="346"/>
      <c r="C377" s="144" t="s">
        <v>529</v>
      </c>
      <c r="D377" s="244" t="s">
        <v>52</v>
      </c>
      <c r="E377" s="147"/>
      <c r="F377" s="600">
        <v>154482</v>
      </c>
      <c r="G377" s="329"/>
      <c r="H377" s="329"/>
      <c r="I377" s="329"/>
      <c r="J377" s="329"/>
      <c r="K377" s="329"/>
      <c r="L377" s="330"/>
      <c r="M377" s="330"/>
      <c r="N377" s="330"/>
      <c r="O377" s="329"/>
      <c r="P377" s="329"/>
      <c r="Q377" s="101">
        <f t="shared" si="21"/>
        <v>0</v>
      </c>
      <c r="R377" s="343"/>
    </row>
    <row r="378" spans="1:18" ht="12.75" customHeight="1" hidden="1">
      <c r="A378" s="346"/>
      <c r="B378" s="346"/>
      <c r="C378" s="144" t="s">
        <v>793</v>
      </c>
      <c r="D378" s="244" t="s">
        <v>644</v>
      </c>
      <c r="E378" s="147"/>
      <c r="F378" s="600">
        <v>154420</v>
      </c>
      <c r="G378" s="329"/>
      <c r="H378" s="329"/>
      <c r="I378" s="329"/>
      <c r="J378" s="329"/>
      <c r="K378" s="329"/>
      <c r="L378" s="330"/>
      <c r="M378" s="330"/>
      <c r="N378" s="330"/>
      <c r="O378" s="329"/>
      <c r="P378" s="329"/>
      <c r="Q378" s="101">
        <f t="shared" si="21"/>
        <v>0</v>
      </c>
      <c r="R378" s="343"/>
    </row>
    <row r="379" spans="1:18" ht="12.75" customHeight="1" hidden="1">
      <c r="A379" s="346"/>
      <c r="B379" s="346"/>
      <c r="C379" s="144" t="s">
        <v>794</v>
      </c>
      <c r="D379" s="244" t="s">
        <v>55</v>
      </c>
      <c r="E379" s="147"/>
      <c r="F379" s="600">
        <v>155423</v>
      </c>
      <c r="G379" s="329"/>
      <c r="H379" s="329"/>
      <c r="I379" s="329"/>
      <c r="J379" s="329"/>
      <c r="K379" s="329"/>
      <c r="L379" s="330"/>
      <c r="M379" s="330"/>
      <c r="N379" s="330"/>
      <c r="O379" s="329"/>
      <c r="P379" s="329"/>
      <c r="Q379" s="101">
        <f t="shared" si="21"/>
        <v>0</v>
      </c>
      <c r="R379" s="343"/>
    </row>
    <row r="380" spans="1:18" ht="12.75" customHeight="1" hidden="1">
      <c r="A380" s="346"/>
      <c r="B380" s="346"/>
      <c r="C380" s="144" t="s">
        <v>795</v>
      </c>
      <c r="D380" s="244" t="s">
        <v>56</v>
      </c>
      <c r="E380" s="147"/>
      <c r="F380" s="600">
        <v>155425</v>
      </c>
      <c r="G380" s="329"/>
      <c r="H380" s="329"/>
      <c r="I380" s="329"/>
      <c r="J380" s="329"/>
      <c r="K380" s="329"/>
      <c r="L380" s="330"/>
      <c r="M380" s="330"/>
      <c r="N380" s="330"/>
      <c r="O380" s="329"/>
      <c r="P380" s="329"/>
      <c r="Q380" s="101">
        <f t="shared" si="21"/>
        <v>0</v>
      </c>
      <c r="R380" s="343"/>
    </row>
    <row r="381" spans="1:18" ht="23.25" customHeight="1" hidden="1">
      <c r="A381" s="346"/>
      <c r="B381" s="346"/>
      <c r="C381" s="144" t="s">
        <v>796</v>
      </c>
      <c r="D381" s="373" t="s">
        <v>57</v>
      </c>
      <c r="E381" s="147"/>
      <c r="F381" s="600">
        <v>155431</v>
      </c>
      <c r="G381" s="329"/>
      <c r="H381" s="329"/>
      <c r="I381" s="329"/>
      <c r="J381" s="329"/>
      <c r="K381" s="329"/>
      <c r="L381" s="330"/>
      <c r="M381" s="330"/>
      <c r="N381" s="330"/>
      <c r="O381" s="329"/>
      <c r="P381" s="329"/>
      <c r="Q381" s="101">
        <f t="shared" si="21"/>
        <v>0</v>
      </c>
      <c r="R381" s="343"/>
    </row>
    <row r="382" spans="1:18" ht="25.5" customHeight="1" hidden="1">
      <c r="A382" s="346"/>
      <c r="B382" s="346"/>
      <c r="C382" s="144" t="s">
        <v>797</v>
      </c>
      <c r="D382" s="374" t="s">
        <v>798</v>
      </c>
      <c r="E382" s="147"/>
      <c r="F382" s="600">
        <v>155432</v>
      </c>
      <c r="G382" s="329"/>
      <c r="H382" s="329"/>
      <c r="I382" s="329"/>
      <c r="J382" s="329"/>
      <c r="K382" s="329"/>
      <c r="L382" s="330"/>
      <c r="M382" s="330"/>
      <c r="N382" s="330"/>
      <c r="O382" s="329"/>
      <c r="P382" s="329"/>
      <c r="Q382" s="101">
        <f t="shared" si="21"/>
        <v>0</v>
      </c>
      <c r="R382" s="343"/>
    </row>
    <row r="383" spans="1:18" ht="12.75" customHeight="1" hidden="1">
      <c r="A383" s="346"/>
      <c r="B383" s="346"/>
      <c r="C383" s="144" t="s">
        <v>799</v>
      </c>
      <c r="D383" s="375" t="s">
        <v>58</v>
      </c>
      <c r="E383" s="147"/>
      <c r="F383" s="600">
        <v>155433</v>
      </c>
      <c r="G383" s="329"/>
      <c r="H383" s="329"/>
      <c r="I383" s="329"/>
      <c r="J383" s="329"/>
      <c r="K383" s="329"/>
      <c r="L383" s="330"/>
      <c r="M383" s="330"/>
      <c r="N383" s="330"/>
      <c r="O383" s="329"/>
      <c r="P383" s="329"/>
      <c r="Q383" s="101">
        <f t="shared" si="21"/>
        <v>0</v>
      </c>
      <c r="R383" s="343"/>
    </row>
    <row r="384" spans="1:18" ht="12.75" customHeight="1" hidden="1">
      <c r="A384" s="346"/>
      <c r="B384" s="346"/>
      <c r="C384" s="144" t="s">
        <v>800</v>
      </c>
      <c r="D384" s="244" t="s">
        <v>801</v>
      </c>
      <c r="E384" s="147"/>
      <c r="F384" s="600">
        <v>154500</v>
      </c>
      <c r="G384" s="329"/>
      <c r="H384" s="329"/>
      <c r="I384" s="329"/>
      <c r="J384" s="329"/>
      <c r="K384" s="329"/>
      <c r="L384" s="330"/>
      <c r="M384" s="330"/>
      <c r="N384" s="330"/>
      <c r="O384" s="329"/>
      <c r="P384" s="329"/>
      <c r="Q384" s="101">
        <f t="shared" si="21"/>
        <v>0</v>
      </c>
      <c r="R384" s="343"/>
    </row>
    <row r="385" spans="1:18" ht="12.75" customHeight="1" hidden="1">
      <c r="A385" s="346"/>
      <c r="B385" s="346"/>
      <c r="C385" s="144" t="s">
        <v>802</v>
      </c>
      <c r="D385" s="158" t="s">
        <v>699</v>
      </c>
      <c r="E385" s="147"/>
      <c r="F385" s="600">
        <v>152405</v>
      </c>
      <c r="G385" s="329"/>
      <c r="H385" s="329"/>
      <c r="I385" s="329"/>
      <c r="J385" s="329"/>
      <c r="K385" s="329"/>
      <c r="L385" s="330"/>
      <c r="M385" s="330"/>
      <c r="N385" s="330"/>
      <c r="O385" s="329"/>
      <c r="P385" s="329"/>
      <c r="Q385" s="101">
        <f t="shared" si="21"/>
        <v>0</v>
      </c>
      <c r="R385" s="343"/>
    </row>
    <row r="386" spans="1:18" ht="12.75" customHeight="1" hidden="1">
      <c r="A386" s="346"/>
      <c r="B386" s="346"/>
      <c r="C386" s="346" t="s">
        <v>599</v>
      </c>
      <c r="D386" s="357" t="s">
        <v>550</v>
      </c>
      <c r="E386" s="147"/>
      <c r="F386" s="600"/>
      <c r="G386" s="329"/>
      <c r="H386" s="329"/>
      <c r="I386" s="329"/>
      <c r="J386" s="329"/>
      <c r="K386" s="329"/>
      <c r="L386" s="330"/>
      <c r="M386" s="330"/>
      <c r="N386" s="330"/>
      <c r="O386" s="329"/>
      <c r="P386" s="329"/>
      <c r="Q386" s="101"/>
      <c r="R386" s="343"/>
    </row>
    <row r="387" spans="1:18" ht="12.75" customHeight="1" hidden="1">
      <c r="A387" s="346"/>
      <c r="B387" s="346"/>
      <c r="C387" s="144" t="s">
        <v>620</v>
      </c>
      <c r="D387" s="353" t="s">
        <v>720</v>
      </c>
      <c r="E387" s="147"/>
      <c r="F387" s="600">
        <v>152908</v>
      </c>
      <c r="G387" s="329"/>
      <c r="H387" s="329"/>
      <c r="I387" s="329"/>
      <c r="J387" s="329"/>
      <c r="K387" s="329"/>
      <c r="L387" s="330"/>
      <c r="M387" s="330"/>
      <c r="N387" s="330"/>
      <c r="O387" s="329"/>
      <c r="P387" s="329"/>
      <c r="Q387" s="101">
        <f aca="true" t="shared" si="22" ref="Q387:Q400">SUM(G387:P387)</f>
        <v>0</v>
      </c>
      <c r="R387" s="343"/>
    </row>
    <row r="388" spans="1:23" ht="12.75" customHeight="1" hidden="1">
      <c r="A388" s="346"/>
      <c r="B388" s="346"/>
      <c r="C388" s="144" t="s">
        <v>621</v>
      </c>
      <c r="D388" s="369" t="s">
        <v>803</v>
      </c>
      <c r="E388" s="147"/>
      <c r="F388" s="600">
        <v>162921</v>
      </c>
      <c r="G388" s="329"/>
      <c r="H388" s="329"/>
      <c r="I388" s="329"/>
      <c r="J388" s="329"/>
      <c r="K388" s="329"/>
      <c r="L388" s="330"/>
      <c r="M388" s="330"/>
      <c r="N388" s="330"/>
      <c r="O388" s="329"/>
      <c r="P388" s="329"/>
      <c r="Q388" s="101">
        <f t="shared" si="22"/>
        <v>0</v>
      </c>
      <c r="R388" s="343"/>
      <c r="W388" s="330"/>
    </row>
    <row r="389" spans="1:23" ht="12.75" customHeight="1" hidden="1">
      <c r="A389" s="346"/>
      <c r="B389" s="346"/>
      <c r="C389" s="144" t="s">
        <v>622</v>
      </c>
      <c r="D389" s="369" t="s">
        <v>804</v>
      </c>
      <c r="E389" s="147"/>
      <c r="F389" s="600">
        <v>152924</v>
      </c>
      <c r="G389" s="329"/>
      <c r="H389" s="329"/>
      <c r="I389" s="329"/>
      <c r="J389" s="329"/>
      <c r="K389" s="329"/>
      <c r="L389" s="330"/>
      <c r="M389" s="330"/>
      <c r="N389" s="330"/>
      <c r="O389" s="329"/>
      <c r="P389" s="329"/>
      <c r="Q389" s="101">
        <f t="shared" si="22"/>
        <v>0</v>
      </c>
      <c r="R389" s="343"/>
      <c r="W389" s="330"/>
    </row>
    <row r="390" spans="1:23" ht="12.75" customHeight="1" hidden="1">
      <c r="A390" s="346"/>
      <c r="B390" s="346"/>
      <c r="C390" s="144" t="s">
        <v>623</v>
      </c>
      <c r="D390" s="369" t="s">
        <v>805</v>
      </c>
      <c r="E390" s="147"/>
      <c r="F390" s="600">
        <v>152925</v>
      </c>
      <c r="G390" s="329"/>
      <c r="H390" s="329"/>
      <c r="I390" s="329"/>
      <c r="J390" s="329"/>
      <c r="K390" s="329"/>
      <c r="L390" s="330"/>
      <c r="M390" s="330"/>
      <c r="N390" s="330"/>
      <c r="O390" s="329"/>
      <c r="P390" s="329"/>
      <c r="Q390" s="101">
        <f t="shared" si="22"/>
        <v>0</v>
      </c>
      <c r="R390" s="343"/>
      <c r="W390" s="330"/>
    </row>
    <row r="391" spans="1:23" ht="12.75" customHeight="1" hidden="1">
      <c r="A391" s="346"/>
      <c r="B391" s="346"/>
      <c r="C391" s="144" t="s">
        <v>702</v>
      </c>
      <c r="D391" s="369" t="s">
        <v>806</v>
      </c>
      <c r="E391" s="147"/>
      <c r="F391" s="600">
        <v>152926</v>
      </c>
      <c r="G391" s="329"/>
      <c r="H391" s="329"/>
      <c r="I391" s="329"/>
      <c r="J391" s="329"/>
      <c r="K391" s="329"/>
      <c r="L391" s="330"/>
      <c r="M391" s="330"/>
      <c r="N391" s="330"/>
      <c r="O391" s="329"/>
      <c r="P391" s="329"/>
      <c r="Q391" s="101">
        <f t="shared" si="22"/>
        <v>0</v>
      </c>
      <c r="R391" s="343"/>
      <c r="W391" s="330"/>
    </row>
    <row r="392" spans="1:23" ht="12.75" customHeight="1" hidden="1">
      <c r="A392" s="346"/>
      <c r="B392" s="346"/>
      <c r="C392" s="144" t="s">
        <v>703</v>
      </c>
      <c r="D392" s="369" t="s">
        <v>807</v>
      </c>
      <c r="E392" s="147"/>
      <c r="F392" s="600">
        <v>152505</v>
      </c>
      <c r="G392" s="329"/>
      <c r="H392" s="329"/>
      <c r="I392" s="329"/>
      <c r="J392" s="329"/>
      <c r="K392" s="329"/>
      <c r="L392" s="330"/>
      <c r="M392" s="330"/>
      <c r="N392" s="330"/>
      <c r="O392" s="329"/>
      <c r="P392" s="329"/>
      <c r="Q392" s="101">
        <f t="shared" si="22"/>
        <v>0</v>
      </c>
      <c r="R392" s="343"/>
      <c r="W392" s="330"/>
    </row>
    <row r="393" spans="1:23" ht="12.75" customHeight="1" hidden="1">
      <c r="A393" s="346"/>
      <c r="B393" s="346"/>
      <c r="C393" s="144" t="s">
        <v>704</v>
      </c>
      <c r="D393" s="369" t="s">
        <v>808</v>
      </c>
      <c r="E393" s="147"/>
      <c r="F393" s="600">
        <v>152909</v>
      </c>
      <c r="G393" s="329"/>
      <c r="H393" s="329"/>
      <c r="I393" s="329"/>
      <c r="J393" s="329"/>
      <c r="K393" s="329"/>
      <c r="L393" s="330"/>
      <c r="M393" s="330"/>
      <c r="N393" s="330"/>
      <c r="O393" s="329"/>
      <c r="P393" s="329"/>
      <c r="Q393" s="101">
        <f t="shared" si="22"/>
        <v>0</v>
      </c>
      <c r="R393" s="343"/>
      <c r="W393" s="330"/>
    </row>
    <row r="394" spans="1:23" ht="12.75" customHeight="1" hidden="1">
      <c r="A394" s="346"/>
      <c r="B394" s="346"/>
      <c r="C394" s="144" t="s">
        <v>705</v>
      </c>
      <c r="D394" s="369" t="s">
        <v>809</v>
      </c>
      <c r="E394" s="147"/>
      <c r="F394" s="600">
        <v>152927</v>
      </c>
      <c r="G394" s="329"/>
      <c r="H394" s="329"/>
      <c r="I394" s="329"/>
      <c r="J394" s="329"/>
      <c r="K394" s="329"/>
      <c r="L394" s="330"/>
      <c r="M394" s="330"/>
      <c r="N394" s="330"/>
      <c r="O394" s="329"/>
      <c r="P394" s="329"/>
      <c r="Q394" s="101">
        <f t="shared" si="22"/>
        <v>0</v>
      </c>
      <c r="R394" s="343"/>
      <c r="W394" s="330"/>
    </row>
    <row r="395" spans="1:23" ht="27.75" customHeight="1" hidden="1">
      <c r="A395" s="346"/>
      <c r="B395" s="346"/>
      <c r="C395" s="144" t="s">
        <v>707</v>
      </c>
      <c r="D395" s="369" t="s">
        <v>810</v>
      </c>
      <c r="E395" s="147"/>
      <c r="F395" s="600">
        <v>152502</v>
      </c>
      <c r="G395" s="329"/>
      <c r="H395" s="329"/>
      <c r="I395" s="329"/>
      <c r="J395" s="329"/>
      <c r="K395" s="329"/>
      <c r="L395" s="330"/>
      <c r="M395" s="330"/>
      <c r="N395" s="330"/>
      <c r="O395" s="329"/>
      <c r="P395" s="329"/>
      <c r="Q395" s="101">
        <f t="shared" si="22"/>
        <v>0</v>
      </c>
      <c r="R395" s="343"/>
      <c r="W395" s="330"/>
    </row>
    <row r="396" spans="1:23" ht="26.25" customHeight="1" hidden="1">
      <c r="A396" s="346"/>
      <c r="B396" s="346"/>
      <c r="C396" s="144" t="s">
        <v>711</v>
      </c>
      <c r="D396" s="368" t="s">
        <v>811</v>
      </c>
      <c r="E396" s="147"/>
      <c r="F396" s="600">
        <v>152503</v>
      </c>
      <c r="G396" s="329"/>
      <c r="H396" s="329"/>
      <c r="I396" s="329"/>
      <c r="J396" s="329"/>
      <c r="K396" s="329"/>
      <c r="L396" s="330"/>
      <c r="M396" s="330"/>
      <c r="N396" s="330"/>
      <c r="O396" s="329"/>
      <c r="P396" s="329"/>
      <c r="Q396" s="101">
        <f t="shared" si="22"/>
        <v>0</v>
      </c>
      <c r="R396" s="343"/>
      <c r="W396" s="330"/>
    </row>
    <row r="397" spans="1:18" ht="18" customHeight="1" hidden="1">
      <c r="A397" s="346"/>
      <c r="B397" s="346"/>
      <c r="C397" s="144" t="s">
        <v>712</v>
      </c>
      <c r="D397" s="352" t="s">
        <v>812</v>
      </c>
      <c r="E397" s="147"/>
      <c r="F397" s="600">
        <v>154504</v>
      </c>
      <c r="G397" s="329"/>
      <c r="H397" s="329"/>
      <c r="I397" s="329"/>
      <c r="J397" s="329"/>
      <c r="K397" s="329"/>
      <c r="L397" s="330"/>
      <c r="M397" s="330"/>
      <c r="N397" s="330"/>
      <c r="O397" s="329"/>
      <c r="P397" s="329"/>
      <c r="Q397" s="101">
        <f t="shared" si="22"/>
        <v>0</v>
      </c>
      <c r="R397" s="343"/>
    </row>
    <row r="398" spans="1:18" ht="15.75" customHeight="1" hidden="1">
      <c r="A398" s="346"/>
      <c r="B398" s="346"/>
      <c r="C398" s="144" t="s">
        <v>713</v>
      </c>
      <c r="D398" s="352" t="s">
        <v>813</v>
      </c>
      <c r="E398" s="147"/>
      <c r="F398" s="600">
        <v>154511</v>
      </c>
      <c r="G398" s="329"/>
      <c r="H398" s="329"/>
      <c r="I398" s="329"/>
      <c r="J398" s="329"/>
      <c r="K398" s="329"/>
      <c r="L398" s="330"/>
      <c r="M398" s="330"/>
      <c r="N398" s="330"/>
      <c r="O398" s="329"/>
      <c r="P398" s="329"/>
      <c r="Q398" s="101">
        <f t="shared" si="22"/>
        <v>0</v>
      </c>
      <c r="R398" s="343"/>
    </row>
    <row r="399" spans="1:18" ht="16.5" customHeight="1" hidden="1">
      <c r="A399" s="346"/>
      <c r="B399" s="346"/>
      <c r="C399" s="144" t="s">
        <v>714</v>
      </c>
      <c r="D399" s="366" t="s">
        <v>814</v>
      </c>
      <c r="E399" s="147"/>
      <c r="F399" s="600">
        <v>154901</v>
      </c>
      <c r="G399" s="329"/>
      <c r="H399" s="329"/>
      <c r="I399" s="329"/>
      <c r="J399" s="329"/>
      <c r="K399" s="329"/>
      <c r="L399" s="330"/>
      <c r="M399" s="330"/>
      <c r="N399" s="330"/>
      <c r="O399" s="329"/>
      <c r="P399" s="329"/>
      <c r="Q399" s="101">
        <f t="shared" si="22"/>
        <v>0</v>
      </c>
      <c r="R399" s="343"/>
    </row>
    <row r="400" spans="1:18" ht="13.5" customHeight="1" hidden="1">
      <c r="A400" s="346"/>
      <c r="B400" s="346"/>
      <c r="C400" s="144" t="s">
        <v>715</v>
      </c>
      <c r="D400" s="369" t="s">
        <v>815</v>
      </c>
      <c r="E400" s="147"/>
      <c r="F400" s="600">
        <v>152523</v>
      </c>
      <c r="G400" s="329"/>
      <c r="H400" s="329"/>
      <c r="I400" s="329"/>
      <c r="J400" s="329"/>
      <c r="K400" s="329"/>
      <c r="L400" s="330"/>
      <c r="M400" s="330"/>
      <c r="N400" s="330"/>
      <c r="O400" s="329"/>
      <c r="P400" s="329"/>
      <c r="Q400" s="101">
        <f t="shared" si="22"/>
        <v>0</v>
      </c>
      <c r="R400" s="343"/>
    </row>
    <row r="401" spans="1:18" ht="12.75" customHeight="1" hidden="1">
      <c r="A401" s="346"/>
      <c r="B401" s="346"/>
      <c r="C401" s="144" t="s">
        <v>717</v>
      </c>
      <c r="D401" s="369" t="s">
        <v>816</v>
      </c>
      <c r="E401" s="147"/>
      <c r="F401" s="600">
        <v>154505</v>
      </c>
      <c r="G401" s="329"/>
      <c r="H401" s="329"/>
      <c r="I401" s="329"/>
      <c r="J401" s="329"/>
      <c r="K401" s="329"/>
      <c r="L401" s="330"/>
      <c r="M401" s="330"/>
      <c r="N401" s="330"/>
      <c r="O401" s="329"/>
      <c r="P401" s="329"/>
      <c r="Q401" s="101"/>
      <c r="R401" s="343"/>
    </row>
    <row r="402" spans="1:18" ht="12.75" customHeight="1" hidden="1">
      <c r="A402" s="346"/>
      <c r="B402" s="346"/>
      <c r="C402" s="346"/>
      <c r="D402" s="24" t="s">
        <v>286</v>
      </c>
      <c r="E402" s="147"/>
      <c r="F402" s="600"/>
      <c r="G402" s="329"/>
      <c r="H402" s="329"/>
      <c r="I402" s="329"/>
      <c r="J402" s="329"/>
      <c r="K402" s="329"/>
      <c r="L402" s="330"/>
      <c r="M402" s="330"/>
      <c r="N402" s="330"/>
      <c r="O402" s="329"/>
      <c r="P402" s="329"/>
      <c r="Q402" s="101"/>
      <c r="R402" s="343"/>
    </row>
    <row r="403" spans="1:18" ht="12.75" customHeight="1" hidden="1">
      <c r="A403" s="346"/>
      <c r="B403" s="346"/>
      <c r="C403" s="144" t="s">
        <v>680</v>
      </c>
      <c r="D403" s="342" t="s">
        <v>701</v>
      </c>
      <c r="E403" s="147"/>
      <c r="F403" s="600">
        <v>152504</v>
      </c>
      <c r="G403" s="329"/>
      <c r="H403" s="329"/>
      <c r="I403" s="329"/>
      <c r="J403" s="329"/>
      <c r="K403" s="329"/>
      <c r="L403" s="330"/>
      <c r="M403" s="330"/>
      <c r="N403" s="330"/>
      <c r="O403" s="329"/>
      <c r="P403" s="329"/>
      <c r="Q403" s="101"/>
      <c r="R403" s="343"/>
    </row>
    <row r="404" spans="1:18" ht="25.5" customHeight="1" hidden="1">
      <c r="A404" s="346"/>
      <c r="B404" s="346"/>
      <c r="C404" s="144" t="s">
        <v>681</v>
      </c>
      <c r="D404" s="161" t="s">
        <v>706</v>
      </c>
      <c r="E404" s="147"/>
      <c r="F404" s="600">
        <v>152524</v>
      </c>
      <c r="G404" s="329"/>
      <c r="H404" s="329"/>
      <c r="I404" s="329"/>
      <c r="J404" s="329"/>
      <c r="K404" s="329"/>
      <c r="L404" s="330"/>
      <c r="M404" s="330"/>
      <c r="N404" s="330"/>
      <c r="O404" s="329"/>
      <c r="P404" s="329"/>
      <c r="Q404" s="101"/>
      <c r="R404" s="343"/>
    </row>
    <row r="405" spans="1:18" ht="12.75" customHeight="1" hidden="1">
      <c r="A405" s="346"/>
      <c r="B405" s="346"/>
      <c r="C405" s="144" t="s">
        <v>682</v>
      </c>
      <c r="D405" s="100" t="s">
        <v>716</v>
      </c>
      <c r="E405" s="147"/>
      <c r="F405" s="600">
        <v>152529</v>
      </c>
      <c r="G405" s="329"/>
      <c r="H405" s="329"/>
      <c r="I405" s="329"/>
      <c r="J405" s="329"/>
      <c r="K405" s="329"/>
      <c r="L405" s="330"/>
      <c r="M405" s="330"/>
      <c r="N405" s="330"/>
      <c r="O405" s="329"/>
      <c r="P405" s="329"/>
      <c r="Q405" s="101"/>
      <c r="R405" s="343"/>
    </row>
    <row r="406" spans="1:18" ht="25.5" customHeight="1" hidden="1">
      <c r="A406" s="346"/>
      <c r="B406" s="346"/>
      <c r="C406" s="144" t="s">
        <v>683</v>
      </c>
      <c r="D406" s="490" t="s">
        <v>718</v>
      </c>
      <c r="E406" s="147"/>
      <c r="F406" s="600">
        <v>152531</v>
      </c>
      <c r="G406" s="329"/>
      <c r="H406" s="329"/>
      <c r="I406" s="329"/>
      <c r="J406" s="329"/>
      <c r="K406" s="329"/>
      <c r="L406" s="330"/>
      <c r="M406" s="330"/>
      <c r="N406" s="330"/>
      <c r="O406" s="329"/>
      <c r="P406" s="329"/>
      <c r="Q406" s="101"/>
      <c r="R406" s="343"/>
    </row>
    <row r="407" spans="1:18" ht="24.75" customHeight="1" hidden="1">
      <c r="A407" s="346"/>
      <c r="B407" s="346"/>
      <c r="C407" s="144" t="s">
        <v>684</v>
      </c>
      <c r="D407" s="491" t="s">
        <v>719</v>
      </c>
      <c r="E407" s="147"/>
      <c r="F407" s="600">
        <v>152532</v>
      </c>
      <c r="G407" s="329"/>
      <c r="H407" s="329"/>
      <c r="I407" s="329"/>
      <c r="J407" s="329"/>
      <c r="K407" s="329"/>
      <c r="L407" s="330"/>
      <c r="M407" s="330"/>
      <c r="N407" s="330"/>
      <c r="O407" s="329"/>
      <c r="P407" s="329"/>
      <c r="Q407" s="101"/>
      <c r="R407" s="343"/>
    </row>
    <row r="408" spans="1:18" ht="24.75" customHeight="1" hidden="1">
      <c r="A408" s="346"/>
      <c r="B408" s="346"/>
      <c r="C408" s="144" t="s">
        <v>817</v>
      </c>
      <c r="D408" s="161" t="s">
        <v>721</v>
      </c>
      <c r="E408" s="147"/>
      <c r="F408" s="600">
        <v>152534</v>
      </c>
      <c r="G408" s="329"/>
      <c r="H408" s="329"/>
      <c r="I408" s="329"/>
      <c r="J408" s="329"/>
      <c r="K408" s="329"/>
      <c r="L408" s="330"/>
      <c r="M408" s="330"/>
      <c r="N408" s="330"/>
      <c r="O408" s="329"/>
      <c r="P408" s="329"/>
      <c r="Q408" s="101"/>
      <c r="R408" s="343"/>
    </row>
    <row r="409" spans="1:18" ht="24.75" customHeight="1" hidden="1">
      <c r="A409" s="346"/>
      <c r="B409" s="346"/>
      <c r="C409" s="144" t="s">
        <v>818</v>
      </c>
      <c r="D409" s="492" t="s">
        <v>352</v>
      </c>
      <c r="E409" s="147"/>
      <c r="F409" s="600">
        <v>152908</v>
      </c>
      <c r="G409" s="329"/>
      <c r="H409" s="329"/>
      <c r="I409" s="329"/>
      <c r="J409" s="329"/>
      <c r="K409" s="329"/>
      <c r="L409" s="330"/>
      <c r="M409" s="330"/>
      <c r="N409" s="330"/>
      <c r="O409" s="329"/>
      <c r="P409" s="329"/>
      <c r="Q409" s="101"/>
      <c r="R409" s="343"/>
    </row>
    <row r="410" spans="1:18" ht="15" customHeight="1" hidden="1">
      <c r="A410" s="346"/>
      <c r="B410" s="346"/>
      <c r="C410" s="144" t="s">
        <v>819</v>
      </c>
      <c r="D410" s="123" t="s">
        <v>611</v>
      </c>
      <c r="E410" s="147"/>
      <c r="F410" s="600">
        <v>154503</v>
      </c>
      <c r="G410" s="329"/>
      <c r="H410" s="329"/>
      <c r="I410" s="329"/>
      <c r="J410" s="329"/>
      <c r="K410" s="15"/>
      <c r="L410" s="15"/>
      <c r="M410" s="15"/>
      <c r="N410" s="15"/>
      <c r="O410" s="20"/>
      <c r="P410" s="329"/>
      <c r="Q410" s="101"/>
      <c r="R410" s="343"/>
    </row>
    <row r="411" spans="1:18" ht="14.25" customHeight="1" hidden="1">
      <c r="A411" s="346"/>
      <c r="B411" s="346"/>
      <c r="C411" s="144" t="s">
        <v>820</v>
      </c>
      <c r="D411" s="376" t="s">
        <v>821</v>
      </c>
      <c r="E411" s="147"/>
      <c r="F411" s="600">
        <v>154508</v>
      </c>
      <c r="G411" s="329"/>
      <c r="H411" s="329"/>
      <c r="I411" s="329"/>
      <c r="J411" s="329"/>
      <c r="K411" s="329"/>
      <c r="L411" s="330"/>
      <c r="M411" s="330"/>
      <c r="N411" s="330"/>
      <c r="O411" s="329"/>
      <c r="P411" s="329"/>
      <c r="Q411" s="101"/>
      <c r="R411" s="343"/>
    </row>
    <row r="412" spans="1:18" ht="14.25" customHeight="1" hidden="1">
      <c r="A412" s="346"/>
      <c r="B412" s="346"/>
      <c r="C412" s="144" t="s">
        <v>822</v>
      </c>
      <c r="D412" s="493" t="s">
        <v>1067</v>
      </c>
      <c r="E412" s="147"/>
      <c r="F412" s="600">
        <v>152501</v>
      </c>
      <c r="G412" s="25"/>
      <c r="H412" s="245"/>
      <c r="I412" s="25"/>
      <c r="J412" s="25"/>
      <c r="K412" s="25"/>
      <c r="L412" s="15"/>
      <c r="M412" s="15"/>
      <c r="N412" s="25"/>
      <c r="O412" s="25"/>
      <c r="P412" s="25"/>
      <c r="Q412" s="24"/>
      <c r="R412" s="343"/>
    </row>
    <row r="413" spans="1:18" ht="14.25" customHeight="1" hidden="1">
      <c r="A413" s="346"/>
      <c r="B413" s="346"/>
      <c r="C413" s="144" t="s">
        <v>823</v>
      </c>
      <c r="D413" s="494" t="s">
        <v>486</v>
      </c>
      <c r="E413" s="147"/>
      <c r="F413" s="600">
        <v>162514</v>
      </c>
      <c r="G413" s="25"/>
      <c r="H413" s="245"/>
      <c r="I413" s="25"/>
      <c r="J413" s="25"/>
      <c r="K413" s="25"/>
      <c r="L413" s="15"/>
      <c r="M413" s="15"/>
      <c r="N413" s="25"/>
      <c r="O413" s="25"/>
      <c r="P413" s="25"/>
      <c r="Q413" s="24"/>
      <c r="R413" s="343"/>
    </row>
    <row r="414" spans="1:18" ht="16.5" customHeight="1" hidden="1">
      <c r="A414" s="346"/>
      <c r="B414" s="346"/>
      <c r="C414" s="378" t="s">
        <v>824</v>
      </c>
      <c r="D414" s="379" t="s">
        <v>537</v>
      </c>
      <c r="E414" s="147"/>
      <c r="F414" s="600"/>
      <c r="G414" s="329"/>
      <c r="H414" s="329"/>
      <c r="I414" s="329"/>
      <c r="J414" s="329"/>
      <c r="K414" s="329"/>
      <c r="L414" s="330"/>
      <c r="M414" s="330"/>
      <c r="N414" s="330"/>
      <c r="O414" s="329"/>
      <c r="P414" s="329"/>
      <c r="Q414" s="101"/>
      <c r="R414" s="343"/>
    </row>
    <row r="415" spans="1:18" ht="24.75" customHeight="1" hidden="1">
      <c r="A415" s="346"/>
      <c r="B415" s="346"/>
      <c r="C415" s="144" t="s">
        <v>825</v>
      </c>
      <c r="D415" s="366" t="s">
        <v>826</v>
      </c>
      <c r="E415" s="147"/>
      <c r="F415" s="600">
        <v>152915</v>
      </c>
      <c r="G415" s="329"/>
      <c r="H415" s="329"/>
      <c r="I415" s="329"/>
      <c r="J415" s="329"/>
      <c r="K415" s="329"/>
      <c r="L415" s="330"/>
      <c r="M415" s="330"/>
      <c r="N415" s="330"/>
      <c r="O415" s="329"/>
      <c r="P415" s="329"/>
      <c r="Q415" s="101"/>
      <c r="R415" s="343"/>
    </row>
    <row r="416" spans="1:18" ht="12.75" customHeight="1" hidden="1">
      <c r="A416" s="346"/>
      <c r="B416" s="346"/>
      <c r="C416" s="346" t="s">
        <v>628</v>
      </c>
      <c r="D416" s="357" t="s">
        <v>629</v>
      </c>
      <c r="E416" s="147"/>
      <c r="F416" s="600"/>
      <c r="G416" s="329"/>
      <c r="H416" s="329"/>
      <c r="I416" s="329"/>
      <c r="J416" s="329"/>
      <c r="K416" s="329"/>
      <c r="L416" s="330"/>
      <c r="M416" s="330"/>
      <c r="N416" s="330"/>
      <c r="O416" s="329"/>
      <c r="P416" s="329"/>
      <c r="Q416" s="101"/>
      <c r="R416" s="343"/>
    </row>
    <row r="417" spans="1:18" ht="12.75" customHeight="1" hidden="1">
      <c r="A417" s="346"/>
      <c r="B417" s="346"/>
      <c r="C417" s="346"/>
      <c r="D417" s="100" t="s">
        <v>363</v>
      </c>
      <c r="E417" s="147"/>
      <c r="F417" s="600">
        <v>154811</v>
      </c>
      <c r="G417" s="329"/>
      <c r="H417" s="329"/>
      <c r="I417" s="329"/>
      <c r="J417" s="329"/>
      <c r="K417" s="329"/>
      <c r="L417" s="330"/>
      <c r="M417" s="330"/>
      <c r="N417" s="330"/>
      <c r="O417" s="329"/>
      <c r="P417" s="329"/>
      <c r="Q417" s="101"/>
      <c r="R417" s="343"/>
    </row>
    <row r="418" spans="1:18" ht="12.75" customHeight="1" hidden="1">
      <c r="A418" s="346"/>
      <c r="B418" s="346"/>
      <c r="C418" s="346"/>
      <c r="D418" s="353" t="s">
        <v>286</v>
      </c>
      <c r="E418" s="147"/>
      <c r="F418" s="600"/>
      <c r="G418" s="329"/>
      <c r="H418" s="329"/>
      <c r="I418" s="329"/>
      <c r="J418" s="329"/>
      <c r="K418" s="329"/>
      <c r="L418" s="330"/>
      <c r="M418" s="330"/>
      <c r="N418" s="330"/>
      <c r="O418" s="329"/>
      <c r="P418" s="329"/>
      <c r="Q418" s="101"/>
      <c r="R418" s="343"/>
    </row>
    <row r="419" spans="1:18" ht="12.75" customHeight="1" hidden="1">
      <c r="A419" s="346"/>
      <c r="B419" s="346"/>
      <c r="C419" s="144" t="s">
        <v>1091</v>
      </c>
      <c r="D419" s="244" t="s">
        <v>722</v>
      </c>
      <c r="E419" s="147"/>
      <c r="F419" s="600">
        <v>152801</v>
      </c>
      <c r="G419" s="329"/>
      <c r="H419" s="329"/>
      <c r="I419" s="329"/>
      <c r="J419" s="329"/>
      <c r="K419" s="329"/>
      <c r="L419" s="330"/>
      <c r="M419" s="330"/>
      <c r="N419" s="330"/>
      <c r="O419" s="329"/>
      <c r="P419" s="329"/>
      <c r="Q419" s="101"/>
      <c r="R419" s="343"/>
    </row>
    <row r="420" spans="1:18" ht="25.5" customHeight="1" hidden="1">
      <c r="A420" s="346"/>
      <c r="B420" s="346"/>
      <c r="C420" s="144" t="s">
        <v>827</v>
      </c>
      <c r="D420" s="380" t="s">
        <v>353</v>
      </c>
      <c r="E420" s="147"/>
      <c r="F420" s="600">
        <v>154805</v>
      </c>
      <c r="G420" s="329"/>
      <c r="H420" s="329"/>
      <c r="I420" s="329"/>
      <c r="J420" s="329"/>
      <c r="K420" s="329"/>
      <c r="L420" s="330"/>
      <c r="M420" s="330"/>
      <c r="N420" s="330"/>
      <c r="O420" s="329"/>
      <c r="P420" s="329"/>
      <c r="Q420" s="101"/>
      <c r="R420" s="343"/>
    </row>
    <row r="421" spans="1:18" ht="12.75" customHeight="1" hidden="1">
      <c r="A421" s="346"/>
      <c r="B421" s="346"/>
      <c r="C421" s="144" t="s">
        <v>828</v>
      </c>
      <c r="D421" s="380" t="s">
        <v>354</v>
      </c>
      <c r="E421" s="147"/>
      <c r="F421" s="600">
        <v>154806</v>
      </c>
      <c r="G421" s="329"/>
      <c r="H421" s="329"/>
      <c r="I421" s="329"/>
      <c r="J421" s="329"/>
      <c r="K421" s="329"/>
      <c r="L421" s="330"/>
      <c r="M421" s="330"/>
      <c r="N421" s="330"/>
      <c r="O421" s="329"/>
      <c r="P421" s="329"/>
      <c r="Q421" s="101"/>
      <c r="R421" s="343"/>
    </row>
    <row r="422" spans="1:18" ht="12.75" customHeight="1" hidden="1">
      <c r="A422" s="346"/>
      <c r="B422" s="346"/>
      <c r="C422" s="144" t="s">
        <v>829</v>
      </c>
      <c r="D422" s="380" t="s">
        <v>355</v>
      </c>
      <c r="E422" s="147"/>
      <c r="F422" s="600">
        <v>154807</v>
      </c>
      <c r="G422" s="329"/>
      <c r="H422" s="329"/>
      <c r="I422" s="329"/>
      <c r="J422" s="329"/>
      <c r="K422" s="329"/>
      <c r="L422" s="330"/>
      <c r="M422" s="330"/>
      <c r="N422" s="330"/>
      <c r="O422" s="329"/>
      <c r="P422" s="329"/>
      <c r="Q422" s="101"/>
      <c r="R422" s="343"/>
    </row>
    <row r="423" spans="1:18" ht="12.75" customHeight="1" hidden="1">
      <c r="A423" s="346"/>
      <c r="B423" s="346"/>
      <c r="C423" s="144" t="s">
        <v>830</v>
      </c>
      <c r="D423" s="380" t="s">
        <v>831</v>
      </c>
      <c r="E423" s="147"/>
      <c r="F423" s="600">
        <v>154809</v>
      </c>
      <c r="G423" s="329"/>
      <c r="H423" s="329"/>
      <c r="I423" s="329"/>
      <c r="J423" s="329"/>
      <c r="K423" s="329"/>
      <c r="L423" s="330"/>
      <c r="M423" s="330"/>
      <c r="N423" s="330"/>
      <c r="O423" s="329"/>
      <c r="P423" s="329"/>
      <c r="Q423" s="101"/>
      <c r="R423" s="343"/>
    </row>
    <row r="424" spans="1:18" ht="24.75" customHeight="1" hidden="1">
      <c r="A424" s="346"/>
      <c r="B424" s="346"/>
      <c r="C424" s="144" t="s">
        <v>832</v>
      </c>
      <c r="D424" s="119" t="s">
        <v>450</v>
      </c>
      <c r="E424" s="147"/>
      <c r="F424" s="600">
        <v>152805</v>
      </c>
      <c r="G424" s="25"/>
      <c r="H424" s="245"/>
      <c r="I424" s="25"/>
      <c r="J424" s="25"/>
      <c r="K424" s="25"/>
      <c r="L424" s="25"/>
      <c r="M424" s="25"/>
      <c r="N424" s="25"/>
      <c r="O424" s="25"/>
      <c r="P424" s="25"/>
      <c r="Q424" s="24"/>
      <c r="R424" s="343"/>
    </row>
    <row r="425" spans="1:18" ht="12.75" customHeight="1" hidden="1">
      <c r="A425" s="346"/>
      <c r="B425" s="346"/>
      <c r="C425" s="346" t="s">
        <v>630</v>
      </c>
      <c r="D425" s="357" t="s">
        <v>631</v>
      </c>
      <c r="E425" s="147"/>
      <c r="F425" s="600"/>
      <c r="G425" s="329"/>
      <c r="H425" s="329"/>
      <c r="I425" s="329"/>
      <c r="J425" s="329"/>
      <c r="K425" s="329"/>
      <c r="L425" s="330"/>
      <c r="M425" s="330"/>
      <c r="N425" s="330"/>
      <c r="O425" s="329"/>
      <c r="P425" s="329"/>
      <c r="Q425" s="101"/>
      <c r="R425" s="343"/>
    </row>
    <row r="426" spans="1:18" ht="12.75" customHeight="1" hidden="1">
      <c r="A426" s="346"/>
      <c r="B426" s="346"/>
      <c r="C426" s="144" t="s">
        <v>632</v>
      </c>
      <c r="D426" s="347" t="s">
        <v>833</v>
      </c>
      <c r="E426" s="147"/>
      <c r="F426" s="600">
        <v>152928</v>
      </c>
      <c r="G426" s="329"/>
      <c r="H426" s="329"/>
      <c r="I426" s="329"/>
      <c r="J426" s="329"/>
      <c r="K426" s="329"/>
      <c r="L426" s="330"/>
      <c r="M426" s="330"/>
      <c r="N426" s="330"/>
      <c r="O426" s="329"/>
      <c r="P426" s="329"/>
      <c r="Q426" s="101"/>
      <c r="R426" s="343"/>
    </row>
    <row r="427" spans="1:18" ht="12.75" customHeight="1" hidden="1">
      <c r="A427" s="346"/>
      <c r="B427" s="346"/>
      <c r="C427" s="346"/>
      <c r="D427" s="244" t="s">
        <v>286</v>
      </c>
      <c r="E427" s="147"/>
      <c r="F427" s="600"/>
      <c r="G427" s="329"/>
      <c r="H427" s="329"/>
      <c r="I427" s="329"/>
      <c r="J427" s="329"/>
      <c r="K427" s="329"/>
      <c r="L427" s="330"/>
      <c r="M427" s="330"/>
      <c r="N427" s="330"/>
      <c r="O427" s="329"/>
      <c r="P427" s="329"/>
      <c r="Q427" s="101"/>
      <c r="R427" s="343"/>
    </row>
    <row r="428" spans="1:18" ht="12.75" customHeight="1" hidden="1">
      <c r="A428" s="346"/>
      <c r="B428" s="346"/>
      <c r="C428" s="144" t="s">
        <v>538</v>
      </c>
      <c r="D428" s="244" t="s">
        <v>723</v>
      </c>
      <c r="E428" s="147"/>
      <c r="F428" s="600">
        <v>155418</v>
      </c>
      <c r="G428" s="329"/>
      <c r="H428" s="329"/>
      <c r="I428" s="329"/>
      <c r="J428" s="329"/>
      <c r="K428" s="329"/>
      <c r="L428" s="330"/>
      <c r="M428" s="330"/>
      <c r="N428" s="330"/>
      <c r="O428" s="329"/>
      <c r="P428" s="329"/>
      <c r="Q428" s="101"/>
      <c r="R428" s="343"/>
    </row>
    <row r="429" spans="1:18" ht="12.75" customHeight="1" hidden="1">
      <c r="A429" s="346"/>
      <c r="B429" s="346"/>
      <c r="C429" s="144" t="s">
        <v>489</v>
      </c>
      <c r="D429" s="381" t="s">
        <v>542</v>
      </c>
      <c r="E429" s="147"/>
      <c r="F429" s="600">
        <v>154912</v>
      </c>
      <c r="G429" s="329"/>
      <c r="H429" s="329"/>
      <c r="I429" s="329"/>
      <c r="J429" s="329"/>
      <c r="K429" s="329"/>
      <c r="L429" s="330"/>
      <c r="M429" s="330"/>
      <c r="N429" s="330"/>
      <c r="O429" s="329"/>
      <c r="P429" s="329"/>
      <c r="Q429" s="101"/>
      <c r="R429" s="343"/>
    </row>
    <row r="430" spans="1:18" ht="38.25" customHeight="1" hidden="1">
      <c r="A430" s="346"/>
      <c r="B430" s="346"/>
      <c r="C430" s="144" t="s">
        <v>724</v>
      </c>
      <c r="D430" s="126" t="s">
        <v>544</v>
      </c>
      <c r="E430" s="147"/>
      <c r="F430" s="600">
        <v>174903</v>
      </c>
      <c r="G430" s="329"/>
      <c r="H430" s="329"/>
      <c r="I430" s="329"/>
      <c r="J430" s="329"/>
      <c r="K430" s="329"/>
      <c r="L430" s="330"/>
      <c r="M430" s="330"/>
      <c r="N430" s="330"/>
      <c r="O430" s="329"/>
      <c r="P430" s="329"/>
      <c r="Q430" s="101"/>
      <c r="R430" s="343"/>
    </row>
    <row r="431" spans="1:18" ht="13.5" customHeight="1">
      <c r="A431" s="17"/>
      <c r="B431" s="17"/>
      <c r="C431" s="300"/>
      <c r="D431" s="18" t="s">
        <v>462</v>
      </c>
      <c r="E431" s="301"/>
      <c r="F431" s="591"/>
      <c r="G431" s="19">
        <f aca="true" t="shared" si="23" ref="G431:Q431">SUM(G289:G430)</f>
        <v>0</v>
      </c>
      <c r="H431" s="19">
        <f t="shared" si="23"/>
        <v>0</v>
      </c>
      <c r="I431" s="19">
        <f t="shared" si="23"/>
        <v>300</v>
      </c>
      <c r="J431" s="19">
        <f t="shared" si="23"/>
        <v>0</v>
      </c>
      <c r="K431" s="19">
        <f t="shared" si="23"/>
        <v>0</v>
      </c>
      <c r="L431" s="19">
        <f t="shared" si="23"/>
        <v>0</v>
      </c>
      <c r="M431" s="19">
        <f t="shared" si="23"/>
        <v>-300</v>
      </c>
      <c r="N431" s="19">
        <f t="shared" si="23"/>
        <v>0</v>
      </c>
      <c r="O431" s="19">
        <f t="shared" si="23"/>
        <v>0</v>
      </c>
      <c r="P431" s="19">
        <f t="shared" si="23"/>
        <v>0</v>
      </c>
      <c r="Q431" s="18">
        <f t="shared" si="23"/>
        <v>0</v>
      </c>
      <c r="R431" s="532"/>
    </row>
    <row r="432" spans="1:18" ht="13.5" customHeight="1">
      <c r="A432" s="23">
        <v>1</v>
      </c>
      <c r="B432" s="23">
        <v>16</v>
      </c>
      <c r="C432" s="342"/>
      <c r="D432" s="382" t="s">
        <v>834</v>
      </c>
      <c r="E432" s="147"/>
      <c r="F432" s="600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4"/>
      <c r="R432" s="343"/>
    </row>
    <row r="433" spans="1:18" ht="13.5" customHeight="1">
      <c r="A433" s="23"/>
      <c r="B433" s="23"/>
      <c r="C433" s="342"/>
      <c r="D433" s="383" t="s">
        <v>410</v>
      </c>
      <c r="E433" s="147"/>
      <c r="F433" s="600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4"/>
      <c r="R433" s="343"/>
    </row>
    <row r="434" spans="1:18" ht="13.5" customHeight="1" hidden="1">
      <c r="A434" s="23"/>
      <c r="B434" s="23"/>
      <c r="C434" s="342"/>
      <c r="D434" s="353" t="s">
        <v>835</v>
      </c>
      <c r="E434" s="25">
        <v>2</v>
      </c>
      <c r="F434" s="600">
        <v>161903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4">
        <f>SUM(I434:P434)</f>
        <v>0</v>
      </c>
      <c r="R434" s="343"/>
    </row>
    <row r="435" spans="1:18" ht="24" customHeight="1" hidden="1">
      <c r="A435" s="23"/>
      <c r="B435" s="23"/>
      <c r="C435" s="342"/>
      <c r="D435" s="158" t="s">
        <v>836</v>
      </c>
      <c r="E435" s="25">
        <v>2</v>
      </c>
      <c r="F435" s="600">
        <v>161904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4">
        <f>SUM(I435:P435)</f>
        <v>0</v>
      </c>
      <c r="R435" s="343"/>
    </row>
    <row r="436" spans="1:18" ht="13.5" customHeight="1" hidden="1">
      <c r="A436" s="23"/>
      <c r="B436" s="23"/>
      <c r="C436" s="342"/>
      <c r="D436" s="384" t="s">
        <v>837</v>
      </c>
      <c r="E436" s="25">
        <v>2</v>
      </c>
      <c r="F436" s="600">
        <v>171911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4">
        <f>SUM(I436:P436)</f>
        <v>0</v>
      </c>
      <c r="R436" s="343"/>
    </row>
    <row r="437" spans="1:18" ht="27.75" customHeight="1">
      <c r="A437" s="23"/>
      <c r="B437" s="23"/>
      <c r="C437" s="342"/>
      <c r="D437" s="617" t="s">
        <v>83</v>
      </c>
      <c r="E437" s="147">
        <v>2</v>
      </c>
      <c r="F437" s="600">
        <v>161905</v>
      </c>
      <c r="G437" s="25"/>
      <c r="H437" s="25"/>
      <c r="I437" s="25">
        <v>60000</v>
      </c>
      <c r="J437" s="25"/>
      <c r="K437" s="25"/>
      <c r="L437" s="25"/>
      <c r="M437" s="25"/>
      <c r="N437" s="25"/>
      <c r="O437" s="25"/>
      <c r="P437" s="25"/>
      <c r="Q437" s="24">
        <f>SUM(I437:P437)</f>
        <v>60000</v>
      </c>
      <c r="R437" s="343" t="s">
        <v>733</v>
      </c>
    </row>
    <row r="438" spans="1:18" ht="13.5" customHeight="1">
      <c r="A438" s="97"/>
      <c r="B438" s="97"/>
      <c r="C438" s="385"/>
      <c r="D438" s="345" t="s">
        <v>838</v>
      </c>
      <c r="E438" s="338"/>
      <c r="F438" s="602"/>
      <c r="G438" s="339"/>
      <c r="H438" s="339"/>
      <c r="I438" s="339">
        <f aca="true" t="shared" si="24" ref="I438:Q438">SUM(I434:I437)</f>
        <v>60000</v>
      </c>
      <c r="J438" s="339">
        <f t="shared" si="24"/>
        <v>0</v>
      </c>
      <c r="K438" s="339">
        <f t="shared" si="24"/>
        <v>0</v>
      </c>
      <c r="L438" s="339">
        <f t="shared" si="24"/>
        <v>0</v>
      </c>
      <c r="M438" s="339">
        <f t="shared" si="24"/>
        <v>0</v>
      </c>
      <c r="N438" s="339">
        <f t="shared" si="24"/>
        <v>0</v>
      </c>
      <c r="O438" s="339">
        <f t="shared" si="24"/>
        <v>0</v>
      </c>
      <c r="P438" s="339">
        <f t="shared" si="24"/>
        <v>0</v>
      </c>
      <c r="Q438" s="339">
        <f t="shared" si="24"/>
        <v>60000</v>
      </c>
      <c r="R438" s="532"/>
    </row>
    <row r="439" spans="1:18" ht="12.75" customHeight="1">
      <c r="A439" s="23"/>
      <c r="B439" s="23"/>
      <c r="C439" s="342"/>
      <c r="D439" s="99" t="s">
        <v>839</v>
      </c>
      <c r="E439" s="147"/>
      <c r="F439" s="600"/>
      <c r="G439" s="25"/>
      <c r="H439" s="245"/>
      <c r="I439" s="25"/>
      <c r="J439" s="25"/>
      <c r="K439" s="25"/>
      <c r="L439" s="25"/>
      <c r="M439" s="25"/>
      <c r="N439" s="25"/>
      <c r="O439" s="25"/>
      <c r="P439" s="25"/>
      <c r="Q439" s="24"/>
      <c r="R439" s="343"/>
    </row>
    <row r="440" spans="1:18" ht="12.75" customHeight="1" hidden="1">
      <c r="A440" s="23"/>
      <c r="B440" s="23"/>
      <c r="C440" s="386" t="s">
        <v>548</v>
      </c>
      <c r="D440" s="121" t="s">
        <v>494</v>
      </c>
      <c r="E440" s="387"/>
      <c r="F440" s="605"/>
      <c r="G440" s="388"/>
      <c r="H440" s="389"/>
      <c r="I440" s="388"/>
      <c r="J440" s="388"/>
      <c r="K440" s="388"/>
      <c r="L440" s="390"/>
      <c r="M440" s="388"/>
      <c r="N440" s="388"/>
      <c r="O440" s="388"/>
      <c r="P440" s="388"/>
      <c r="Q440" s="525"/>
      <c r="R440" s="343"/>
    </row>
    <row r="441" spans="1:18" ht="25.5" customHeight="1" hidden="1">
      <c r="A441" s="23"/>
      <c r="B441" s="23"/>
      <c r="C441" s="391" t="s">
        <v>592</v>
      </c>
      <c r="D441" s="392" t="s">
        <v>840</v>
      </c>
      <c r="E441" s="147"/>
      <c r="F441" s="600">
        <v>162112</v>
      </c>
      <c r="G441" s="25"/>
      <c r="H441" s="245"/>
      <c r="I441" s="25"/>
      <c r="J441" s="25"/>
      <c r="K441" s="25"/>
      <c r="L441" s="15"/>
      <c r="M441" s="25"/>
      <c r="N441" s="25"/>
      <c r="O441" s="25"/>
      <c r="P441" s="25"/>
      <c r="Q441" s="24">
        <f aca="true" t="shared" si="25" ref="Q441:Q446">SUM(G441:P441)</f>
        <v>0</v>
      </c>
      <c r="R441" s="343"/>
    </row>
    <row r="442" spans="1:18" ht="12.75" customHeight="1" hidden="1">
      <c r="A442" s="23"/>
      <c r="B442" s="23"/>
      <c r="C442" s="391" t="s">
        <v>593</v>
      </c>
      <c r="D442" s="392" t="s">
        <v>841</v>
      </c>
      <c r="E442" s="147"/>
      <c r="F442" s="600">
        <v>162107</v>
      </c>
      <c r="G442" s="25"/>
      <c r="H442" s="245"/>
      <c r="I442" s="25"/>
      <c r="J442" s="25"/>
      <c r="K442" s="25"/>
      <c r="L442" s="15"/>
      <c r="M442" s="25"/>
      <c r="N442" s="25"/>
      <c r="O442" s="25"/>
      <c r="P442" s="25"/>
      <c r="Q442" s="24">
        <f t="shared" si="25"/>
        <v>0</v>
      </c>
      <c r="R442" s="343"/>
    </row>
    <row r="443" spans="1:18" ht="12.75" customHeight="1" hidden="1">
      <c r="A443" s="23"/>
      <c r="B443" s="23"/>
      <c r="C443" s="391" t="s">
        <v>594</v>
      </c>
      <c r="D443" s="392" t="s">
        <v>842</v>
      </c>
      <c r="E443" s="147"/>
      <c r="F443" s="600">
        <v>162408</v>
      </c>
      <c r="G443" s="25"/>
      <c r="H443" s="245"/>
      <c r="I443" s="25"/>
      <c r="J443" s="25"/>
      <c r="K443" s="25"/>
      <c r="L443" s="15"/>
      <c r="M443" s="25"/>
      <c r="N443" s="25"/>
      <c r="O443" s="25"/>
      <c r="P443" s="25"/>
      <c r="Q443" s="24">
        <f t="shared" si="25"/>
        <v>0</v>
      </c>
      <c r="R443" s="343"/>
    </row>
    <row r="444" spans="1:18" ht="29.25" customHeight="1" hidden="1">
      <c r="A444" s="23"/>
      <c r="B444" s="23"/>
      <c r="C444" s="391" t="s">
        <v>581</v>
      </c>
      <c r="D444" s="392" t="s">
        <v>843</v>
      </c>
      <c r="E444" s="393"/>
      <c r="F444" s="600">
        <v>162709</v>
      </c>
      <c r="G444" s="343"/>
      <c r="H444" s="343"/>
      <c r="I444" s="343"/>
      <c r="J444" s="343"/>
      <c r="K444" s="343"/>
      <c r="L444" s="394"/>
      <c r="M444" s="343"/>
      <c r="N444" s="343"/>
      <c r="O444" s="343"/>
      <c r="P444" s="343"/>
      <c r="Q444" s="24">
        <f t="shared" si="25"/>
        <v>0</v>
      </c>
      <c r="R444" s="343"/>
    </row>
    <row r="445" spans="1:18" ht="12.75" customHeight="1" hidden="1">
      <c r="A445" s="23"/>
      <c r="B445" s="23"/>
      <c r="C445" s="391" t="s">
        <v>582</v>
      </c>
      <c r="D445" s="392" t="s">
        <v>844</v>
      </c>
      <c r="E445" s="393"/>
      <c r="F445" s="600">
        <v>162110</v>
      </c>
      <c r="G445" s="343"/>
      <c r="H445" s="343"/>
      <c r="I445" s="343"/>
      <c r="J445" s="343"/>
      <c r="K445" s="343"/>
      <c r="L445" s="394"/>
      <c r="M445" s="343"/>
      <c r="N445" s="343"/>
      <c r="O445" s="343"/>
      <c r="P445" s="343"/>
      <c r="Q445" s="24">
        <f t="shared" si="25"/>
        <v>0</v>
      </c>
      <c r="R445" s="343"/>
    </row>
    <row r="446" spans="1:18" ht="27" customHeight="1" hidden="1">
      <c r="A446" s="23"/>
      <c r="B446" s="23"/>
      <c r="C446" s="391" t="s">
        <v>366</v>
      </c>
      <c r="D446" s="392" t="s">
        <v>845</v>
      </c>
      <c r="E446" s="393"/>
      <c r="F446" s="600">
        <v>163311</v>
      </c>
      <c r="G446" s="343"/>
      <c r="H446" s="343"/>
      <c r="I446" s="343"/>
      <c r="J446" s="343"/>
      <c r="K446" s="343"/>
      <c r="L446" s="394"/>
      <c r="M446" s="343"/>
      <c r="N446" s="343"/>
      <c r="O446" s="343"/>
      <c r="P446" s="343"/>
      <c r="Q446" s="24">
        <f t="shared" si="25"/>
        <v>0</v>
      </c>
      <c r="R446" s="343"/>
    </row>
    <row r="447" spans="1:18" ht="12.75" customHeight="1" hidden="1">
      <c r="A447" s="23"/>
      <c r="B447" s="23"/>
      <c r="C447" s="395"/>
      <c r="D447" s="396" t="s">
        <v>286</v>
      </c>
      <c r="E447" s="147"/>
      <c r="F447" s="600"/>
      <c r="G447" s="25"/>
      <c r="H447" s="245"/>
      <c r="I447" s="25"/>
      <c r="J447" s="25"/>
      <c r="K447" s="25"/>
      <c r="L447" s="15"/>
      <c r="M447" s="25"/>
      <c r="N447" s="25"/>
      <c r="O447" s="25"/>
      <c r="P447" s="25"/>
      <c r="Q447" s="24"/>
      <c r="R447" s="343"/>
    </row>
    <row r="448" spans="1:18" ht="25.5" customHeight="1" hidden="1">
      <c r="A448" s="23"/>
      <c r="B448" s="23"/>
      <c r="C448" s="397" t="s">
        <v>492</v>
      </c>
      <c r="D448" s="398" t="s">
        <v>991</v>
      </c>
      <c r="E448" s="399"/>
      <c r="F448" s="606">
        <v>162162</v>
      </c>
      <c r="G448" s="129"/>
      <c r="H448" s="400"/>
      <c r="I448" s="129"/>
      <c r="J448" s="129"/>
      <c r="K448" s="129"/>
      <c r="L448" s="401"/>
      <c r="M448" s="129"/>
      <c r="N448" s="129"/>
      <c r="O448" s="129"/>
      <c r="P448" s="129"/>
      <c r="Q448" s="526">
        <f aca="true" t="shared" si="26" ref="Q448:Q456">SUM(G448:P448)</f>
        <v>0</v>
      </c>
      <c r="R448" s="343"/>
    </row>
    <row r="449" spans="1:18" ht="25.5" customHeight="1" hidden="1">
      <c r="A449" s="23"/>
      <c r="B449" s="23"/>
      <c r="C449" s="402" t="s">
        <v>520</v>
      </c>
      <c r="D449" s="111" t="s">
        <v>1063</v>
      </c>
      <c r="E449" s="147"/>
      <c r="F449" s="600">
        <v>162160</v>
      </c>
      <c r="G449" s="25"/>
      <c r="H449" s="245"/>
      <c r="I449" s="25"/>
      <c r="J449" s="25"/>
      <c r="K449" s="25"/>
      <c r="L449" s="15"/>
      <c r="M449" s="25"/>
      <c r="N449" s="25"/>
      <c r="O449" s="25"/>
      <c r="P449" s="25"/>
      <c r="Q449" s="24">
        <f t="shared" si="26"/>
        <v>0</v>
      </c>
      <c r="R449" s="343"/>
    </row>
    <row r="450" spans="1:18" ht="26.25" customHeight="1" hidden="1">
      <c r="A450" s="23"/>
      <c r="B450" s="23"/>
      <c r="C450" s="402" t="s">
        <v>521</v>
      </c>
      <c r="D450" s="105" t="s">
        <v>1064</v>
      </c>
      <c r="E450" s="147"/>
      <c r="F450" s="600">
        <v>152113</v>
      </c>
      <c r="G450" s="25"/>
      <c r="H450" s="245"/>
      <c r="I450" s="25"/>
      <c r="J450" s="25"/>
      <c r="K450" s="25"/>
      <c r="L450" s="15"/>
      <c r="M450" s="25"/>
      <c r="N450" s="25"/>
      <c r="O450" s="25"/>
      <c r="P450" s="25"/>
      <c r="Q450" s="24">
        <f t="shared" si="26"/>
        <v>0</v>
      </c>
      <c r="R450" s="343"/>
    </row>
    <row r="451" spans="1:18" ht="12.75" customHeight="1" hidden="1">
      <c r="A451" s="23"/>
      <c r="B451" s="23"/>
      <c r="C451" s="402" t="s">
        <v>522</v>
      </c>
      <c r="D451" s="105" t="s">
        <v>846</v>
      </c>
      <c r="E451" s="147"/>
      <c r="F451" s="600">
        <v>162164</v>
      </c>
      <c r="G451" s="25"/>
      <c r="H451" s="245"/>
      <c r="I451" s="25"/>
      <c r="J451" s="25"/>
      <c r="K451" s="25"/>
      <c r="L451" s="15"/>
      <c r="M451" s="25"/>
      <c r="N451" s="25"/>
      <c r="O451" s="25"/>
      <c r="P451" s="25"/>
      <c r="Q451" s="24">
        <f t="shared" si="26"/>
        <v>0</v>
      </c>
      <c r="R451" s="343"/>
    </row>
    <row r="452" spans="1:18" ht="12.75" customHeight="1" hidden="1">
      <c r="A452" s="23"/>
      <c r="B452" s="23"/>
      <c r="C452" s="403" t="s">
        <v>595</v>
      </c>
      <c r="D452" s="404" t="s">
        <v>358</v>
      </c>
      <c r="E452" s="147"/>
      <c r="F452" s="600"/>
      <c r="G452" s="25"/>
      <c r="H452" s="245"/>
      <c r="I452" s="25"/>
      <c r="J452" s="25"/>
      <c r="K452" s="25"/>
      <c r="L452" s="15"/>
      <c r="M452" s="25"/>
      <c r="N452" s="25"/>
      <c r="O452" s="25"/>
      <c r="P452" s="25"/>
      <c r="Q452" s="24">
        <f t="shared" si="26"/>
        <v>0</v>
      </c>
      <c r="R452" s="343"/>
    </row>
    <row r="453" spans="1:18" ht="12.75" customHeight="1" hidden="1">
      <c r="A453" s="23"/>
      <c r="B453" s="23"/>
      <c r="C453" s="405" t="s">
        <v>596</v>
      </c>
      <c r="D453" s="323" t="s">
        <v>847</v>
      </c>
      <c r="E453" s="147"/>
      <c r="F453" s="600">
        <v>162207</v>
      </c>
      <c r="G453" s="25"/>
      <c r="H453" s="245"/>
      <c r="I453" s="25"/>
      <c r="J453" s="25"/>
      <c r="K453" s="25"/>
      <c r="L453" s="15"/>
      <c r="M453" s="25"/>
      <c r="N453" s="25"/>
      <c r="O453" s="25"/>
      <c r="P453" s="25"/>
      <c r="Q453" s="24">
        <f t="shared" si="26"/>
        <v>0</v>
      </c>
      <c r="R453" s="343"/>
    </row>
    <row r="454" spans="1:18" ht="12.75" customHeight="1" hidden="1">
      <c r="A454" s="23"/>
      <c r="B454" s="23"/>
      <c r="C454" s="405" t="s">
        <v>473</v>
      </c>
      <c r="D454" s="323" t="s">
        <v>848</v>
      </c>
      <c r="E454" s="147"/>
      <c r="F454" s="600">
        <v>162206</v>
      </c>
      <c r="G454" s="25"/>
      <c r="H454" s="245"/>
      <c r="I454" s="25"/>
      <c r="J454" s="25"/>
      <c r="K454" s="25"/>
      <c r="L454" s="15"/>
      <c r="M454" s="25"/>
      <c r="N454" s="25"/>
      <c r="O454" s="25"/>
      <c r="P454" s="25"/>
      <c r="Q454" s="24">
        <f t="shared" si="26"/>
        <v>0</v>
      </c>
      <c r="R454" s="343"/>
    </row>
    <row r="455" spans="1:18" ht="12.75" customHeight="1" hidden="1">
      <c r="A455" s="23"/>
      <c r="B455" s="23"/>
      <c r="C455" s="405"/>
      <c r="D455" s="396" t="s">
        <v>286</v>
      </c>
      <c r="E455" s="147"/>
      <c r="F455" s="600"/>
      <c r="G455" s="25"/>
      <c r="H455" s="245"/>
      <c r="I455" s="25"/>
      <c r="J455" s="25"/>
      <c r="K455" s="25"/>
      <c r="L455" s="15"/>
      <c r="M455" s="25"/>
      <c r="N455" s="25"/>
      <c r="O455" s="25"/>
      <c r="P455" s="25"/>
      <c r="Q455" s="24"/>
      <c r="R455" s="343"/>
    </row>
    <row r="456" spans="1:18" ht="38.25" customHeight="1" hidden="1">
      <c r="A456" s="23"/>
      <c r="B456" s="23"/>
      <c r="C456" s="405" t="s">
        <v>742</v>
      </c>
      <c r="D456" s="114" t="s">
        <v>849</v>
      </c>
      <c r="E456" s="147"/>
      <c r="F456" s="600">
        <v>162204</v>
      </c>
      <c r="G456" s="25"/>
      <c r="H456" s="245"/>
      <c r="I456" s="25"/>
      <c r="J456" s="25"/>
      <c r="K456" s="25"/>
      <c r="L456" s="15"/>
      <c r="M456" s="25"/>
      <c r="N456" s="25"/>
      <c r="O456" s="25"/>
      <c r="P456" s="25"/>
      <c r="Q456" s="24">
        <f t="shared" si="26"/>
        <v>0</v>
      </c>
      <c r="R456" s="343"/>
    </row>
    <row r="457" spans="1:18" ht="12.75" customHeight="1" hidden="1">
      <c r="A457" s="23"/>
      <c r="B457" s="23"/>
      <c r="C457" s="378" t="s">
        <v>597</v>
      </c>
      <c r="D457" s="379" t="s">
        <v>549</v>
      </c>
      <c r="E457" s="147"/>
      <c r="F457" s="600"/>
      <c r="G457" s="25"/>
      <c r="H457" s="245"/>
      <c r="I457" s="25"/>
      <c r="J457" s="25"/>
      <c r="K457" s="25"/>
      <c r="L457" s="25"/>
      <c r="M457" s="25"/>
      <c r="N457" s="25"/>
      <c r="O457" s="25"/>
      <c r="P457" s="25"/>
      <c r="Q457" s="24"/>
      <c r="R457" s="343"/>
    </row>
    <row r="458" spans="1:18" ht="12.75" customHeight="1" hidden="1">
      <c r="A458" s="23"/>
      <c r="B458" s="23"/>
      <c r="C458" s="378"/>
      <c r="D458" s="406" t="s">
        <v>286</v>
      </c>
      <c r="E458" s="147"/>
      <c r="F458" s="600"/>
      <c r="G458" s="25"/>
      <c r="H458" s="245"/>
      <c r="I458" s="25"/>
      <c r="J458" s="25"/>
      <c r="K458" s="25"/>
      <c r="L458" s="25"/>
      <c r="M458" s="25"/>
      <c r="N458" s="25"/>
      <c r="O458" s="25"/>
      <c r="P458" s="25"/>
      <c r="Q458" s="24"/>
      <c r="R458" s="343"/>
    </row>
    <row r="459" spans="1:18" ht="26.25" customHeight="1" hidden="1">
      <c r="A459" s="23"/>
      <c r="B459" s="23"/>
      <c r="C459" s="405" t="s">
        <v>698</v>
      </c>
      <c r="D459" s="407" t="s">
        <v>850</v>
      </c>
      <c r="E459" s="147" t="s">
        <v>469</v>
      </c>
      <c r="F459" s="600">
        <v>162973</v>
      </c>
      <c r="G459" s="25"/>
      <c r="H459" s="245"/>
      <c r="I459" s="25"/>
      <c r="J459" s="25"/>
      <c r="K459" s="25"/>
      <c r="L459" s="25"/>
      <c r="M459" s="25"/>
      <c r="N459" s="25"/>
      <c r="O459" s="25"/>
      <c r="P459" s="25"/>
      <c r="Q459" s="24">
        <f>SUM(G459:P459)</f>
        <v>0</v>
      </c>
      <c r="R459" s="343"/>
    </row>
    <row r="460" spans="1:18" ht="28.5" customHeight="1" hidden="1">
      <c r="A460" s="23"/>
      <c r="B460" s="23"/>
      <c r="C460" s="405" t="s">
        <v>1065</v>
      </c>
      <c r="D460" s="407" t="s">
        <v>851</v>
      </c>
      <c r="E460" s="147" t="s">
        <v>469</v>
      </c>
      <c r="F460" s="600">
        <v>162974</v>
      </c>
      <c r="G460" s="25"/>
      <c r="H460" s="245"/>
      <c r="I460" s="25"/>
      <c r="J460" s="25"/>
      <c r="K460" s="25"/>
      <c r="L460" s="25"/>
      <c r="M460" s="25"/>
      <c r="N460" s="25"/>
      <c r="O460" s="25"/>
      <c r="P460" s="25"/>
      <c r="Q460" s="24">
        <f>SUM(G460:P460)</f>
        <v>0</v>
      </c>
      <c r="R460" s="343"/>
    </row>
    <row r="461" spans="1:18" ht="12.75" customHeight="1" hidden="1">
      <c r="A461" s="23"/>
      <c r="B461" s="23"/>
      <c r="C461" s="378" t="s">
        <v>598</v>
      </c>
      <c r="D461" s="379" t="s">
        <v>603</v>
      </c>
      <c r="E461" s="147"/>
      <c r="F461" s="600"/>
      <c r="G461" s="25"/>
      <c r="H461" s="245"/>
      <c r="I461" s="25"/>
      <c r="J461" s="25"/>
      <c r="K461" s="25"/>
      <c r="L461" s="25"/>
      <c r="M461" s="25"/>
      <c r="N461" s="25"/>
      <c r="O461" s="25"/>
      <c r="P461" s="25"/>
      <c r="Q461" s="24"/>
      <c r="R461" s="343"/>
    </row>
    <row r="462" spans="1:18" ht="27.75" customHeight="1" hidden="1">
      <c r="A462" s="23"/>
      <c r="B462" s="23"/>
      <c r="C462" s="408" t="s">
        <v>604</v>
      </c>
      <c r="D462" s="323" t="s">
        <v>852</v>
      </c>
      <c r="E462" s="147"/>
      <c r="F462" s="600">
        <v>162412</v>
      </c>
      <c r="G462" s="25"/>
      <c r="H462" s="245"/>
      <c r="I462" s="25"/>
      <c r="J462" s="25"/>
      <c r="K462" s="25"/>
      <c r="L462" s="15"/>
      <c r="M462" s="15"/>
      <c r="N462" s="25"/>
      <c r="O462" s="25"/>
      <c r="P462" s="25"/>
      <c r="Q462" s="24">
        <f aca="true" t="shared" si="27" ref="Q462:Q470">SUM(G462:P462)</f>
        <v>0</v>
      </c>
      <c r="R462" s="343"/>
    </row>
    <row r="463" spans="1:18" ht="38.25" customHeight="1" hidden="1">
      <c r="A463" s="23"/>
      <c r="B463" s="23"/>
      <c r="C463" s="408" t="s">
        <v>605</v>
      </c>
      <c r="D463" s="323" t="s">
        <v>853</v>
      </c>
      <c r="E463" s="147"/>
      <c r="F463" s="600">
        <v>162457</v>
      </c>
      <c r="G463" s="25"/>
      <c r="H463" s="245"/>
      <c r="I463" s="25"/>
      <c r="J463" s="25"/>
      <c r="K463" s="25"/>
      <c r="L463" s="15"/>
      <c r="M463" s="15"/>
      <c r="N463" s="25"/>
      <c r="O463" s="25"/>
      <c r="P463" s="25"/>
      <c r="Q463" s="24">
        <f t="shared" si="27"/>
        <v>0</v>
      </c>
      <c r="R463" s="343"/>
    </row>
    <row r="464" spans="1:18" ht="27.75" customHeight="1" hidden="1">
      <c r="A464" s="23"/>
      <c r="B464" s="23"/>
      <c r="C464" s="408" t="s">
        <v>606</v>
      </c>
      <c r="D464" s="323" t="s">
        <v>854</v>
      </c>
      <c r="E464" s="147"/>
      <c r="F464" s="600">
        <v>162413</v>
      </c>
      <c r="G464" s="25"/>
      <c r="H464" s="245"/>
      <c r="I464" s="25"/>
      <c r="J464" s="25"/>
      <c r="K464" s="25"/>
      <c r="L464" s="15"/>
      <c r="M464" s="15"/>
      <c r="N464" s="25"/>
      <c r="O464" s="25"/>
      <c r="P464" s="25"/>
      <c r="Q464" s="24">
        <f t="shared" si="27"/>
        <v>0</v>
      </c>
      <c r="R464" s="343"/>
    </row>
    <row r="465" spans="1:18" ht="16.5" customHeight="1" hidden="1">
      <c r="A465" s="23"/>
      <c r="B465" s="23"/>
      <c r="C465" s="408" t="s">
        <v>607</v>
      </c>
      <c r="D465" s="323" t="s">
        <v>855</v>
      </c>
      <c r="E465" s="147"/>
      <c r="F465" s="600">
        <v>162414</v>
      </c>
      <c r="G465" s="25"/>
      <c r="H465" s="245"/>
      <c r="I465" s="25"/>
      <c r="J465" s="25"/>
      <c r="K465" s="25"/>
      <c r="L465" s="15"/>
      <c r="M465" s="15"/>
      <c r="N465" s="25"/>
      <c r="O465" s="25"/>
      <c r="P465" s="25"/>
      <c r="Q465" s="24">
        <f t="shared" si="27"/>
        <v>0</v>
      </c>
      <c r="R465" s="343"/>
    </row>
    <row r="466" spans="1:18" ht="15" customHeight="1" hidden="1">
      <c r="A466" s="23"/>
      <c r="B466" s="23"/>
      <c r="C466" s="408" t="s">
        <v>608</v>
      </c>
      <c r="D466" s="323" t="s">
        <v>856</v>
      </c>
      <c r="E466" s="147"/>
      <c r="F466" s="600">
        <v>162447</v>
      </c>
      <c r="G466" s="25"/>
      <c r="H466" s="245"/>
      <c r="I466" s="25"/>
      <c r="J466" s="25"/>
      <c r="K466" s="25"/>
      <c r="L466" s="15"/>
      <c r="M466" s="15"/>
      <c r="N466" s="25"/>
      <c r="O466" s="25"/>
      <c r="P466" s="25"/>
      <c r="Q466" s="24">
        <f t="shared" si="27"/>
        <v>0</v>
      </c>
      <c r="R466" s="343"/>
    </row>
    <row r="467" spans="1:18" ht="27.75" customHeight="1" hidden="1">
      <c r="A467" s="23"/>
      <c r="B467" s="23"/>
      <c r="C467" s="408" t="s">
        <v>609</v>
      </c>
      <c r="D467" s="323" t="s">
        <v>857</v>
      </c>
      <c r="E467" s="147"/>
      <c r="F467" s="600">
        <v>162458</v>
      </c>
      <c r="G467" s="25"/>
      <c r="H467" s="245"/>
      <c r="I467" s="25"/>
      <c r="J467" s="25"/>
      <c r="K467" s="25"/>
      <c r="L467" s="15"/>
      <c r="M467" s="15"/>
      <c r="N467" s="25"/>
      <c r="O467" s="25"/>
      <c r="P467" s="25"/>
      <c r="Q467" s="24">
        <f t="shared" si="27"/>
        <v>0</v>
      </c>
      <c r="R467" s="343"/>
    </row>
    <row r="468" spans="1:18" ht="12.75" customHeight="1" hidden="1">
      <c r="A468" s="23"/>
      <c r="B468" s="23"/>
      <c r="C468" s="408" t="s">
        <v>610</v>
      </c>
      <c r="D468" s="323" t="s">
        <v>858</v>
      </c>
      <c r="E468" s="147"/>
      <c r="F468" s="600">
        <v>162415</v>
      </c>
      <c r="G468" s="25"/>
      <c r="H468" s="245"/>
      <c r="I468" s="25"/>
      <c r="J468" s="25"/>
      <c r="K468" s="25"/>
      <c r="L468" s="15"/>
      <c r="M468" s="394"/>
      <c r="N468" s="343"/>
      <c r="O468" s="343"/>
      <c r="P468" s="343"/>
      <c r="Q468" s="24">
        <f t="shared" si="27"/>
        <v>0</v>
      </c>
      <c r="R468" s="343"/>
    </row>
    <row r="469" spans="1:18" ht="12.75" customHeight="1" hidden="1">
      <c r="A469" s="23"/>
      <c r="B469" s="23"/>
      <c r="C469" s="408" t="s">
        <v>612</v>
      </c>
      <c r="D469" s="323" t="s">
        <v>859</v>
      </c>
      <c r="E469" s="147"/>
      <c r="F469" s="600">
        <v>162416</v>
      </c>
      <c r="G469" s="25"/>
      <c r="H469" s="245"/>
      <c r="I469" s="25"/>
      <c r="J469" s="25"/>
      <c r="K469" s="25"/>
      <c r="L469" s="15"/>
      <c r="M469" s="394"/>
      <c r="N469" s="343"/>
      <c r="O469" s="343"/>
      <c r="P469" s="343"/>
      <c r="Q469" s="24">
        <f t="shared" si="27"/>
        <v>0</v>
      </c>
      <c r="R469" s="343"/>
    </row>
    <row r="470" spans="1:18" ht="12.75" customHeight="1" hidden="1">
      <c r="A470" s="23"/>
      <c r="B470" s="23"/>
      <c r="C470" s="408" t="s">
        <v>613</v>
      </c>
      <c r="D470" s="323" t="s">
        <v>860</v>
      </c>
      <c r="E470" s="147"/>
      <c r="F470" s="600">
        <v>154445</v>
      </c>
      <c r="G470" s="25"/>
      <c r="H470" s="245"/>
      <c r="I470" s="25"/>
      <c r="J470" s="25"/>
      <c r="K470" s="25"/>
      <c r="L470" s="15"/>
      <c r="M470" s="15"/>
      <c r="N470" s="25"/>
      <c r="O470" s="25"/>
      <c r="P470" s="25"/>
      <c r="Q470" s="24">
        <f t="shared" si="27"/>
        <v>0</v>
      </c>
      <c r="R470" s="343"/>
    </row>
    <row r="471" spans="1:18" ht="12.75" customHeight="1" hidden="1">
      <c r="A471" s="23"/>
      <c r="B471" s="23"/>
      <c r="C471" s="378"/>
      <c r="D471" s="106" t="s">
        <v>286</v>
      </c>
      <c r="E471" s="147"/>
      <c r="F471" s="600"/>
      <c r="G471" s="25"/>
      <c r="H471" s="245"/>
      <c r="I471" s="25"/>
      <c r="J471" s="25"/>
      <c r="K471" s="25"/>
      <c r="L471" s="15"/>
      <c r="M471" s="15"/>
      <c r="N471" s="25"/>
      <c r="O471" s="25"/>
      <c r="P471" s="25"/>
      <c r="Q471" s="24"/>
      <c r="R471" s="343"/>
    </row>
    <row r="472" spans="1:18" ht="12.75" customHeight="1" hidden="1">
      <c r="A472" s="23"/>
      <c r="B472" s="23"/>
      <c r="C472" s="408" t="s">
        <v>523</v>
      </c>
      <c r="D472" s="323" t="s">
        <v>1066</v>
      </c>
      <c r="E472" s="147"/>
      <c r="F472" s="600">
        <v>162486</v>
      </c>
      <c r="G472" s="25"/>
      <c r="H472" s="245"/>
      <c r="I472" s="25"/>
      <c r="J472" s="25"/>
      <c r="K472" s="25"/>
      <c r="L472" s="15"/>
      <c r="M472" s="15"/>
      <c r="N472" s="25"/>
      <c r="O472" s="25"/>
      <c r="P472" s="25"/>
      <c r="Q472" s="24">
        <f aca="true" t="shared" si="28" ref="Q472:Q479">SUM(G472:P472)</f>
        <v>0</v>
      </c>
      <c r="R472" s="343"/>
    </row>
    <row r="473" spans="1:18" ht="12.75" customHeight="1" hidden="1">
      <c r="A473" s="23"/>
      <c r="B473" s="23"/>
      <c r="C473" s="408" t="s">
        <v>524</v>
      </c>
      <c r="D473" s="323" t="s">
        <v>451</v>
      </c>
      <c r="E473" s="147"/>
      <c r="F473" s="600">
        <v>162475</v>
      </c>
      <c r="G473" s="25"/>
      <c r="H473" s="245"/>
      <c r="I473" s="25"/>
      <c r="J473" s="25"/>
      <c r="K473" s="25"/>
      <c r="L473" s="15"/>
      <c r="M473" s="15"/>
      <c r="N473" s="25"/>
      <c r="O473" s="25"/>
      <c r="P473" s="25"/>
      <c r="Q473" s="24">
        <f t="shared" si="28"/>
        <v>0</v>
      </c>
      <c r="R473" s="343"/>
    </row>
    <row r="474" spans="1:18" ht="12.75" customHeight="1" hidden="1">
      <c r="A474" s="23"/>
      <c r="B474" s="23"/>
      <c r="C474" s="408" t="s">
        <v>525</v>
      </c>
      <c r="D474" s="409" t="s">
        <v>861</v>
      </c>
      <c r="E474" s="147"/>
      <c r="F474" s="600">
        <v>164406</v>
      </c>
      <c r="G474" s="25"/>
      <c r="H474" s="245"/>
      <c r="I474" s="25"/>
      <c r="J474" s="25"/>
      <c r="K474" s="25"/>
      <c r="L474" s="15"/>
      <c r="M474" s="15"/>
      <c r="N474" s="25"/>
      <c r="O474" s="25"/>
      <c r="P474" s="25"/>
      <c r="Q474" s="24">
        <f t="shared" si="28"/>
        <v>0</v>
      </c>
      <c r="R474" s="343"/>
    </row>
    <row r="475" spans="1:18" ht="12.75" customHeight="1" hidden="1">
      <c r="A475" s="23"/>
      <c r="B475" s="23"/>
      <c r="C475" s="408" t="s">
        <v>526</v>
      </c>
      <c r="D475" s="376" t="s">
        <v>458</v>
      </c>
      <c r="E475" s="147"/>
      <c r="F475" s="600">
        <v>154472</v>
      </c>
      <c r="G475" s="329"/>
      <c r="H475" s="329"/>
      <c r="I475" s="329"/>
      <c r="J475" s="329"/>
      <c r="K475" s="329"/>
      <c r="L475" s="330"/>
      <c r="M475" s="330"/>
      <c r="N475" s="330"/>
      <c r="O475" s="329"/>
      <c r="P475" s="329"/>
      <c r="Q475" s="101">
        <f t="shared" si="28"/>
        <v>0</v>
      </c>
      <c r="R475" s="343"/>
    </row>
    <row r="476" spans="1:18" ht="12.75" customHeight="1" hidden="1">
      <c r="A476" s="23"/>
      <c r="B476" s="23"/>
      <c r="C476" s="378" t="s">
        <v>599</v>
      </c>
      <c r="D476" s="28" t="s">
        <v>550</v>
      </c>
      <c r="E476" s="147"/>
      <c r="F476" s="600"/>
      <c r="G476" s="25"/>
      <c r="H476" s="245"/>
      <c r="I476" s="25"/>
      <c r="J476" s="25"/>
      <c r="K476" s="25"/>
      <c r="L476" s="15"/>
      <c r="M476" s="15"/>
      <c r="N476" s="25"/>
      <c r="O476" s="25"/>
      <c r="P476" s="25"/>
      <c r="Q476" s="24">
        <f t="shared" si="28"/>
        <v>0</v>
      </c>
      <c r="R476" s="343"/>
    </row>
    <row r="477" spans="1:18" ht="12.75" customHeight="1" hidden="1">
      <c r="A477" s="23"/>
      <c r="B477" s="23"/>
      <c r="C477" s="408" t="s">
        <v>620</v>
      </c>
      <c r="D477" s="124" t="s">
        <v>862</v>
      </c>
      <c r="E477" s="147"/>
      <c r="F477" s="600">
        <v>162501</v>
      </c>
      <c r="G477" s="25"/>
      <c r="H477" s="245"/>
      <c r="I477" s="25"/>
      <c r="J477" s="25"/>
      <c r="K477" s="25"/>
      <c r="L477" s="15"/>
      <c r="M477" s="15"/>
      <c r="N477" s="25"/>
      <c r="O477" s="25"/>
      <c r="P477" s="25"/>
      <c r="Q477" s="24">
        <f t="shared" si="28"/>
        <v>0</v>
      </c>
      <c r="R477" s="343"/>
    </row>
    <row r="478" spans="1:18" ht="12.75" customHeight="1" hidden="1">
      <c r="A478" s="23"/>
      <c r="B478" s="23"/>
      <c r="C478" s="378"/>
      <c r="D478" s="406" t="s">
        <v>286</v>
      </c>
      <c r="E478" s="147"/>
      <c r="F478" s="600"/>
      <c r="G478" s="25"/>
      <c r="H478" s="245"/>
      <c r="I478" s="25"/>
      <c r="J478" s="25"/>
      <c r="K478" s="25"/>
      <c r="L478" s="15"/>
      <c r="M478" s="15"/>
      <c r="N478" s="25"/>
      <c r="O478" s="25"/>
      <c r="P478" s="25"/>
      <c r="Q478" s="24">
        <f t="shared" si="28"/>
        <v>0</v>
      </c>
      <c r="R478" s="343"/>
    </row>
    <row r="479" spans="1:18" ht="29.25" customHeight="1" hidden="1">
      <c r="A479" s="23"/>
      <c r="B479" s="23"/>
      <c r="C479" s="408" t="s">
        <v>680</v>
      </c>
      <c r="D479" s="410" t="s">
        <v>356</v>
      </c>
      <c r="E479" s="147"/>
      <c r="F479" s="600">
        <v>164501</v>
      </c>
      <c r="G479" s="25"/>
      <c r="H479" s="245"/>
      <c r="I479" s="25"/>
      <c r="J479" s="25"/>
      <c r="K479" s="25"/>
      <c r="L479" s="15"/>
      <c r="M479" s="15"/>
      <c r="N479" s="25"/>
      <c r="O479" s="25"/>
      <c r="P479" s="25"/>
      <c r="Q479" s="24">
        <f t="shared" si="28"/>
        <v>0</v>
      </c>
      <c r="R479" s="343"/>
    </row>
    <row r="480" spans="1:18" ht="12.75" customHeight="1" hidden="1">
      <c r="A480" s="23"/>
      <c r="B480" s="23"/>
      <c r="C480" s="378" t="s">
        <v>600</v>
      </c>
      <c r="D480" s="379" t="s">
        <v>863</v>
      </c>
      <c r="E480" s="147"/>
      <c r="F480" s="600"/>
      <c r="G480" s="25"/>
      <c r="H480" s="245"/>
      <c r="I480" s="25"/>
      <c r="J480" s="25"/>
      <c r="K480" s="25"/>
      <c r="L480" s="15"/>
      <c r="M480" s="15"/>
      <c r="N480" s="25"/>
      <c r="O480" s="25"/>
      <c r="P480" s="25"/>
      <c r="Q480" s="24"/>
      <c r="R480" s="343"/>
    </row>
    <row r="481" spans="1:18" ht="12.75" customHeight="1" hidden="1">
      <c r="A481" s="23"/>
      <c r="B481" s="23"/>
      <c r="C481" s="408" t="s">
        <v>625</v>
      </c>
      <c r="D481" s="377" t="s">
        <v>530</v>
      </c>
      <c r="E481" s="147"/>
      <c r="F481" s="600">
        <v>162601</v>
      </c>
      <c r="G481" s="25"/>
      <c r="H481" s="245"/>
      <c r="I481" s="25"/>
      <c r="J481" s="25"/>
      <c r="K481" s="25"/>
      <c r="L481" s="15"/>
      <c r="M481" s="15"/>
      <c r="N481" s="25"/>
      <c r="O481" s="25"/>
      <c r="P481" s="25"/>
      <c r="Q481" s="24">
        <f>SUM(G481:P481)</f>
        <v>0</v>
      </c>
      <c r="R481" s="343"/>
    </row>
    <row r="482" spans="1:18" ht="12.75" customHeight="1" hidden="1">
      <c r="A482" s="23"/>
      <c r="B482" s="23"/>
      <c r="C482" s="408" t="s">
        <v>626</v>
      </c>
      <c r="D482" s="411" t="s">
        <v>864</v>
      </c>
      <c r="E482" s="147"/>
      <c r="F482" s="600">
        <v>162602</v>
      </c>
      <c r="G482" s="25"/>
      <c r="H482" s="245"/>
      <c r="I482" s="25"/>
      <c r="J482" s="25"/>
      <c r="K482" s="25"/>
      <c r="L482" s="15"/>
      <c r="M482" s="15"/>
      <c r="N482" s="25"/>
      <c r="O482" s="25"/>
      <c r="P482" s="25"/>
      <c r="Q482" s="24">
        <f>SUM(G482:P482)</f>
        <v>0</v>
      </c>
      <c r="R482" s="343"/>
    </row>
    <row r="483" spans="1:18" ht="12.75" customHeight="1" hidden="1">
      <c r="A483" s="23"/>
      <c r="B483" s="23"/>
      <c r="C483" s="408" t="s">
        <v>627</v>
      </c>
      <c r="D483" s="412" t="s">
        <v>865</v>
      </c>
      <c r="E483" s="147"/>
      <c r="F483" s="600">
        <v>162614</v>
      </c>
      <c r="G483" s="25"/>
      <c r="H483" s="245"/>
      <c r="I483" s="25"/>
      <c r="J483" s="25"/>
      <c r="K483" s="25"/>
      <c r="L483" s="25"/>
      <c r="M483" s="25"/>
      <c r="N483" s="25"/>
      <c r="O483" s="25"/>
      <c r="P483" s="25"/>
      <c r="Q483" s="24">
        <f>SUM(G483:P483)</f>
        <v>0</v>
      </c>
      <c r="R483" s="343"/>
    </row>
    <row r="484" spans="1:18" ht="12.75" customHeight="1" hidden="1">
      <c r="A484" s="23"/>
      <c r="B484" s="23"/>
      <c r="C484" s="408" t="s">
        <v>493</v>
      </c>
      <c r="D484" s="413" t="s">
        <v>866</v>
      </c>
      <c r="E484" s="147"/>
      <c r="F484" s="600">
        <v>162451</v>
      </c>
      <c r="G484" s="25"/>
      <c r="H484" s="245"/>
      <c r="I484" s="25"/>
      <c r="J484" s="25"/>
      <c r="K484" s="25"/>
      <c r="L484" s="25"/>
      <c r="M484" s="25"/>
      <c r="N484" s="25"/>
      <c r="O484" s="25"/>
      <c r="P484" s="25"/>
      <c r="Q484" s="24">
        <f>SUM(G484:P484)</f>
        <v>0</v>
      </c>
      <c r="R484" s="343"/>
    </row>
    <row r="485" spans="1:18" ht="12.75" customHeight="1" hidden="1">
      <c r="A485" s="23"/>
      <c r="B485" s="23"/>
      <c r="C485" s="408"/>
      <c r="D485" s="406" t="s">
        <v>286</v>
      </c>
      <c r="E485" s="147"/>
      <c r="F485" s="600"/>
      <c r="G485" s="25"/>
      <c r="H485" s="245"/>
      <c r="I485" s="25"/>
      <c r="J485" s="25"/>
      <c r="K485" s="25"/>
      <c r="L485" s="25"/>
      <c r="M485" s="25"/>
      <c r="N485" s="25"/>
      <c r="O485" s="25"/>
      <c r="P485" s="25"/>
      <c r="Q485" s="24"/>
      <c r="R485" s="343"/>
    </row>
    <row r="486" spans="1:18" ht="24" customHeight="1" hidden="1">
      <c r="A486" s="23"/>
      <c r="B486" s="23"/>
      <c r="C486" s="408" t="s">
        <v>531</v>
      </c>
      <c r="D486" s="117" t="s">
        <v>1071</v>
      </c>
      <c r="E486" s="147"/>
      <c r="F486" s="600">
        <v>162606</v>
      </c>
      <c r="G486" s="25"/>
      <c r="H486" s="245"/>
      <c r="I486" s="25"/>
      <c r="J486" s="25"/>
      <c r="K486" s="25"/>
      <c r="L486" s="25"/>
      <c r="M486" s="25"/>
      <c r="N486" s="25"/>
      <c r="O486" s="25"/>
      <c r="P486" s="25"/>
      <c r="Q486" s="24">
        <f aca="true" t="shared" si="29" ref="Q486:Q501">SUM(G486:P486)</f>
        <v>0</v>
      </c>
      <c r="R486" s="343"/>
    </row>
    <row r="487" spans="1:18" ht="12.75" customHeight="1" hidden="1">
      <c r="A487" s="23"/>
      <c r="B487" s="23"/>
      <c r="C487" s="414" t="s">
        <v>532</v>
      </c>
      <c r="D487" s="415" t="s">
        <v>487</v>
      </c>
      <c r="E487" s="14"/>
      <c r="F487" s="592">
        <v>162613</v>
      </c>
      <c r="G487" s="15"/>
      <c r="H487" s="146"/>
      <c r="I487" s="15"/>
      <c r="J487" s="15"/>
      <c r="K487" s="15"/>
      <c r="L487" s="15"/>
      <c r="M487" s="15"/>
      <c r="N487" s="15"/>
      <c r="O487" s="15"/>
      <c r="P487" s="15"/>
      <c r="Q487" s="16">
        <f t="shared" si="29"/>
        <v>0</v>
      </c>
      <c r="R487" s="343"/>
    </row>
    <row r="488" spans="1:18" ht="26.25" customHeight="1" hidden="1">
      <c r="A488" s="23"/>
      <c r="B488" s="23"/>
      <c r="C488" s="408" t="s">
        <v>533</v>
      </c>
      <c r="D488" s="122" t="s">
        <v>867</v>
      </c>
      <c r="E488" s="147" t="s">
        <v>469</v>
      </c>
      <c r="F488" s="600">
        <v>162683</v>
      </c>
      <c r="G488" s="25"/>
      <c r="H488" s="245"/>
      <c r="I488" s="25"/>
      <c r="J488" s="25"/>
      <c r="K488" s="25"/>
      <c r="L488" s="15"/>
      <c r="M488" s="25"/>
      <c r="N488" s="25"/>
      <c r="O488" s="25"/>
      <c r="P488" s="25"/>
      <c r="Q488" s="24">
        <f t="shared" si="29"/>
        <v>0</v>
      </c>
      <c r="R488" s="343"/>
    </row>
    <row r="489" spans="1:18" ht="12.75" customHeight="1" hidden="1">
      <c r="A489" s="23"/>
      <c r="B489" s="23"/>
      <c r="C489" s="408" t="s">
        <v>534</v>
      </c>
      <c r="D489" s="115" t="s">
        <v>868</v>
      </c>
      <c r="E489" s="147" t="s">
        <v>469</v>
      </c>
      <c r="F489" s="600">
        <v>162403</v>
      </c>
      <c r="G489" s="25"/>
      <c r="H489" s="245"/>
      <c r="I489" s="25"/>
      <c r="J489" s="25"/>
      <c r="K489" s="25"/>
      <c r="L489" s="15"/>
      <c r="M489" s="25"/>
      <c r="N489" s="25"/>
      <c r="O489" s="25"/>
      <c r="P489" s="25"/>
      <c r="Q489" s="24">
        <f t="shared" si="29"/>
        <v>0</v>
      </c>
      <c r="R489" s="343"/>
    </row>
    <row r="490" spans="1:18" ht="12.75" customHeight="1" hidden="1">
      <c r="A490" s="23"/>
      <c r="B490" s="23"/>
      <c r="C490" s="414" t="s">
        <v>535</v>
      </c>
      <c r="D490" s="112" t="s">
        <v>452</v>
      </c>
      <c r="E490" s="147"/>
      <c r="F490" s="600">
        <v>162642</v>
      </c>
      <c r="G490" s="25"/>
      <c r="H490" s="245"/>
      <c r="I490" s="25"/>
      <c r="J490" s="25"/>
      <c r="K490" s="25"/>
      <c r="L490" s="15"/>
      <c r="M490" s="25"/>
      <c r="N490" s="25"/>
      <c r="O490" s="25"/>
      <c r="P490" s="25"/>
      <c r="Q490" s="24">
        <f t="shared" si="29"/>
        <v>0</v>
      </c>
      <c r="R490" s="343"/>
    </row>
    <row r="491" spans="1:18" ht="25.5" customHeight="1" hidden="1">
      <c r="A491" s="23"/>
      <c r="B491" s="23"/>
      <c r="C491" s="414" t="s">
        <v>536</v>
      </c>
      <c r="D491" s="112" t="s">
        <v>453</v>
      </c>
      <c r="E491" s="147"/>
      <c r="F491" s="600">
        <v>162643</v>
      </c>
      <c r="G491" s="25"/>
      <c r="H491" s="245"/>
      <c r="I491" s="25"/>
      <c r="J491" s="25"/>
      <c r="K491" s="25"/>
      <c r="L491" s="15"/>
      <c r="M491" s="25"/>
      <c r="N491" s="25"/>
      <c r="O491" s="25"/>
      <c r="P491" s="25"/>
      <c r="Q491" s="24">
        <f t="shared" si="29"/>
        <v>0</v>
      </c>
      <c r="R491" s="343"/>
    </row>
    <row r="492" spans="1:18" ht="26.25" customHeight="1" hidden="1">
      <c r="A492" s="23"/>
      <c r="B492" s="23"/>
      <c r="C492" s="414" t="s">
        <v>1078</v>
      </c>
      <c r="D492" s="323" t="s">
        <v>869</v>
      </c>
      <c r="E492" s="147"/>
      <c r="F492" s="600">
        <v>162678</v>
      </c>
      <c r="G492" s="25"/>
      <c r="H492" s="245"/>
      <c r="I492" s="25"/>
      <c r="J492" s="25"/>
      <c r="K492" s="25"/>
      <c r="L492" s="15"/>
      <c r="M492" s="25"/>
      <c r="N492" s="25"/>
      <c r="O492" s="25"/>
      <c r="P492" s="25"/>
      <c r="Q492" s="24">
        <f t="shared" si="29"/>
        <v>0</v>
      </c>
      <c r="R492" s="343"/>
    </row>
    <row r="493" spans="1:18" ht="12.75" customHeight="1" hidden="1">
      <c r="A493" s="23"/>
      <c r="B493" s="23"/>
      <c r="C493" s="414" t="s">
        <v>1079</v>
      </c>
      <c r="D493" s="416" t="s">
        <v>1077</v>
      </c>
      <c r="E493" s="147"/>
      <c r="F493" s="600">
        <v>162672</v>
      </c>
      <c r="G493" s="25"/>
      <c r="H493" s="245"/>
      <c r="I493" s="25"/>
      <c r="J493" s="25"/>
      <c r="K493" s="25"/>
      <c r="L493" s="15"/>
      <c r="M493" s="25"/>
      <c r="N493" s="25"/>
      <c r="O493" s="25"/>
      <c r="P493" s="25"/>
      <c r="Q493" s="24">
        <f t="shared" si="29"/>
        <v>0</v>
      </c>
      <c r="R493" s="343"/>
    </row>
    <row r="494" spans="1:18" ht="27.75" customHeight="1" hidden="1">
      <c r="A494" s="23"/>
      <c r="B494" s="23"/>
      <c r="C494" s="414" t="s">
        <v>1080</v>
      </c>
      <c r="D494" s="417" t="s">
        <v>648</v>
      </c>
      <c r="E494" s="147"/>
      <c r="F494" s="600">
        <v>162664</v>
      </c>
      <c r="G494" s="25"/>
      <c r="H494" s="245"/>
      <c r="I494" s="25"/>
      <c r="J494" s="25"/>
      <c r="K494" s="25"/>
      <c r="L494" s="15"/>
      <c r="M494" s="25"/>
      <c r="N494" s="25"/>
      <c r="O494" s="25"/>
      <c r="P494" s="25"/>
      <c r="Q494" s="24">
        <f t="shared" si="29"/>
        <v>0</v>
      </c>
      <c r="R494" s="343"/>
    </row>
    <row r="495" spans="1:18" ht="38.25" customHeight="1" hidden="1">
      <c r="A495" s="23"/>
      <c r="B495" s="23"/>
      <c r="C495" s="414" t="s">
        <v>1082</v>
      </c>
      <c r="D495" s="417" t="s">
        <v>649</v>
      </c>
      <c r="E495" s="147"/>
      <c r="F495" s="600">
        <v>162665</v>
      </c>
      <c r="G495" s="25"/>
      <c r="H495" s="245"/>
      <c r="I495" s="25"/>
      <c r="J495" s="25"/>
      <c r="K495" s="25"/>
      <c r="L495" s="25"/>
      <c r="M495" s="25"/>
      <c r="N495" s="25"/>
      <c r="O495" s="25"/>
      <c r="P495" s="25"/>
      <c r="Q495" s="24">
        <f t="shared" si="29"/>
        <v>0</v>
      </c>
      <c r="R495" s="343"/>
    </row>
    <row r="496" spans="1:18" ht="27.75" customHeight="1" hidden="1">
      <c r="A496" s="23"/>
      <c r="B496" s="23"/>
      <c r="C496" s="414" t="s">
        <v>1083</v>
      </c>
      <c r="D496" s="418" t="s">
        <v>475</v>
      </c>
      <c r="E496" s="147"/>
      <c r="F496" s="600">
        <v>162662</v>
      </c>
      <c r="G496" s="25"/>
      <c r="H496" s="245"/>
      <c r="I496" s="25"/>
      <c r="J496" s="25"/>
      <c r="K496" s="25"/>
      <c r="L496" s="25"/>
      <c r="M496" s="25"/>
      <c r="N496" s="25"/>
      <c r="O496" s="25"/>
      <c r="P496" s="25"/>
      <c r="Q496" s="24">
        <f t="shared" si="29"/>
        <v>0</v>
      </c>
      <c r="R496" s="343"/>
    </row>
    <row r="497" spans="1:18" ht="40.5" customHeight="1" hidden="1">
      <c r="A497" s="23"/>
      <c r="B497" s="23"/>
      <c r="C497" s="414" t="s">
        <v>1084</v>
      </c>
      <c r="D497" s="419" t="s">
        <v>1081</v>
      </c>
      <c r="E497" s="147"/>
      <c r="F497" s="600">
        <v>162671</v>
      </c>
      <c r="G497" s="25"/>
      <c r="H497" s="245"/>
      <c r="I497" s="25"/>
      <c r="J497" s="25"/>
      <c r="K497" s="25"/>
      <c r="L497" s="25"/>
      <c r="M497" s="25"/>
      <c r="N497" s="25"/>
      <c r="O497" s="25"/>
      <c r="P497" s="25"/>
      <c r="Q497" s="24">
        <f t="shared" si="29"/>
        <v>0</v>
      </c>
      <c r="R497" s="343"/>
    </row>
    <row r="498" spans="1:18" ht="25.5" customHeight="1" hidden="1">
      <c r="A498" s="23"/>
      <c r="B498" s="23"/>
      <c r="C498" s="414" t="s">
        <v>1086</v>
      </c>
      <c r="D498" s="417" t="s">
        <v>1085</v>
      </c>
      <c r="E498" s="147"/>
      <c r="F498" s="600">
        <v>162660</v>
      </c>
      <c r="G498" s="25"/>
      <c r="H498" s="245"/>
      <c r="I498" s="25"/>
      <c r="J498" s="25"/>
      <c r="K498" s="25"/>
      <c r="L498" s="25"/>
      <c r="M498" s="25"/>
      <c r="N498" s="25"/>
      <c r="O498" s="25"/>
      <c r="P498" s="25"/>
      <c r="Q498" s="24">
        <f t="shared" si="29"/>
        <v>0</v>
      </c>
      <c r="R498" s="343"/>
    </row>
    <row r="499" spans="1:18" ht="12.75" customHeight="1" hidden="1">
      <c r="A499" s="23"/>
      <c r="B499" s="23"/>
      <c r="C499" s="414" t="s">
        <v>1087</v>
      </c>
      <c r="D499" s="420" t="s">
        <v>488</v>
      </c>
      <c r="E499" s="147"/>
      <c r="F499" s="600">
        <v>162618</v>
      </c>
      <c r="G499" s="25"/>
      <c r="H499" s="245"/>
      <c r="I499" s="25"/>
      <c r="J499" s="25"/>
      <c r="K499" s="25"/>
      <c r="L499" s="25"/>
      <c r="M499" s="25"/>
      <c r="N499" s="25"/>
      <c r="O499" s="25"/>
      <c r="P499" s="25"/>
      <c r="Q499" s="24">
        <f t="shared" si="29"/>
        <v>0</v>
      </c>
      <c r="R499" s="343"/>
    </row>
    <row r="500" spans="1:18" ht="12.75" customHeight="1" hidden="1">
      <c r="A500" s="23"/>
      <c r="B500" s="23"/>
      <c r="C500" s="414" t="s">
        <v>1088</v>
      </c>
      <c r="D500" s="421" t="s">
        <v>442</v>
      </c>
      <c r="E500" s="147"/>
      <c r="F500" s="600">
        <v>162653</v>
      </c>
      <c r="G500" s="25"/>
      <c r="H500" s="245"/>
      <c r="I500" s="25"/>
      <c r="J500" s="25"/>
      <c r="K500" s="25"/>
      <c r="L500" s="25"/>
      <c r="M500" s="25"/>
      <c r="N500" s="25"/>
      <c r="O500" s="25"/>
      <c r="P500" s="25"/>
      <c r="Q500" s="24">
        <f t="shared" si="29"/>
        <v>0</v>
      </c>
      <c r="R500" s="343"/>
    </row>
    <row r="501" spans="1:18" ht="12.75" customHeight="1" hidden="1">
      <c r="A501" s="23"/>
      <c r="B501" s="23"/>
      <c r="C501" s="414" t="s">
        <v>441</v>
      </c>
      <c r="D501" s="422" t="s">
        <v>431</v>
      </c>
      <c r="E501" s="147"/>
      <c r="F501" s="600">
        <v>164604</v>
      </c>
      <c r="G501" s="25"/>
      <c r="H501" s="245"/>
      <c r="I501" s="25"/>
      <c r="J501" s="25"/>
      <c r="K501" s="25"/>
      <c r="L501" s="25"/>
      <c r="M501" s="15"/>
      <c r="N501" s="25"/>
      <c r="O501" s="25"/>
      <c r="P501" s="25"/>
      <c r="Q501" s="24">
        <f t="shared" si="29"/>
        <v>0</v>
      </c>
      <c r="R501" s="343"/>
    </row>
    <row r="502" spans="1:18" ht="12.75" customHeight="1" hidden="1">
      <c r="A502" s="23" t="s">
        <v>122</v>
      </c>
      <c r="B502" s="23"/>
      <c r="C502" s="378" t="s">
        <v>824</v>
      </c>
      <c r="D502" s="379" t="s">
        <v>537</v>
      </c>
      <c r="E502" s="147"/>
      <c r="F502" s="600"/>
      <c r="G502" s="25"/>
      <c r="H502" s="245"/>
      <c r="I502" s="25"/>
      <c r="J502" s="25"/>
      <c r="K502" s="25"/>
      <c r="L502" s="25"/>
      <c r="M502" s="25"/>
      <c r="N502" s="25"/>
      <c r="O502" s="25"/>
      <c r="P502" s="25"/>
      <c r="Q502" s="24"/>
      <c r="R502" s="343"/>
    </row>
    <row r="503" spans="1:18" ht="12.75" customHeight="1" hidden="1">
      <c r="A503" s="23"/>
      <c r="B503" s="23"/>
      <c r="C503" s="408"/>
      <c r="D503" s="406" t="s">
        <v>286</v>
      </c>
      <c r="E503" s="147"/>
      <c r="F503" s="600"/>
      <c r="G503" s="25"/>
      <c r="H503" s="245"/>
      <c r="I503" s="25"/>
      <c r="J503" s="25"/>
      <c r="K503" s="25"/>
      <c r="L503" s="25"/>
      <c r="M503" s="25"/>
      <c r="N503" s="25"/>
      <c r="O503" s="25"/>
      <c r="P503" s="25"/>
      <c r="Q503" s="24"/>
      <c r="R503" s="343"/>
    </row>
    <row r="504" spans="1:18" ht="25.5" customHeight="1" hidden="1">
      <c r="A504" s="23"/>
      <c r="B504" s="23"/>
      <c r="C504" s="408" t="s">
        <v>400</v>
      </c>
      <c r="D504" s="423" t="s">
        <v>1089</v>
      </c>
      <c r="E504" s="147"/>
      <c r="F504" s="600">
        <v>162701</v>
      </c>
      <c r="G504" s="25"/>
      <c r="H504" s="245"/>
      <c r="I504" s="25"/>
      <c r="J504" s="25"/>
      <c r="K504" s="25"/>
      <c r="L504" s="25"/>
      <c r="M504" s="25"/>
      <c r="N504" s="25"/>
      <c r="O504" s="25"/>
      <c r="P504" s="25"/>
      <c r="Q504" s="24">
        <f>SUM(G504:P504)</f>
        <v>0</v>
      </c>
      <c r="R504" s="343"/>
    </row>
    <row r="505" spans="1:18" ht="39" customHeight="1" hidden="1">
      <c r="A505" s="23"/>
      <c r="B505" s="23"/>
      <c r="C505" s="408" t="s">
        <v>1090</v>
      </c>
      <c r="D505" s="424" t="s">
        <v>476</v>
      </c>
      <c r="E505" s="147"/>
      <c r="F505" s="600">
        <v>162711</v>
      </c>
      <c r="G505" s="25"/>
      <c r="H505" s="245"/>
      <c r="I505" s="25"/>
      <c r="J505" s="25"/>
      <c r="K505" s="25"/>
      <c r="L505" s="25"/>
      <c r="M505" s="25"/>
      <c r="N505" s="25"/>
      <c r="O505" s="25"/>
      <c r="P505" s="25"/>
      <c r="Q505" s="24">
        <f>SUM(G505:P505)</f>
        <v>0</v>
      </c>
      <c r="R505" s="343"/>
    </row>
    <row r="506" spans="1:18" ht="50.25" customHeight="1" hidden="1">
      <c r="A506" s="23"/>
      <c r="B506" s="23"/>
      <c r="C506" s="408" t="s">
        <v>870</v>
      </c>
      <c r="D506" s="425" t="s">
        <v>871</v>
      </c>
      <c r="E506" s="147"/>
      <c r="F506" s="600">
        <v>162712</v>
      </c>
      <c r="G506" s="25"/>
      <c r="H506" s="245"/>
      <c r="I506" s="25"/>
      <c r="J506" s="25"/>
      <c r="K506" s="25"/>
      <c r="L506" s="25"/>
      <c r="M506" s="25"/>
      <c r="N506" s="25"/>
      <c r="O506" s="25"/>
      <c r="P506" s="25"/>
      <c r="Q506" s="24">
        <f>SUM(G506:P506)</f>
        <v>0</v>
      </c>
      <c r="R506" s="343"/>
    </row>
    <row r="507" spans="1:18" ht="12.75" customHeight="1" hidden="1">
      <c r="A507" s="23"/>
      <c r="B507" s="23"/>
      <c r="C507" s="378" t="s">
        <v>628</v>
      </c>
      <c r="D507" s="426" t="s">
        <v>629</v>
      </c>
      <c r="E507" s="147"/>
      <c r="F507" s="600"/>
      <c r="G507" s="25"/>
      <c r="H507" s="245"/>
      <c r="I507" s="25"/>
      <c r="J507" s="25"/>
      <c r="K507" s="25"/>
      <c r="L507" s="25"/>
      <c r="M507" s="25"/>
      <c r="N507" s="25"/>
      <c r="O507" s="25"/>
      <c r="P507" s="25"/>
      <c r="Q507" s="24"/>
      <c r="R507" s="343"/>
    </row>
    <row r="508" spans="1:18" ht="12.75" customHeight="1" hidden="1">
      <c r="A508" s="23"/>
      <c r="B508" s="23"/>
      <c r="C508" s="402"/>
      <c r="D508" s="108" t="s">
        <v>286</v>
      </c>
      <c r="E508" s="147"/>
      <c r="F508" s="600"/>
      <c r="G508" s="25"/>
      <c r="H508" s="245"/>
      <c r="I508" s="25"/>
      <c r="J508" s="25"/>
      <c r="K508" s="25"/>
      <c r="L508" s="25"/>
      <c r="M508" s="25"/>
      <c r="N508" s="25"/>
      <c r="O508" s="25"/>
      <c r="P508" s="25"/>
      <c r="Q508" s="24"/>
      <c r="R508" s="343"/>
    </row>
    <row r="509" spans="1:18" ht="24.75" customHeight="1" hidden="1">
      <c r="A509" s="23"/>
      <c r="B509" s="23"/>
      <c r="C509" s="402" t="s">
        <v>1091</v>
      </c>
      <c r="D509" s="427" t="s">
        <v>872</v>
      </c>
      <c r="E509" s="147"/>
      <c r="F509" s="600">
        <v>164906</v>
      </c>
      <c r="G509" s="25"/>
      <c r="H509" s="245"/>
      <c r="I509" s="25"/>
      <c r="J509" s="25"/>
      <c r="K509" s="25"/>
      <c r="L509" s="15"/>
      <c r="M509" s="15"/>
      <c r="N509" s="25"/>
      <c r="O509" s="25"/>
      <c r="P509" s="25"/>
      <c r="Q509" s="24">
        <f>SUM(G509:P509)</f>
        <v>0</v>
      </c>
      <c r="R509" s="343"/>
    </row>
    <row r="510" spans="1:18" ht="12.75" customHeight="1">
      <c r="A510" s="23"/>
      <c r="B510" s="23"/>
      <c r="C510" s="378" t="s">
        <v>630</v>
      </c>
      <c r="D510" s="379" t="s">
        <v>631</v>
      </c>
      <c r="E510" s="147"/>
      <c r="F510" s="600"/>
      <c r="G510" s="25"/>
      <c r="H510" s="245"/>
      <c r="I510" s="25"/>
      <c r="J510" s="25"/>
      <c r="K510" s="25"/>
      <c r="L510" s="15"/>
      <c r="M510" s="15"/>
      <c r="N510" s="25"/>
      <c r="O510" s="25"/>
      <c r="P510" s="25"/>
      <c r="Q510" s="24"/>
      <c r="R510" s="343"/>
    </row>
    <row r="511" spans="1:18" ht="12.75" customHeight="1" hidden="1">
      <c r="A511" s="23"/>
      <c r="B511" s="23"/>
      <c r="C511" s="408" t="s">
        <v>632</v>
      </c>
      <c r="D511" s="377" t="s">
        <v>873</v>
      </c>
      <c r="E511" s="147"/>
      <c r="F511" s="600">
        <v>162903</v>
      </c>
      <c r="G511" s="25"/>
      <c r="H511" s="245"/>
      <c r="I511" s="25"/>
      <c r="J511" s="25"/>
      <c r="K511" s="25"/>
      <c r="L511" s="15"/>
      <c r="M511" s="15"/>
      <c r="N511" s="25"/>
      <c r="O511" s="25"/>
      <c r="P511" s="25"/>
      <c r="Q511" s="24">
        <f aca="true" t="shared" si="30" ref="Q511:Q523">SUM(G511:P511)</f>
        <v>0</v>
      </c>
      <c r="R511" s="343"/>
    </row>
    <row r="512" spans="1:18" ht="26.25" customHeight="1">
      <c r="A512" s="23"/>
      <c r="B512" s="23"/>
      <c r="C512" s="408" t="s">
        <v>633</v>
      </c>
      <c r="D512" s="340" t="s">
        <v>874</v>
      </c>
      <c r="E512" s="147"/>
      <c r="F512" s="600">
        <v>162904</v>
      </c>
      <c r="G512" s="25"/>
      <c r="H512" s="245"/>
      <c r="I512" s="25">
        <v>24091</v>
      </c>
      <c r="J512" s="25"/>
      <c r="K512" s="25"/>
      <c r="L512" s="15">
        <v>34226</v>
      </c>
      <c r="M512" s="15"/>
      <c r="N512" s="25">
        <v>13590</v>
      </c>
      <c r="O512" s="25"/>
      <c r="P512" s="25"/>
      <c r="Q512" s="24">
        <f t="shared" si="30"/>
        <v>71907</v>
      </c>
      <c r="R512" s="343" t="s">
        <v>733</v>
      </c>
    </row>
    <row r="513" spans="1:18" ht="12.75" customHeight="1" hidden="1">
      <c r="A513" s="23"/>
      <c r="B513" s="23"/>
      <c r="C513" s="408" t="s">
        <v>634</v>
      </c>
      <c r="D513" s="340" t="s">
        <v>875</v>
      </c>
      <c r="E513" s="147"/>
      <c r="F513" s="600">
        <v>164506</v>
      </c>
      <c r="G513" s="25"/>
      <c r="H513" s="245"/>
      <c r="I513" s="25"/>
      <c r="J513" s="25"/>
      <c r="K513" s="25"/>
      <c r="L513" s="15"/>
      <c r="M513" s="15"/>
      <c r="N513" s="25"/>
      <c r="O513" s="25"/>
      <c r="P513" s="25"/>
      <c r="Q513" s="24">
        <f t="shared" si="30"/>
        <v>0</v>
      </c>
      <c r="R513" s="343"/>
    </row>
    <row r="514" spans="1:18" ht="39.75" customHeight="1" hidden="1">
      <c r="A514" s="23"/>
      <c r="B514" s="23"/>
      <c r="C514" s="408" t="s">
        <v>635</v>
      </c>
      <c r="D514" s="427" t="s">
        <v>876</v>
      </c>
      <c r="E514" s="14"/>
      <c r="F514" s="592">
        <v>162905</v>
      </c>
      <c r="G514" s="20"/>
      <c r="H514" s="20"/>
      <c r="I514" s="20"/>
      <c r="J514" s="15"/>
      <c r="K514" s="15"/>
      <c r="L514" s="15"/>
      <c r="M514" s="20"/>
      <c r="N514" s="15"/>
      <c r="O514" s="15"/>
      <c r="P514" s="20"/>
      <c r="Q514" s="16">
        <f t="shared" si="30"/>
        <v>0</v>
      </c>
      <c r="R514" s="343"/>
    </row>
    <row r="515" spans="1:18" ht="29.25" customHeight="1" hidden="1">
      <c r="A515" s="23"/>
      <c r="B515" s="23"/>
      <c r="C515" s="408" t="s">
        <v>360</v>
      </c>
      <c r="D515" s="120" t="s">
        <v>490</v>
      </c>
      <c r="E515" s="14"/>
      <c r="F515" s="592">
        <v>172905</v>
      </c>
      <c r="G515" s="15"/>
      <c r="H515" s="15"/>
      <c r="I515" s="15"/>
      <c r="J515" s="15"/>
      <c r="K515" s="15"/>
      <c r="L515" s="15"/>
      <c r="M515" s="15"/>
      <c r="N515" s="15"/>
      <c r="O515" s="20"/>
      <c r="P515" s="20"/>
      <c r="Q515" s="16">
        <f t="shared" si="30"/>
        <v>0</v>
      </c>
      <c r="R515" s="343"/>
    </row>
    <row r="516" spans="1:18" ht="17.25" customHeight="1" hidden="1">
      <c r="A516" s="23"/>
      <c r="B516" s="23"/>
      <c r="C516" s="408" t="s">
        <v>361</v>
      </c>
      <c r="D516" s="427" t="s">
        <v>877</v>
      </c>
      <c r="E516" s="147"/>
      <c r="F516" s="600">
        <v>154908</v>
      </c>
      <c r="G516" s="25"/>
      <c r="H516" s="245"/>
      <c r="I516" s="25"/>
      <c r="J516" s="25"/>
      <c r="K516" s="25"/>
      <c r="L516" s="15"/>
      <c r="M516" s="15"/>
      <c r="N516" s="25"/>
      <c r="O516" s="25"/>
      <c r="P516" s="25"/>
      <c r="Q516" s="24">
        <f t="shared" si="30"/>
        <v>0</v>
      </c>
      <c r="R516" s="343"/>
    </row>
    <row r="517" spans="1:18" ht="29.25" customHeight="1">
      <c r="A517" s="23"/>
      <c r="B517" s="23"/>
      <c r="C517" s="408" t="s">
        <v>432</v>
      </c>
      <c r="D517" s="323" t="s">
        <v>878</v>
      </c>
      <c r="E517" s="147"/>
      <c r="F517" s="600">
        <v>162906</v>
      </c>
      <c r="G517" s="25"/>
      <c r="H517" s="245"/>
      <c r="I517" s="25"/>
      <c r="J517" s="25"/>
      <c r="K517" s="25"/>
      <c r="L517" s="15"/>
      <c r="M517" s="15">
        <v>-13590</v>
      </c>
      <c r="N517" s="25"/>
      <c r="O517" s="25"/>
      <c r="P517" s="25"/>
      <c r="Q517" s="24">
        <f t="shared" si="30"/>
        <v>-13590</v>
      </c>
      <c r="R517" s="343" t="s">
        <v>733</v>
      </c>
    </row>
    <row r="518" spans="1:18" ht="36" customHeight="1" hidden="1">
      <c r="A518" s="23"/>
      <c r="B518" s="23"/>
      <c r="C518" s="408" t="s">
        <v>429</v>
      </c>
      <c r="D518" s="125" t="s">
        <v>539</v>
      </c>
      <c r="E518" s="14"/>
      <c r="F518" s="592">
        <v>174902</v>
      </c>
      <c r="G518" s="15"/>
      <c r="H518" s="15"/>
      <c r="I518" s="15"/>
      <c r="J518" s="15"/>
      <c r="K518" s="15"/>
      <c r="L518" s="15"/>
      <c r="M518" s="15"/>
      <c r="N518" s="15"/>
      <c r="O518" s="20"/>
      <c r="P518" s="20"/>
      <c r="Q518" s="16">
        <f t="shared" si="30"/>
        <v>0</v>
      </c>
      <c r="R518" s="343"/>
    </row>
    <row r="519" spans="1:18" ht="15.75" customHeight="1" hidden="1">
      <c r="A519" s="23"/>
      <c r="B519" s="23"/>
      <c r="C519" s="408" t="s">
        <v>430</v>
      </c>
      <c r="D519" s="384" t="s">
        <v>879</v>
      </c>
      <c r="E519" s="14"/>
      <c r="F519" s="592">
        <v>162907</v>
      </c>
      <c r="G519" s="15"/>
      <c r="H519" s="15"/>
      <c r="I519" s="15"/>
      <c r="J519" s="15"/>
      <c r="K519" s="15"/>
      <c r="L519" s="15"/>
      <c r="M519" s="15"/>
      <c r="N519" s="15"/>
      <c r="O519" s="20"/>
      <c r="P519" s="20"/>
      <c r="Q519" s="16">
        <f t="shared" si="30"/>
        <v>0</v>
      </c>
      <c r="R519" s="343"/>
    </row>
    <row r="520" spans="1:18" ht="12.75" customHeight="1" hidden="1">
      <c r="A520" s="23"/>
      <c r="B520" s="23"/>
      <c r="C520" s="378"/>
      <c r="D520" s="108" t="s">
        <v>286</v>
      </c>
      <c r="E520" s="147"/>
      <c r="F520" s="600"/>
      <c r="G520" s="25"/>
      <c r="H520" s="245"/>
      <c r="I520" s="25"/>
      <c r="J520" s="25"/>
      <c r="K520" s="25"/>
      <c r="L520" s="15"/>
      <c r="M520" s="15"/>
      <c r="N520" s="25"/>
      <c r="O520" s="25"/>
      <c r="P520" s="25"/>
      <c r="Q520" s="24">
        <f t="shared" si="30"/>
        <v>0</v>
      </c>
      <c r="R520" s="343"/>
    </row>
    <row r="521" spans="1:18" ht="25.5" customHeight="1" hidden="1">
      <c r="A521" s="23"/>
      <c r="B521" s="23"/>
      <c r="C521" s="408" t="s">
        <v>538</v>
      </c>
      <c r="D521" s="428" t="s">
        <v>1092</v>
      </c>
      <c r="E521" s="147"/>
      <c r="F521" s="600">
        <v>162909</v>
      </c>
      <c r="G521" s="25"/>
      <c r="H521" s="245"/>
      <c r="I521" s="25"/>
      <c r="J521" s="25"/>
      <c r="K521" s="25"/>
      <c r="L521" s="15"/>
      <c r="M521" s="15"/>
      <c r="N521" s="25"/>
      <c r="O521" s="25"/>
      <c r="P521" s="25"/>
      <c r="Q521" s="24">
        <f t="shared" si="30"/>
        <v>0</v>
      </c>
      <c r="R521" s="343"/>
    </row>
    <row r="522" spans="1:18" ht="14.25" customHeight="1" hidden="1">
      <c r="A522" s="23"/>
      <c r="B522" s="23"/>
      <c r="C522" s="408" t="s">
        <v>724</v>
      </c>
      <c r="D522" s="428" t="s">
        <v>1093</v>
      </c>
      <c r="E522" s="147"/>
      <c r="F522" s="600">
        <v>162901</v>
      </c>
      <c r="G522" s="25"/>
      <c r="H522" s="245"/>
      <c r="I522" s="25"/>
      <c r="J522" s="25"/>
      <c r="K522" s="25"/>
      <c r="L522" s="15"/>
      <c r="M522" s="15"/>
      <c r="N522" s="25"/>
      <c r="O522" s="25"/>
      <c r="P522" s="25"/>
      <c r="Q522" s="24">
        <f t="shared" si="30"/>
        <v>0</v>
      </c>
      <c r="R522" s="343"/>
    </row>
    <row r="523" spans="1:18" ht="26.25" customHeight="1" hidden="1">
      <c r="A523" s="23"/>
      <c r="B523" s="23"/>
      <c r="C523" s="408" t="s">
        <v>725</v>
      </c>
      <c r="D523" s="429" t="s">
        <v>1094</v>
      </c>
      <c r="E523" s="147"/>
      <c r="F523" s="600">
        <v>162910</v>
      </c>
      <c r="G523" s="25"/>
      <c r="H523" s="245"/>
      <c r="I523" s="25"/>
      <c r="J523" s="25"/>
      <c r="K523" s="25"/>
      <c r="L523" s="15"/>
      <c r="M523" s="15"/>
      <c r="N523" s="25"/>
      <c r="O523" s="25"/>
      <c r="P523" s="25"/>
      <c r="Q523" s="24">
        <f t="shared" si="30"/>
        <v>0</v>
      </c>
      <c r="R523" s="343"/>
    </row>
    <row r="524" spans="1:18" ht="12.75" customHeight="1" hidden="1">
      <c r="A524" s="23"/>
      <c r="B524" s="23"/>
      <c r="C524" s="430">
        <v>10</v>
      </c>
      <c r="D524" s="431" t="s">
        <v>880</v>
      </c>
      <c r="E524" s="343"/>
      <c r="F524" s="607"/>
      <c r="G524" s="343"/>
      <c r="H524" s="343"/>
      <c r="I524" s="343"/>
      <c r="J524" s="343"/>
      <c r="K524" s="343"/>
      <c r="L524" s="343"/>
      <c r="M524" s="343"/>
      <c r="N524" s="343"/>
      <c r="O524" s="343"/>
      <c r="P524" s="343"/>
      <c r="Q524" s="527"/>
      <c r="R524" s="343"/>
    </row>
    <row r="525" spans="1:18" ht="27.75" customHeight="1" hidden="1">
      <c r="A525" s="23"/>
      <c r="B525" s="23"/>
      <c r="C525" s="342" t="s">
        <v>881</v>
      </c>
      <c r="D525" s="151" t="s">
        <v>882</v>
      </c>
      <c r="E525" s="147"/>
      <c r="F525" s="600">
        <v>162684</v>
      </c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4">
        <f>SUM(G525:P525)</f>
        <v>0</v>
      </c>
      <c r="R525" s="343"/>
    </row>
    <row r="526" spans="1:18" ht="12.75" customHeight="1">
      <c r="A526" s="17"/>
      <c r="B526" s="17"/>
      <c r="C526" s="300"/>
      <c r="D526" s="18" t="s">
        <v>463</v>
      </c>
      <c r="E526" s="301"/>
      <c r="F526" s="591"/>
      <c r="G526" s="19">
        <f aca="true" t="shared" si="31" ref="G526:Q526">SUM(G438:G525)</f>
        <v>0</v>
      </c>
      <c r="H526" s="19">
        <f t="shared" si="31"/>
        <v>0</v>
      </c>
      <c r="I526" s="19">
        <f t="shared" si="31"/>
        <v>84091</v>
      </c>
      <c r="J526" s="19">
        <f t="shared" si="31"/>
        <v>0</v>
      </c>
      <c r="K526" s="19">
        <f t="shared" si="31"/>
        <v>0</v>
      </c>
      <c r="L526" s="19">
        <f t="shared" si="31"/>
        <v>34226</v>
      </c>
      <c r="M526" s="19">
        <f t="shared" si="31"/>
        <v>-13590</v>
      </c>
      <c r="N526" s="19">
        <f t="shared" si="31"/>
        <v>13590</v>
      </c>
      <c r="O526" s="19">
        <f t="shared" si="31"/>
        <v>0</v>
      </c>
      <c r="P526" s="19">
        <f t="shared" si="31"/>
        <v>0</v>
      </c>
      <c r="Q526" s="18">
        <f t="shared" si="31"/>
        <v>118317</v>
      </c>
      <c r="R526" s="532"/>
    </row>
    <row r="527" spans="1:18" ht="13.5" customHeight="1" hidden="1">
      <c r="A527" s="23">
        <v>1</v>
      </c>
      <c r="B527" s="23">
        <v>17</v>
      </c>
      <c r="C527" s="342"/>
      <c r="D527" s="28" t="s">
        <v>1095</v>
      </c>
      <c r="E527" s="147"/>
      <c r="F527" s="600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4"/>
      <c r="R527" s="343"/>
    </row>
    <row r="528" spans="1:18" ht="13.5" customHeight="1" hidden="1">
      <c r="A528" s="23"/>
      <c r="B528" s="23"/>
      <c r="C528" s="342"/>
      <c r="D528" s="337" t="s">
        <v>410</v>
      </c>
      <c r="E528" s="432"/>
      <c r="F528" s="592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24"/>
      <c r="R528" s="343"/>
    </row>
    <row r="529" spans="1:18" ht="13.5" customHeight="1" hidden="1">
      <c r="A529" s="23"/>
      <c r="B529" s="23"/>
      <c r="C529" s="342"/>
      <c r="D529" s="16" t="s">
        <v>41</v>
      </c>
      <c r="E529" s="15">
        <v>1</v>
      </c>
      <c r="F529" s="13">
        <v>171905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24">
        <f aca="true" t="shared" si="32" ref="Q529:Q538">SUM(G529:P529)</f>
        <v>0</v>
      </c>
      <c r="R529" s="343"/>
    </row>
    <row r="530" spans="1:18" ht="13.5" customHeight="1" hidden="1">
      <c r="A530" s="23"/>
      <c r="B530" s="23"/>
      <c r="C530" s="342"/>
      <c r="D530" s="16" t="s">
        <v>541</v>
      </c>
      <c r="E530" s="15">
        <v>1</v>
      </c>
      <c r="F530" s="13">
        <v>171903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24">
        <f t="shared" si="32"/>
        <v>0</v>
      </c>
      <c r="R530" s="343"/>
    </row>
    <row r="531" spans="1:18" ht="13.5" customHeight="1" hidden="1">
      <c r="A531" s="23"/>
      <c r="B531" s="23"/>
      <c r="C531" s="342"/>
      <c r="D531" s="16" t="s">
        <v>883</v>
      </c>
      <c r="E531" s="433">
        <v>1</v>
      </c>
      <c r="F531" s="13">
        <v>171920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24">
        <f t="shared" si="32"/>
        <v>0</v>
      </c>
      <c r="R531" s="343"/>
    </row>
    <row r="532" spans="1:18" ht="13.5" customHeight="1" hidden="1">
      <c r="A532" s="23"/>
      <c r="B532" s="23"/>
      <c r="C532" s="342"/>
      <c r="D532" s="155" t="s">
        <v>884</v>
      </c>
      <c r="E532" s="434">
        <v>1</v>
      </c>
      <c r="F532" s="13">
        <v>171940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24">
        <f t="shared" si="32"/>
        <v>0</v>
      </c>
      <c r="R532" s="343"/>
    </row>
    <row r="533" spans="1:18" ht="13.5" customHeight="1" hidden="1">
      <c r="A533" s="23"/>
      <c r="B533" s="23"/>
      <c r="C533" s="342"/>
      <c r="D533" s="155" t="s">
        <v>885</v>
      </c>
      <c r="E533" s="434">
        <v>1</v>
      </c>
      <c r="F533" s="13">
        <v>171956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24">
        <f t="shared" si="32"/>
        <v>0</v>
      </c>
      <c r="R533" s="343"/>
    </row>
    <row r="534" spans="1:18" ht="13.5" customHeight="1" hidden="1">
      <c r="A534" s="23"/>
      <c r="B534" s="23"/>
      <c r="C534" s="342"/>
      <c r="D534" s="155" t="s">
        <v>886</v>
      </c>
      <c r="E534" s="434">
        <v>1</v>
      </c>
      <c r="F534" s="13">
        <v>171958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24">
        <f t="shared" si="32"/>
        <v>0</v>
      </c>
      <c r="R534" s="343"/>
    </row>
    <row r="535" spans="1:18" ht="24.75" customHeight="1" hidden="1">
      <c r="A535" s="23"/>
      <c r="B535" s="23"/>
      <c r="C535" s="342"/>
      <c r="D535" s="155" t="s">
        <v>887</v>
      </c>
      <c r="E535" s="434">
        <v>1</v>
      </c>
      <c r="F535" s="13">
        <v>171959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24">
        <f t="shared" si="32"/>
        <v>0</v>
      </c>
      <c r="R535" s="343"/>
    </row>
    <row r="536" spans="1:18" ht="15" customHeight="1" hidden="1">
      <c r="A536" s="23"/>
      <c r="B536" s="23"/>
      <c r="C536" s="342"/>
      <c r="D536" s="155" t="s">
        <v>888</v>
      </c>
      <c r="E536" s="434">
        <v>1</v>
      </c>
      <c r="F536" s="13">
        <v>171904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24">
        <f t="shared" si="32"/>
        <v>0</v>
      </c>
      <c r="R536" s="343"/>
    </row>
    <row r="537" spans="1:18" ht="13.5" customHeight="1" hidden="1">
      <c r="A537" s="23"/>
      <c r="B537" s="23"/>
      <c r="C537" s="342"/>
      <c r="D537" s="16" t="s">
        <v>43</v>
      </c>
      <c r="E537" s="15">
        <v>1</v>
      </c>
      <c r="F537" s="13">
        <v>171902</v>
      </c>
      <c r="G537" s="15"/>
      <c r="H537" s="15"/>
      <c r="I537" s="15"/>
      <c r="J537" s="296"/>
      <c r="K537" s="296"/>
      <c r="L537" s="15"/>
      <c r="M537" s="15"/>
      <c r="N537" s="15"/>
      <c r="O537" s="15"/>
      <c r="P537" s="15"/>
      <c r="Q537" s="24">
        <f t="shared" si="32"/>
        <v>0</v>
      </c>
      <c r="R537" s="343"/>
    </row>
    <row r="538" spans="1:18" ht="13.5" customHeight="1" hidden="1">
      <c r="A538" s="23"/>
      <c r="B538" s="23"/>
      <c r="C538" s="342"/>
      <c r="D538" s="16" t="s">
        <v>889</v>
      </c>
      <c r="E538" s="15">
        <v>1</v>
      </c>
      <c r="F538" s="13">
        <v>171925</v>
      </c>
      <c r="G538" s="15"/>
      <c r="H538" s="15"/>
      <c r="I538" s="15"/>
      <c r="J538" s="296"/>
      <c r="K538" s="296"/>
      <c r="L538" s="15"/>
      <c r="M538" s="15"/>
      <c r="N538" s="15"/>
      <c r="O538" s="15"/>
      <c r="P538" s="15"/>
      <c r="Q538" s="24">
        <f t="shared" si="32"/>
        <v>0</v>
      </c>
      <c r="R538" s="343"/>
    </row>
    <row r="539" spans="1:18" ht="13.5" customHeight="1" hidden="1">
      <c r="A539" s="23"/>
      <c r="B539" s="23"/>
      <c r="C539" s="342"/>
      <c r="D539" s="16" t="s">
        <v>890</v>
      </c>
      <c r="E539" s="15"/>
      <c r="F539" s="13"/>
      <c r="G539" s="15"/>
      <c r="H539" s="15"/>
      <c r="I539" s="15"/>
      <c r="J539" s="296"/>
      <c r="K539" s="296"/>
      <c r="L539" s="15"/>
      <c r="M539" s="15"/>
      <c r="N539" s="15"/>
      <c r="O539" s="15"/>
      <c r="P539" s="15"/>
      <c r="Q539" s="24"/>
      <c r="R539" s="343"/>
    </row>
    <row r="540" spans="1:18" ht="13.5" customHeight="1" hidden="1">
      <c r="A540" s="23"/>
      <c r="B540" s="23"/>
      <c r="C540" s="342"/>
      <c r="D540" s="16" t="s">
        <v>891</v>
      </c>
      <c r="E540" s="15">
        <v>2</v>
      </c>
      <c r="F540" s="13">
        <v>171943</v>
      </c>
      <c r="G540" s="15"/>
      <c r="H540" s="15"/>
      <c r="I540" s="15"/>
      <c r="J540" s="296"/>
      <c r="K540" s="15"/>
      <c r="L540" s="15"/>
      <c r="M540" s="15"/>
      <c r="N540" s="15"/>
      <c r="O540" s="15"/>
      <c r="P540" s="15"/>
      <c r="Q540" s="24">
        <f>SUM(G540:P540)</f>
        <v>0</v>
      </c>
      <c r="R540" s="343"/>
    </row>
    <row r="541" spans="1:18" ht="13.5" customHeight="1" hidden="1">
      <c r="A541" s="17"/>
      <c r="B541" s="17"/>
      <c r="C541" s="300"/>
      <c r="D541" s="18" t="s">
        <v>892</v>
      </c>
      <c r="E541" s="301"/>
      <c r="F541" s="591"/>
      <c r="G541" s="19">
        <f aca="true" t="shared" si="33" ref="G541:N541">SUM(G528:G540)</f>
        <v>0</v>
      </c>
      <c r="H541" s="19">
        <f t="shared" si="33"/>
        <v>0</v>
      </c>
      <c r="I541" s="19">
        <f t="shared" si="33"/>
        <v>0</v>
      </c>
      <c r="J541" s="19">
        <f t="shared" si="33"/>
        <v>0</v>
      </c>
      <c r="K541" s="19">
        <f t="shared" si="33"/>
        <v>0</v>
      </c>
      <c r="L541" s="19">
        <f t="shared" si="33"/>
        <v>0</v>
      </c>
      <c r="M541" s="19">
        <f t="shared" si="33"/>
        <v>0</v>
      </c>
      <c r="N541" s="19">
        <f t="shared" si="33"/>
        <v>0</v>
      </c>
      <c r="O541" s="19"/>
      <c r="P541" s="19">
        <f>SUM(P528:P540)</f>
        <v>0</v>
      </c>
      <c r="Q541" s="18">
        <f>SUM(Q528:Q540)</f>
        <v>0</v>
      </c>
      <c r="R541" s="532"/>
    </row>
    <row r="542" spans="1:18" ht="13.5" customHeight="1" hidden="1">
      <c r="A542" s="145"/>
      <c r="B542" s="145"/>
      <c r="C542" s="319"/>
      <c r="D542" s="99" t="s">
        <v>893</v>
      </c>
      <c r="E542" s="22"/>
      <c r="F542" s="60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1"/>
      <c r="R542" s="343"/>
    </row>
    <row r="543" spans="1:18" ht="27.75" customHeight="1" hidden="1">
      <c r="A543" s="145"/>
      <c r="B543" s="145"/>
      <c r="C543" s="163" t="s">
        <v>592</v>
      </c>
      <c r="D543" s="435" t="s">
        <v>894</v>
      </c>
      <c r="E543" s="435"/>
      <c r="F543" s="608">
        <v>174904</v>
      </c>
      <c r="G543" s="329"/>
      <c r="H543" s="329"/>
      <c r="I543" s="329"/>
      <c r="J543" s="329"/>
      <c r="K543" s="329"/>
      <c r="L543" s="330"/>
      <c r="M543" s="330"/>
      <c r="N543" s="330"/>
      <c r="O543" s="330"/>
      <c r="P543" s="329"/>
      <c r="Q543" s="101">
        <f>SUM(G543:P543)</f>
        <v>0</v>
      </c>
      <c r="R543" s="343"/>
    </row>
    <row r="544" spans="1:18" ht="13.5" customHeight="1" hidden="1">
      <c r="A544" s="145"/>
      <c r="B544" s="145"/>
      <c r="C544" s="402"/>
      <c r="D544" s="406" t="s">
        <v>286</v>
      </c>
      <c r="E544" s="22"/>
      <c r="F544" s="60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101"/>
      <c r="R544" s="343"/>
    </row>
    <row r="545" spans="1:18" ht="13.5" customHeight="1" hidden="1">
      <c r="A545" s="145"/>
      <c r="B545" s="145"/>
      <c r="C545" s="402" t="s">
        <v>459</v>
      </c>
      <c r="D545" s="436" t="s">
        <v>454</v>
      </c>
      <c r="E545" s="22"/>
      <c r="F545" s="592">
        <v>172912</v>
      </c>
      <c r="G545" s="20"/>
      <c r="H545" s="20"/>
      <c r="I545" s="20"/>
      <c r="J545" s="20"/>
      <c r="K545" s="20"/>
      <c r="L545" s="15"/>
      <c r="M545" s="15"/>
      <c r="N545" s="15"/>
      <c r="O545" s="15"/>
      <c r="P545" s="15"/>
      <c r="Q545" s="101">
        <f>SUM(G545:P545)</f>
        <v>0</v>
      </c>
      <c r="R545" s="343"/>
    </row>
    <row r="546" spans="1:18" ht="27.75" customHeight="1" hidden="1">
      <c r="A546" s="145"/>
      <c r="B546" s="145"/>
      <c r="C546" s="402" t="s">
        <v>460</v>
      </c>
      <c r="D546" s="437" t="s">
        <v>1096</v>
      </c>
      <c r="E546" s="22"/>
      <c r="F546" s="592">
        <v>172904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01">
        <f>SUM(G546:P546)</f>
        <v>0</v>
      </c>
      <c r="R546" s="343"/>
    </row>
    <row r="547" spans="1:18" ht="14.25" customHeight="1" hidden="1">
      <c r="A547" s="346"/>
      <c r="B547" s="346"/>
      <c r="C547" s="402" t="s">
        <v>461</v>
      </c>
      <c r="D547" s="438" t="s">
        <v>691</v>
      </c>
      <c r="E547" s="439"/>
      <c r="F547" s="608">
        <v>174905</v>
      </c>
      <c r="G547" s="329"/>
      <c r="H547" s="329"/>
      <c r="I547" s="329"/>
      <c r="J547" s="329"/>
      <c r="K547" s="329"/>
      <c r="L547" s="330"/>
      <c r="M547" s="330"/>
      <c r="N547" s="330"/>
      <c r="O547" s="330"/>
      <c r="P547" s="329"/>
      <c r="Q547" s="24">
        <f aca="true" t="shared" si="34" ref="Q547:Q552">SUM(G547:P547)</f>
        <v>0</v>
      </c>
      <c r="R547" s="343"/>
    </row>
    <row r="548" spans="1:18" ht="14.25" customHeight="1" hidden="1">
      <c r="A548" s="346"/>
      <c r="B548" s="346"/>
      <c r="C548" s="402" t="s">
        <v>1097</v>
      </c>
      <c r="D548" s="148" t="s">
        <v>686</v>
      </c>
      <c r="E548" s="147"/>
      <c r="F548" s="600">
        <v>174908</v>
      </c>
      <c r="G548" s="25"/>
      <c r="H548" s="245"/>
      <c r="I548" s="25"/>
      <c r="J548" s="25"/>
      <c r="K548" s="25"/>
      <c r="L548" s="25"/>
      <c r="M548" s="25"/>
      <c r="N548" s="25"/>
      <c r="O548" s="25"/>
      <c r="P548" s="25"/>
      <c r="Q548" s="24">
        <f t="shared" si="34"/>
        <v>0</v>
      </c>
      <c r="R548" s="343"/>
    </row>
    <row r="549" spans="1:18" ht="14.25" customHeight="1" hidden="1">
      <c r="A549" s="346"/>
      <c r="B549" s="346"/>
      <c r="C549" s="402" t="s">
        <v>1098</v>
      </c>
      <c r="D549" s="112" t="s">
        <v>896</v>
      </c>
      <c r="E549" s="147"/>
      <c r="F549" s="600">
        <v>162652</v>
      </c>
      <c r="G549" s="25"/>
      <c r="H549" s="245"/>
      <c r="I549" s="25"/>
      <c r="J549" s="25"/>
      <c r="K549" s="25"/>
      <c r="L549" s="15"/>
      <c r="M549" s="25"/>
      <c r="N549" s="25"/>
      <c r="O549" s="25"/>
      <c r="P549" s="25"/>
      <c r="Q549" s="24">
        <f t="shared" si="34"/>
        <v>0</v>
      </c>
      <c r="R549" s="343"/>
    </row>
    <row r="550" spans="1:18" ht="14.25" customHeight="1" hidden="1">
      <c r="A550" s="346"/>
      <c r="B550" s="346"/>
      <c r="C550" s="402" t="s">
        <v>895</v>
      </c>
      <c r="D550" s="112" t="s">
        <v>1072</v>
      </c>
      <c r="E550" s="147"/>
      <c r="F550" s="600">
        <v>162603</v>
      </c>
      <c r="G550" s="25"/>
      <c r="H550" s="245"/>
      <c r="I550" s="25"/>
      <c r="J550" s="25"/>
      <c r="K550" s="25"/>
      <c r="L550" s="15"/>
      <c r="M550" s="25"/>
      <c r="N550" s="25"/>
      <c r="O550" s="25"/>
      <c r="P550" s="25"/>
      <c r="Q550" s="24">
        <f t="shared" si="34"/>
        <v>0</v>
      </c>
      <c r="R550" s="343"/>
    </row>
    <row r="551" spans="1:18" ht="27" customHeight="1" hidden="1">
      <c r="A551" s="346"/>
      <c r="B551" s="346"/>
      <c r="C551" s="402" t="s">
        <v>897</v>
      </c>
      <c r="D551" s="423" t="s">
        <v>1073</v>
      </c>
      <c r="E551" s="147"/>
      <c r="F551" s="600">
        <v>162676</v>
      </c>
      <c r="G551" s="25"/>
      <c r="H551" s="245"/>
      <c r="I551" s="25"/>
      <c r="J551" s="25"/>
      <c r="K551" s="25"/>
      <c r="L551" s="15"/>
      <c r="M551" s="25"/>
      <c r="N551" s="25"/>
      <c r="O551" s="25"/>
      <c r="P551" s="25"/>
      <c r="Q551" s="24">
        <f t="shared" si="34"/>
        <v>0</v>
      </c>
      <c r="R551" s="343"/>
    </row>
    <row r="552" spans="1:18" ht="14.25" customHeight="1" hidden="1">
      <c r="A552" s="346"/>
      <c r="B552" s="346"/>
      <c r="C552" s="402" t="s">
        <v>898</v>
      </c>
      <c r="D552" s="118" t="s">
        <v>399</v>
      </c>
      <c r="E552" s="147"/>
      <c r="F552" s="600">
        <v>162631</v>
      </c>
      <c r="G552" s="25"/>
      <c r="H552" s="245"/>
      <c r="I552" s="25"/>
      <c r="J552" s="25"/>
      <c r="K552" s="25"/>
      <c r="L552" s="25"/>
      <c r="M552" s="25"/>
      <c r="N552" s="25"/>
      <c r="O552" s="25"/>
      <c r="P552" s="25"/>
      <c r="Q552" s="24">
        <f t="shared" si="34"/>
        <v>0</v>
      </c>
      <c r="R552" s="343"/>
    </row>
    <row r="553" spans="1:18" ht="13.5" customHeight="1" hidden="1">
      <c r="A553" s="17"/>
      <c r="B553" s="17"/>
      <c r="C553" s="300"/>
      <c r="D553" s="18" t="s">
        <v>464</v>
      </c>
      <c r="E553" s="301"/>
      <c r="F553" s="591"/>
      <c r="G553" s="19">
        <f aca="true" t="shared" si="35" ref="G553:Q553">SUM(G541:G552)</f>
        <v>0</v>
      </c>
      <c r="H553" s="19">
        <f t="shared" si="35"/>
        <v>0</v>
      </c>
      <c r="I553" s="19">
        <f t="shared" si="35"/>
        <v>0</v>
      </c>
      <c r="J553" s="19">
        <f t="shared" si="35"/>
        <v>0</v>
      </c>
      <c r="K553" s="19">
        <f t="shared" si="35"/>
        <v>0</v>
      </c>
      <c r="L553" s="19">
        <f t="shared" si="35"/>
        <v>0</v>
      </c>
      <c r="M553" s="19">
        <f t="shared" si="35"/>
        <v>0</v>
      </c>
      <c r="N553" s="19">
        <f t="shared" si="35"/>
        <v>0</v>
      </c>
      <c r="O553" s="19">
        <f t="shared" si="35"/>
        <v>0</v>
      </c>
      <c r="P553" s="19">
        <f t="shared" si="35"/>
        <v>0</v>
      </c>
      <c r="Q553" s="18">
        <f t="shared" si="35"/>
        <v>0</v>
      </c>
      <c r="R553" s="532"/>
    </row>
    <row r="554" spans="1:18" ht="13.5" customHeight="1" hidden="1">
      <c r="A554" s="23">
        <v>1</v>
      </c>
      <c r="B554" s="23">
        <v>18</v>
      </c>
      <c r="C554" s="342"/>
      <c r="D554" s="28" t="s">
        <v>446</v>
      </c>
      <c r="E554" s="27"/>
      <c r="F554" s="609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4"/>
      <c r="R554" s="343"/>
    </row>
    <row r="555" spans="1:18" ht="13.5" customHeight="1" hidden="1">
      <c r="A555" s="23"/>
      <c r="B555" s="23"/>
      <c r="C555" s="342"/>
      <c r="D555" s="24" t="s">
        <v>410</v>
      </c>
      <c r="E555" s="70"/>
      <c r="F555" s="600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4"/>
      <c r="R555" s="343"/>
    </row>
    <row r="556" spans="1:18" ht="13.5" customHeight="1" hidden="1">
      <c r="A556" s="23"/>
      <c r="B556" s="23"/>
      <c r="C556" s="342"/>
      <c r="D556" s="24" t="s">
        <v>690</v>
      </c>
      <c r="E556" s="15">
        <v>2</v>
      </c>
      <c r="F556" s="13">
        <v>181905</v>
      </c>
      <c r="G556" s="25"/>
      <c r="H556" s="25"/>
      <c r="I556" s="15"/>
      <c r="J556" s="25"/>
      <c r="K556" s="25"/>
      <c r="L556" s="25"/>
      <c r="M556" s="25"/>
      <c r="N556" s="25"/>
      <c r="O556" s="25"/>
      <c r="P556" s="25"/>
      <c r="Q556" s="24">
        <f>SUM(G556:P556)</f>
        <v>0</v>
      </c>
      <c r="R556" s="343"/>
    </row>
    <row r="557" spans="1:18" ht="27.75" customHeight="1" hidden="1">
      <c r="A557" s="23"/>
      <c r="B557" s="23"/>
      <c r="C557" s="342"/>
      <c r="D557" s="155" t="s">
        <v>42</v>
      </c>
      <c r="E557" s="15">
        <v>1</v>
      </c>
      <c r="F557" s="13">
        <v>181901</v>
      </c>
      <c r="G557" s="25"/>
      <c r="H557" s="25"/>
      <c r="I557" s="15"/>
      <c r="J557" s="25"/>
      <c r="K557" s="25"/>
      <c r="L557" s="25"/>
      <c r="M557" s="25"/>
      <c r="N557" s="25"/>
      <c r="O557" s="25"/>
      <c r="P557" s="25"/>
      <c r="Q557" s="24">
        <f>SUM(G557:P557)</f>
        <v>0</v>
      </c>
      <c r="R557" s="343"/>
    </row>
    <row r="558" spans="1:18" ht="13.5" customHeight="1" hidden="1">
      <c r="A558" s="23"/>
      <c r="B558" s="23"/>
      <c r="C558" s="342"/>
      <c r="D558" s="16" t="s">
        <v>899</v>
      </c>
      <c r="E558" s="15">
        <v>1</v>
      </c>
      <c r="F558" s="13">
        <v>181906</v>
      </c>
      <c r="G558" s="25"/>
      <c r="H558" s="25"/>
      <c r="I558" s="15"/>
      <c r="J558" s="25"/>
      <c r="K558" s="25"/>
      <c r="L558" s="25"/>
      <c r="M558" s="25"/>
      <c r="N558" s="25"/>
      <c r="O558" s="25"/>
      <c r="P558" s="25"/>
      <c r="Q558" s="24">
        <f>SUM(G558:P558)</f>
        <v>0</v>
      </c>
      <c r="R558" s="343"/>
    </row>
    <row r="559" spans="1:18" ht="15" customHeight="1" hidden="1">
      <c r="A559" s="23"/>
      <c r="B559" s="23"/>
      <c r="C559" s="342"/>
      <c r="D559" s="297" t="s">
        <v>437</v>
      </c>
      <c r="E559" s="307"/>
      <c r="F559" s="594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4"/>
      <c r="R559" s="343"/>
    </row>
    <row r="560" spans="1:18" ht="24.75" customHeight="1" hidden="1">
      <c r="A560" s="23"/>
      <c r="B560" s="23"/>
      <c r="C560" s="342"/>
      <c r="D560" s="160" t="s">
        <v>900</v>
      </c>
      <c r="E560" s="291">
        <v>1</v>
      </c>
      <c r="F560" s="23">
        <v>181907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4">
        <f>SUM(G560:P560)</f>
        <v>0</v>
      </c>
      <c r="R560" s="343"/>
    </row>
    <row r="561" spans="1:18" ht="12.75" customHeight="1" hidden="1">
      <c r="A561" s="23"/>
      <c r="B561" s="23"/>
      <c r="C561" s="342"/>
      <c r="D561" s="160" t="s">
        <v>901</v>
      </c>
      <c r="E561" s="291">
        <v>1</v>
      </c>
      <c r="F561" s="23">
        <v>181909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4">
        <f>SUM(G561:P561)</f>
        <v>0</v>
      </c>
      <c r="R561" s="343"/>
    </row>
    <row r="562" spans="1:18" ht="17.25" customHeight="1" hidden="1">
      <c r="A562" s="23"/>
      <c r="B562" s="23"/>
      <c r="C562" s="342"/>
      <c r="D562" s="160" t="s">
        <v>902</v>
      </c>
      <c r="E562" s="291">
        <v>1</v>
      </c>
      <c r="F562" s="23">
        <v>181913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4">
        <f>SUM(G562:P562)</f>
        <v>0</v>
      </c>
      <c r="R562" s="343"/>
    </row>
    <row r="563" spans="1:18" ht="15" customHeight="1" hidden="1">
      <c r="A563" s="23"/>
      <c r="B563" s="23"/>
      <c r="C563" s="342"/>
      <c r="D563" s="160" t="s">
        <v>903</v>
      </c>
      <c r="E563" s="291"/>
      <c r="F563" s="23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4"/>
      <c r="R563" s="343"/>
    </row>
    <row r="564" spans="1:18" ht="15" customHeight="1" hidden="1">
      <c r="A564" s="23"/>
      <c r="B564" s="23"/>
      <c r="C564" s="342"/>
      <c r="D564" s="160" t="s">
        <v>904</v>
      </c>
      <c r="E564" s="291">
        <v>1</v>
      </c>
      <c r="F564" s="23">
        <v>181902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4">
        <f>SUM(G564:P564)</f>
        <v>0</v>
      </c>
      <c r="R564" s="343"/>
    </row>
    <row r="565" spans="1:18" ht="13.5" customHeight="1" hidden="1">
      <c r="A565" s="440"/>
      <c r="B565" s="440"/>
      <c r="C565" s="440"/>
      <c r="D565" s="24" t="s">
        <v>905</v>
      </c>
      <c r="E565" s="25">
        <v>1</v>
      </c>
      <c r="F565" s="23">
        <v>181904</v>
      </c>
      <c r="G565" s="440"/>
      <c r="H565" s="440"/>
      <c r="I565" s="441"/>
      <c r="J565" s="442"/>
      <c r="K565" s="442"/>
      <c r="L565" s="440"/>
      <c r="M565" s="440"/>
      <c r="N565" s="440"/>
      <c r="O565" s="440"/>
      <c r="P565" s="440"/>
      <c r="Q565" s="24">
        <f>SUM(G565:P565)</f>
        <v>0</v>
      </c>
      <c r="R565" s="343"/>
    </row>
    <row r="566" spans="1:18" ht="15" customHeight="1" hidden="1">
      <c r="A566" s="19"/>
      <c r="B566" s="19"/>
      <c r="C566" s="18"/>
      <c r="D566" s="18" t="s">
        <v>906</v>
      </c>
      <c r="E566" s="301"/>
      <c r="F566" s="591"/>
      <c r="G566" s="19"/>
      <c r="H566" s="19"/>
      <c r="I566" s="19">
        <f aca="true" t="shared" si="36" ref="I566:N566">SUM(I554:I565)</f>
        <v>0</v>
      </c>
      <c r="J566" s="19">
        <f t="shared" si="36"/>
        <v>0</v>
      </c>
      <c r="K566" s="19">
        <f t="shared" si="36"/>
        <v>0</v>
      </c>
      <c r="L566" s="19">
        <f t="shared" si="36"/>
        <v>0</v>
      </c>
      <c r="M566" s="19">
        <f t="shared" si="36"/>
        <v>0</v>
      </c>
      <c r="N566" s="19">
        <f t="shared" si="36"/>
        <v>0</v>
      </c>
      <c r="O566" s="19"/>
      <c r="P566" s="19">
        <f>SUM(P554:P565)</f>
        <v>0</v>
      </c>
      <c r="Q566" s="18">
        <f>SUM(Q554:Q565)</f>
        <v>0</v>
      </c>
      <c r="R566" s="532"/>
    </row>
    <row r="567" spans="1:18" ht="15" customHeight="1" hidden="1">
      <c r="A567" s="20"/>
      <c r="B567" s="20"/>
      <c r="C567" s="21"/>
      <c r="D567" s="443" t="s">
        <v>907</v>
      </c>
      <c r="E567" s="22"/>
      <c r="F567" s="601"/>
      <c r="G567" s="20"/>
      <c r="H567" s="20"/>
      <c r="I567" s="20"/>
      <c r="J567" s="20"/>
      <c r="K567" s="20"/>
      <c r="L567" s="15"/>
      <c r="M567" s="15"/>
      <c r="N567" s="15"/>
      <c r="O567" s="15"/>
      <c r="P567" s="15"/>
      <c r="Q567" s="16"/>
      <c r="R567" s="343"/>
    </row>
    <row r="568" spans="1:18" ht="15" customHeight="1" hidden="1">
      <c r="A568" s="20"/>
      <c r="B568" s="20"/>
      <c r="C568" s="319" t="s">
        <v>592</v>
      </c>
      <c r="D568" s="101" t="s">
        <v>908</v>
      </c>
      <c r="E568" s="22"/>
      <c r="F568" s="592">
        <v>182903</v>
      </c>
      <c r="G568" s="20"/>
      <c r="H568" s="20"/>
      <c r="I568" s="20"/>
      <c r="J568" s="20"/>
      <c r="K568" s="20"/>
      <c r="L568" s="15"/>
      <c r="M568" s="15"/>
      <c r="N568" s="15"/>
      <c r="O568" s="15"/>
      <c r="P568" s="15"/>
      <c r="Q568" s="16">
        <f>SUM(G568:P568)</f>
        <v>0</v>
      </c>
      <c r="R568" s="343"/>
    </row>
    <row r="569" spans="1:18" ht="15" customHeight="1" hidden="1">
      <c r="A569" s="20"/>
      <c r="B569" s="20"/>
      <c r="C569" s="319"/>
      <c r="D569" s="101" t="s">
        <v>160</v>
      </c>
      <c r="E569" s="22"/>
      <c r="F569" s="592"/>
      <c r="G569" s="20"/>
      <c r="H569" s="20"/>
      <c r="I569" s="20"/>
      <c r="J569" s="20"/>
      <c r="K569" s="20"/>
      <c r="L569" s="15"/>
      <c r="M569" s="15"/>
      <c r="N569" s="15"/>
      <c r="O569" s="15"/>
      <c r="P569" s="15"/>
      <c r="Q569" s="16"/>
      <c r="R569" s="343"/>
    </row>
    <row r="570" spans="1:18" ht="15" customHeight="1" hidden="1">
      <c r="A570" s="20"/>
      <c r="B570" s="20"/>
      <c r="C570" s="319" t="s">
        <v>492</v>
      </c>
      <c r="D570" s="106" t="s">
        <v>1099</v>
      </c>
      <c r="E570" s="22"/>
      <c r="F570" s="592">
        <v>182904</v>
      </c>
      <c r="G570" s="20"/>
      <c r="H570" s="20"/>
      <c r="I570" s="20"/>
      <c r="J570" s="20"/>
      <c r="K570" s="20"/>
      <c r="L570" s="15"/>
      <c r="M570" s="15"/>
      <c r="N570" s="15"/>
      <c r="O570" s="15"/>
      <c r="P570" s="15"/>
      <c r="Q570" s="16">
        <f>SUM(L570:P570)</f>
        <v>0</v>
      </c>
      <c r="R570" s="343"/>
    </row>
    <row r="571" spans="1:18" ht="15" customHeight="1" hidden="1">
      <c r="A571" s="19"/>
      <c r="B571" s="19"/>
      <c r="C571" s="18"/>
      <c r="D571" s="18" t="s">
        <v>465</v>
      </c>
      <c r="E571" s="301"/>
      <c r="F571" s="591"/>
      <c r="G571" s="19">
        <f aca="true" t="shared" si="37" ref="G571:Q571">SUM(G566:G570)</f>
        <v>0</v>
      </c>
      <c r="H571" s="19">
        <f t="shared" si="37"/>
        <v>0</v>
      </c>
      <c r="I571" s="19">
        <f t="shared" si="37"/>
        <v>0</v>
      </c>
      <c r="J571" s="19">
        <f t="shared" si="37"/>
        <v>0</v>
      </c>
      <c r="K571" s="19">
        <f t="shared" si="37"/>
        <v>0</v>
      </c>
      <c r="L571" s="19">
        <f t="shared" si="37"/>
        <v>0</v>
      </c>
      <c r="M571" s="19">
        <f t="shared" si="37"/>
        <v>0</v>
      </c>
      <c r="N571" s="19">
        <f t="shared" si="37"/>
        <v>0</v>
      </c>
      <c r="O571" s="19">
        <f t="shared" si="37"/>
        <v>0</v>
      </c>
      <c r="P571" s="19">
        <f t="shared" si="37"/>
        <v>0</v>
      </c>
      <c r="Q571" s="18">
        <f t="shared" si="37"/>
        <v>0</v>
      </c>
      <c r="R571" s="532"/>
    </row>
    <row r="572" spans="1:18" ht="15" customHeight="1" hidden="1">
      <c r="A572" s="23">
        <v>1</v>
      </c>
      <c r="B572" s="23">
        <v>19</v>
      </c>
      <c r="C572" s="342"/>
      <c r="D572" s="28" t="s">
        <v>909</v>
      </c>
      <c r="E572" s="147"/>
      <c r="F572" s="600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4"/>
      <c r="R572" s="343"/>
    </row>
    <row r="573" spans="1:18" ht="15" customHeight="1" hidden="1">
      <c r="A573" s="23"/>
      <c r="B573" s="23"/>
      <c r="C573" s="342"/>
      <c r="D573" s="100" t="s">
        <v>910</v>
      </c>
      <c r="E573" s="70"/>
      <c r="F573" s="600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4"/>
      <c r="R573" s="343"/>
    </row>
    <row r="574" spans="1:18" ht="15" customHeight="1" hidden="1">
      <c r="A574" s="23"/>
      <c r="B574" s="23"/>
      <c r="C574" s="342"/>
      <c r="D574" s="24" t="s">
        <v>911</v>
      </c>
      <c r="E574" s="291">
        <v>1</v>
      </c>
      <c r="F574" s="23">
        <v>191101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4">
        <f>SUM(G574:P574)</f>
        <v>0</v>
      </c>
      <c r="R574" s="343"/>
    </row>
    <row r="575" spans="1:18" ht="15" customHeight="1" hidden="1">
      <c r="A575" s="23"/>
      <c r="B575" s="23"/>
      <c r="C575" s="342"/>
      <c r="D575" s="297" t="s">
        <v>437</v>
      </c>
      <c r="E575" s="307"/>
      <c r="F575" s="594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4"/>
      <c r="R575" s="343"/>
    </row>
    <row r="576" spans="1:18" ht="15" customHeight="1" hidden="1">
      <c r="A576" s="23"/>
      <c r="B576" s="23"/>
      <c r="C576" s="342"/>
      <c r="D576" s="24" t="s">
        <v>912</v>
      </c>
      <c r="E576" s="291">
        <v>1</v>
      </c>
      <c r="F576" s="23">
        <v>191102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4">
        <f>SUM(G576:P576)</f>
        <v>0</v>
      </c>
      <c r="R576" s="343"/>
    </row>
    <row r="577" spans="1:18" ht="15" customHeight="1" hidden="1">
      <c r="A577" s="23"/>
      <c r="B577" s="23"/>
      <c r="C577" s="342"/>
      <c r="D577" s="24" t="s">
        <v>654</v>
      </c>
      <c r="E577" s="25">
        <v>1</v>
      </c>
      <c r="F577" s="23">
        <v>191103</v>
      </c>
      <c r="G577" s="25"/>
      <c r="H577" s="25"/>
      <c r="I577" s="15"/>
      <c r="J577" s="15"/>
      <c r="K577" s="15"/>
      <c r="L577" s="25"/>
      <c r="M577" s="25"/>
      <c r="N577" s="25"/>
      <c r="O577" s="25"/>
      <c r="P577" s="25"/>
      <c r="Q577" s="24">
        <f>SUM(G577:P577)</f>
        <v>0</v>
      </c>
      <c r="R577" s="343"/>
    </row>
    <row r="578" spans="1:18" ht="15" customHeight="1" hidden="1">
      <c r="A578" s="23"/>
      <c r="B578" s="23"/>
      <c r="C578" s="342"/>
      <c r="D578" s="24" t="s">
        <v>913</v>
      </c>
      <c r="E578" s="25">
        <v>1</v>
      </c>
      <c r="F578" s="23">
        <v>191105</v>
      </c>
      <c r="G578" s="25"/>
      <c r="H578" s="25"/>
      <c r="I578" s="15"/>
      <c r="J578" s="25"/>
      <c r="K578" s="25"/>
      <c r="L578" s="25"/>
      <c r="M578" s="25"/>
      <c r="N578" s="25"/>
      <c r="O578" s="25"/>
      <c r="P578" s="25"/>
      <c r="Q578" s="24">
        <f>SUM(G578:P578)</f>
        <v>0</v>
      </c>
      <c r="R578" s="343"/>
    </row>
    <row r="579" spans="1:18" ht="15" customHeight="1" hidden="1">
      <c r="A579" s="23"/>
      <c r="B579" s="23"/>
      <c r="C579" s="342"/>
      <c r="D579" s="24" t="s">
        <v>914</v>
      </c>
      <c r="E579" s="25">
        <v>1</v>
      </c>
      <c r="F579" s="23">
        <v>196901</v>
      </c>
      <c r="G579" s="25"/>
      <c r="H579" s="25"/>
      <c r="I579" s="15"/>
      <c r="J579" s="25"/>
      <c r="K579" s="25"/>
      <c r="L579" s="25"/>
      <c r="M579" s="25"/>
      <c r="N579" s="25"/>
      <c r="O579" s="25"/>
      <c r="P579" s="25"/>
      <c r="Q579" s="24">
        <f>SUM(G579:P579)</f>
        <v>0</v>
      </c>
      <c r="R579" s="343"/>
    </row>
    <row r="580" spans="1:18" ht="15" customHeight="1" hidden="1">
      <c r="A580" s="23"/>
      <c r="B580" s="23"/>
      <c r="C580" s="342"/>
      <c r="D580" s="24" t="s">
        <v>410</v>
      </c>
      <c r="E580" s="25"/>
      <c r="F580" s="23"/>
      <c r="G580" s="25"/>
      <c r="H580" s="25"/>
      <c r="I580" s="15"/>
      <c r="J580" s="25"/>
      <c r="K580" s="25"/>
      <c r="L580" s="25"/>
      <c r="M580" s="25"/>
      <c r="N580" s="25"/>
      <c r="O580" s="25"/>
      <c r="P580" s="25"/>
      <c r="Q580" s="24"/>
      <c r="R580" s="343"/>
    </row>
    <row r="581" spans="1:18" ht="15" customHeight="1" hidden="1">
      <c r="A581" s="23"/>
      <c r="B581" s="23"/>
      <c r="C581" s="342"/>
      <c r="D581" s="24" t="s">
        <v>915</v>
      </c>
      <c r="E581" s="25">
        <v>1</v>
      </c>
      <c r="F581" s="23">
        <v>191104</v>
      </c>
      <c r="G581" s="25"/>
      <c r="H581" s="25"/>
      <c r="I581" s="15"/>
      <c r="J581" s="25"/>
      <c r="K581" s="25"/>
      <c r="L581" s="25"/>
      <c r="M581" s="25"/>
      <c r="N581" s="25"/>
      <c r="O581" s="25"/>
      <c r="P581" s="25"/>
      <c r="Q581" s="24">
        <f>SUM(G581:P581)</f>
        <v>0</v>
      </c>
      <c r="R581" s="343"/>
    </row>
    <row r="582" spans="1:18" ht="13.5" customHeight="1" hidden="1">
      <c r="A582" s="23"/>
      <c r="B582" s="23"/>
      <c r="C582" s="342"/>
      <c r="D582" s="101" t="s">
        <v>916</v>
      </c>
      <c r="E582" s="25"/>
      <c r="F582" s="23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4">
        <f>SUM(G582:P582)</f>
        <v>0</v>
      </c>
      <c r="R582" s="343"/>
    </row>
    <row r="583" spans="1:18" ht="13.5" customHeight="1" hidden="1">
      <c r="A583" s="23"/>
      <c r="B583" s="23"/>
      <c r="C583" s="342"/>
      <c r="D583" s="24" t="s">
        <v>917</v>
      </c>
      <c r="E583" s="25">
        <v>2</v>
      </c>
      <c r="F583" s="23">
        <v>191109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4">
        <f>SUM(G583:P583)</f>
        <v>0</v>
      </c>
      <c r="R583" s="343"/>
    </row>
    <row r="584" spans="1:18" ht="13.5" customHeight="1" hidden="1">
      <c r="A584" s="23"/>
      <c r="B584" s="23"/>
      <c r="C584" s="342"/>
      <c r="D584" s="24" t="s">
        <v>918</v>
      </c>
      <c r="E584" s="25"/>
      <c r="F584" s="23"/>
      <c r="G584" s="15"/>
      <c r="H584" s="15"/>
      <c r="I584" s="15"/>
      <c r="J584" s="15"/>
      <c r="K584" s="15"/>
      <c r="L584" s="25"/>
      <c r="M584" s="25"/>
      <c r="N584" s="25"/>
      <c r="O584" s="25"/>
      <c r="P584" s="25"/>
      <c r="Q584" s="24"/>
      <c r="R584" s="343"/>
    </row>
    <row r="585" spans="1:18" ht="13.5" customHeight="1" hidden="1">
      <c r="A585" s="23"/>
      <c r="B585" s="23"/>
      <c r="C585" s="342"/>
      <c r="D585" s="24" t="s">
        <v>919</v>
      </c>
      <c r="E585" s="25">
        <v>2</v>
      </c>
      <c r="F585" s="23">
        <v>191401</v>
      </c>
      <c r="G585" s="15"/>
      <c r="H585" s="15"/>
      <c r="I585" s="15"/>
      <c r="J585" s="15"/>
      <c r="K585" s="15"/>
      <c r="L585" s="25"/>
      <c r="M585" s="25"/>
      <c r="N585" s="25"/>
      <c r="O585" s="25"/>
      <c r="P585" s="25"/>
      <c r="Q585" s="24">
        <f>SUM(G585:P585)</f>
        <v>0</v>
      </c>
      <c r="R585" s="343"/>
    </row>
    <row r="586" spans="1:18" ht="15" customHeight="1" hidden="1">
      <c r="A586" s="23"/>
      <c r="B586" s="23"/>
      <c r="C586" s="342"/>
      <c r="D586" s="297" t="s">
        <v>437</v>
      </c>
      <c r="E586" s="307"/>
      <c r="F586" s="594"/>
      <c r="G586" s="15"/>
      <c r="H586" s="15"/>
      <c r="I586" s="15"/>
      <c r="J586" s="15"/>
      <c r="K586" s="15"/>
      <c r="L586" s="25"/>
      <c r="M586" s="25"/>
      <c r="N586" s="25"/>
      <c r="O586" s="25"/>
      <c r="P586" s="25"/>
      <c r="Q586" s="24"/>
      <c r="R586" s="343"/>
    </row>
    <row r="587" spans="1:18" ht="23.25" customHeight="1" hidden="1">
      <c r="A587" s="23"/>
      <c r="B587" s="23"/>
      <c r="C587" s="342"/>
      <c r="D587" s="162" t="s">
        <v>411</v>
      </c>
      <c r="E587" s="291">
        <v>1</v>
      </c>
      <c r="F587" s="23">
        <v>191905</v>
      </c>
      <c r="G587" s="15"/>
      <c r="H587" s="15"/>
      <c r="I587" s="15"/>
      <c r="J587" s="15"/>
      <c r="K587" s="15"/>
      <c r="L587" s="25"/>
      <c r="M587" s="25"/>
      <c r="N587" s="25"/>
      <c r="O587" s="25"/>
      <c r="P587" s="25"/>
      <c r="Q587" s="24"/>
      <c r="R587" s="343"/>
    </row>
    <row r="588" spans="1:18" ht="21.75" customHeight="1" hidden="1">
      <c r="A588" s="23"/>
      <c r="B588" s="23"/>
      <c r="C588" s="342"/>
      <c r="D588" s="160" t="s">
        <v>1008</v>
      </c>
      <c r="E588" s="291">
        <v>1</v>
      </c>
      <c r="F588" s="23">
        <v>191128</v>
      </c>
      <c r="G588" s="15"/>
      <c r="H588" s="15"/>
      <c r="I588" s="15"/>
      <c r="J588" s="15"/>
      <c r="K588" s="15"/>
      <c r="L588" s="25"/>
      <c r="M588" s="25"/>
      <c r="N588" s="25"/>
      <c r="O588" s="25"/>
      <c r="P588" s="25"/>
      <c r="Q588" s="24"/>
      <c r="R588" s="343"/>
    </row>
    <row r="589" spans="1:18" ht="13.5" customHeight="1" hidden="1">
      <c r="A589" s="23"/>
      <c r="B589" s="23"/>
      <c r="C589" s="342"/>
      <c r="D589" s="24" t="s">
        <v>920</v>
      </c>
      <c r="E589" s="291"/>
      <c r="F589" s="23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4"/>
      <c r="R589" s="343"/>
    </row>
    <row r="590" spans="1:18" ht="13.5" customHeight="1" hidden="1">
      <c r="A590" s="23"/>
      <c r="B590" s="23"/>
      <c r="C590" s="342"/>
      <c r="D590" s="24" t="s">
        <v>921</v>
      </c>
      <c r="E590" s="25">
        <v>2</v>
      </c>
      <c r="F590" s="23">
        <v>191151</v>
      </c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4">
        <f>SUM(G590:P590)</f>
        <v>0</v>
      </c>
      <c r="R590" s="343"/>
    </row>
    <row r="591" spans="1:18" ht="15" customHeight="1" hidden="1">
      <c r="A591" s="23"/>
      <c r="B591" s="23"/>
      <c r="C591" s="342"/>
      <c r="D591" s="297" t="s">
        <v>437</v>
      </c>
      <c r="E591" s="307"/>
      <c r="F591" s="594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4"/>
      <c r="R591" s="343"/>
    </row>
    <row r="592" spans="1:18" ht="13.5" customHeight="1" hidden="1">
      <c r="A592" s="23"/>
      <c r="B592" s="23"/>
      <c r="C592" s="342"/>
      <c r="D592" s="24" t="s">
        <v>922</v>
      </c>
      <c r="E592" s="25">
        <v>1</v>
      </c>
      <c r="F592" s="23">
        <v>191121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4">
        <f>SUM(G592:P592)</f>
        <v>0</v>
      </c>
      <c r="R592" s="343"/>
    </row>
    <row r="593" spans="1:18" ht="13.5" customHeight="1" hidden="1">
      <c r="A593" s="23"/>
      <c r="B593" s="23"/>
      <c r="C593" s="342"/>
      <c r="D593" s="24" t="s">
        <v>923</v>
      </c>
      <c r="E593" s="291"/>
      <c r="F593" s="23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4"/>
      <c r="R593" s="343"/>
    </row>
    <row r="594" spans="1:18" ht="24.75" customHeight="1" hidden="1">
      <c r="A594" s="23"/>
      <c r="B594" s="23"/>
      <c r="C594" s="342"/>
      <c r="D594" s="160" t="s">
        <v>924</v>
      </c>
      <c r="E594" s="307">
        <v>2</v>
      </c>
      <c r="F594" s="594">
        <v>191142</v>
      </c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4">
        <f>SUM(G594:P594)</f>
        <v>0</v>
      </c>
      <c r="R594" s="343"/>
    </row>
    <row r="595" spans="1:18" ht="21.75" customHeight="1" hidden="1">
      <c r="A595" s="23"/>
      <c r="B595" s="23"/>
      <c r="C595" s="342"/>
      <c r="D595" s="160" t="s">
        <v>925</v>
      </c>
      <c r="E595" s="307">
        <v>2</v>
      </c>
      <c r="F595" s="594">
        <v>191154</v>
      </c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4">
        <f>SUM(G595:P595)</f>
        <v>0</v>
      </c>
      <c r="R595" s="343"/>
    </row>
    <row r="596" spans="1:18" ht="13.5" customHeight="1" hidden="1">
      <c r="A596" s="23"/>
      <c r="B596" s="23"/>
      <c r="C596" s="342"/>
      <c r="D596" s="24" t="s">
        <v>926</v>
      </c>
      <c r="E596" s="291"/>
      <c r="F596" s="23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4"/>
      <c r="R596" s="343"/>
    </row>
    <row r="597" spans="1:18" ht="13.5" customHeight="1" hidden="1">
      <c r="A597" s="23"/>
      <c r="B597" s="23"/>
      <c r="C597" s="342"/>
      <c r="D597" s="160" t="s">
        <v>927</v>
      </c>
      <c r="E597" s="313">
        <v>1</v>
      </c>
      <c r="F597" s="595">
        <v>191129</v>
      </c>
      <c r="G597" s="25"/>
      <c r="H597" s="25"/>
      <c r="I597" s="25"/>
      <c r="J597" s="15"/>
      <c r="K597" s="15"/>
      <c r="L597" s="25"/>
      <c r="M597" s="25"/>
      <c r="N597" s="25"/>
      <c r="O597" s="25"/>
      <c r="P597" s="25"/>
      <c r="Q597" s="24">
        <f>SUM(G597:P597)</f>
        <v>0</v>
      </c>
      <c r="R597" s="343"/>
    </row>
    <row r="598" spans="1:18" ht="24.75" customHeight="1" hidden="1">
      <c r="A598" s="23"/>
      <c r="B598" s="23"/>
      <c r="C598" s="342"/>
      <c r="D598" s="160" t="s">
        <v>0</v>
      </c>
      <c r="E598" s="307"/>
      <c r="F598" s="594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4">
        <f>SUM(G598:P598)</f>
        <v>0</v>
      </c>
      <c r="R598" s="343"/>
    </row>
    <row r="599" spans="1:18" ht="21.75" customHeight="1" hidden="1">
      <c r="A599" s="23"/>
      <c r="B599" s="23"/>
      <c r="C599" s="342"/>
      <c r="D599" s="160" t="s">
        <v>928</v>
      </c>
      <c r="E599" s="307">
        <v>1</v>
      </c>
      <c r="F599" s="594">
        <v>191152</v>
      </c>
      <c r="G599" s="25"/>
      <c r="H599" s="25"/>
      <c r="I599" s="15"/>
      <c r="J599" s="15"/>
      <c r="K599" s="15"/>
      <c r="L599" s="15"/>
      <c r="M599" s="15"/>
      <c r="N599" s="15"/>
      <c r="O599" s="15"/>
      <c r="P599" s="25"/>
      <c r="Q599" s="24">
        <f>SUM(G599:P599)</f>
        <v>0</v>
      </c>
      <c r="R599" s="343"/>
    </row>
    <row r="600" spans="1:18" ht="13.5" customHeight="1" hidden="1">
      <c r="A600" s="23"/>
      <c r="B600" s="23"/>
      <c r="C600" s="342"/>
      <c r="D600" s="100" t="s">
        <v>85</v>
      </c>
      <c r="E600" s="291"/>
      <c r="F600" s="23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4">
        <f>SUM(G600:P600)</f>
        <v>0</v>
      </c>
      <c r="R600" s="343"/>
    </row>
    <row r="601" spans="1:18" ht="13.5" customHeight="1" hidden="1">
      <c r="A601" s="23"/>
      <c r="B601" s="23"/>
      <c r="C601" s="342"/>
      <c r="D601" s="24" t="s">
        <v>929</v>
      </c>
      <c r="E601" s="25">
        <v>2</v>
      </c>
      <c r="F601" s="23">
        <v>191801</v>
      </c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4">
        <f>SUM(G601:P601)</f>
        <v>0</v>
      </c>
      <c r="R601" s="343"/>
    </row>
    <row r="602" spans="1:18" ht="13.5" customHeight="1" hidden="1">
      <c r="A602" s="17"/>
      <c r="B602" s="17"/>
      <c r="C602" s="300"/>
      <c r="D602" s="18" t="s">
        <v>930</v>
      </c>
      <c r="E602" s="301"/>
      <c r="F602" s="591"/>
      <c r="G602" s="19">
        <f aca="true" t="shared" si="38" ref="G602:Q602">SUM(G572:G601)</f>
        <v>0</v>
      </c>
      <c r="H602" s="19">
        <f t="shared" si="38"/>
        <v>0</v>
      </c>
      <c r="I602" s="19">
        <f t="shared" si="38"/>
        <v>0</v>
      </c>
      <c r="J602" s="19">
        <f t="shared" si="38"/>
        <v>0</v>
      </c>
      <c r="K602" s="19">
        <f t="shared" si="38"/>
        <v>0</v>
      </c>
      <c r="L602" s="19">
        <f t="shared" si="38"/>
        <v>0</v>
      </c>
      <c r="M602" s="19">
        <f t="shared" si="38"/>
        <v>0</v>
      </c>
      <c r="N602" s="19">
        <f t="shared" si="38"/>
        <v>0</v>
      </c>
      <c r="O602" s="19">
        <f t="shared" si="38"/>
        <v>0</v>
      </c>
      <c r="P602" s="19">
        <f t="shared" si="38"/>
        <v>0</v>
      </c>
      <c r="Q602" s="18">
        <f t="shared" si="38"/>
        <v>0</v>
      </c>
      <c r="R602" s="532"/>
    </row>
    <row r="603" spans="1:18" ht="13.5" customHeight="1" hidden="1">
      <c r="A603" s="149"/>
      <c r="B603" s="149"/>
      <c r="C603" s="430"/>
      <c r="D603" s="24" t="s">
        <v>931</v>
      </c>
      <c r="E603" s="147"/>
      <c r="F603" s="600"/>
      <c r="G603" s="26"/>
      <c r="H603" s="26"/>
      <c r="I603" s="26"/>
      <c r="J603" s="25"/>
      <c r="K603" s="25"/>
      <c r="L603" s="26"/>
      <c r="M603" s="26"/>
      <c r="N603" s="25"/>
      <c r="O603" s="25"/>
      <c r="P603" s="26"/>
      <c r="Q603" s="24">
        <f>SUM(G603:P603)</f>
        <v>0</v>
      </c>
      <c r="R603" s="343"/>
    </row>
    <row r="604" spans="1:18" ht="13.5" customHeight="1" hidden="1">
      <c r="A604" s="149"/>
      <c r="B604" s="149"/>
      <c r="C604" s="430"/>
      <c r="D604" s="24"/>
      <c r="E604" s="147"/>
      <c r="F604" s="600"/>
      <c r="G604" s="26"/>
      <c r="H604" s="26"/>
      <c r="I604" s="26"/>
      <c r="J604" s="25"/>
      <c r="K604" s="25"/>
      <c r="L604" s="25"/>
      <c r="M604" s="25"/>
      <c r="N604" s="25"/>
      <c r="O604" s="25"/>
      <c r="P604" s="26"/>
      <c r="Q604" s="24">
        <f>SUM(G604:P604)</f>
        <v>0</v>
      </c>
      <c r="R604" s="343"/>
    </row>
    <row r="605" spans="1:18" ht="13.5" customHeight="1" hidden="1">
      <c r="A605" s="17"/>
      <c r="B605" s="17"/>
      <c r="C605" s="300"/>
      <c r="D605" s="18" t="s">
        <v>641</v>
      </c>
      <c r="E605" s="301"/>
      <c r="F605" s="591"/>
      <c r="G605" s="19">
        <f aca="true" t="shared" si="39" ref="G605:Q605">SUM(G602:G604)</f>
        <v>0</v>
      </c>
      <c r="H605" s="19">
        <f t="shared" si="39"/>
        <v>0</v>
      </c>
      <c r="I605" s="19">
        <f t="shared" si="39"/>
        <v>0</v>
      </c>
      <c r="J605" s="19">
        <f t="shared" si="39"/>
        <v>0</v>
      </c>
      <c r="K605" s="19">
        <f t="shared" si="39"/>
        <v>0</v>
      </c>
      <c r="L605" s="19">
        <f t="shared" si="39"/>
        <v>0</v>
      </c>
      <c r="M605" s="19">
        <f t="shared" si="39"/>
        <v>0</v>
      </c>
      <c r="N605" s="19">
        <f t="shared" si="39"/>
        <v>0</v>
      </c>
      <c r="O605" s="19">
        <f t="shared" si="39"/>
        <v>0</v>
      </c>
      <c r="P605" s="19">
        <f t="shared" si="39"/>
        <v>0</v>
      </c>
      <c r="Q605" s="18">
        <f t="shared" si="39"/>
        <v>0</v>
      </c>
      <c r="R605" s="532"/>
    </row>
    <row r="606" spans="1:18" ht="15" customHeight="1" hidden="1">
      <c r="A606" s="145">
        <v>1</v>
      </c>
      <c r="B606" s="145">
        <v>20</v>
      </c>
      <c r="C606" s="319"/>
      <c r="D606" s="159" t="s">
        <v>437</v>
      </c>
      <c r="E606" s="70"/>
      <c r="F606" s="60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1"/>
      <c r="R606" s="343"/>
    </row>
    <row r="607" spans="1:18" ht="13.5" customHeight="1" hidden="1">
      <c r="A607" s="17"/>
      <c r="B607" s="17"/>
      <c r="C607" s="300"/>
      <c r="D607" s="18" t="s">
        <v>142</v>
      </c>
      <c r="E607" s="301"/>
      <c r="F607" s="591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8">
        <f>SUM(G607:P607)</f>
        <v>0</v>
      </c>
      <c r="R607" s="532"/>
    </row>
    <row r="608" spans="1:18" ht="13.5" customHeight="1">
      <c r="A608" s="346">
        <v>1</v>
      </c>
      <c r="B608" s="346" t="s">
        <v>932</v>
      </c>
      <c r="C608" s="444"/>
      <c r="D608" s="445" t="s">
        <v>933</v>
      </c>
      <c r="E608" s="446"/>
      <c r="F608" s="451"/>
      <c r="G608" s="329"/>
      <c r="H608" s="329"/>
      <c r="I608" s="343"/>
      <c r="J608" s="329"/>
      <c r="K608" s="329"/>
      <c r="L608" s="329"/>
      <c r="M608" s="329"/>
      <c r="N608" s="329"/>
      <c r="O608" s="329"/>
      <c r="P608" s="329"/>
      <c r="Q608" s="445"/>
      <c r="R608" s="343"/>
    </row>
    <row r="609" spans="1:18" ht="13.5" customHeight="1">
      <c r="A609" s="346"/>
      <c r="B609" s="346"/>
      <c r="C609" s="444"/>
      <c r="D609" s="297" t="s">
        <v>437</v>
      </c>
      <c r="E609" s="70"/>
      <c r="F609" s="600"/>
      <c r="G609" s="329"/>
      <c r="H609" s="329"/>
      <c r="I609" s="343"/>
      <c r="J609" s="329"/>
      <c r="K609" s="329"/>
      <c r="L609" s="329"/>
      <c r="M609" s="329"/>
      <c r="N609" s="329"/>
      <c r="O609" s="329"/>
      <c r="P609" s="329"/>
      <c r="Q609" s="445"/>
      <c r="R609" s="343"/>
    </row>
    <row r="610" spans="1:18" ht="13.5" customHeight="1" hidden="1">
      <c r="A610" s="346"/>
      <c r="B610" s="346"/>
      <c r="C610" s="444"/>
      <c r="D610" s="101" t="s">
        <v>934</v>
      </c>
      <c r="E610" s="330">
        <v>2</v>
      </c>
      <c r="F610" s="144">
        <v>221901</v>
      </c>
      <c r="G610" s="447"/>
      <c r="H610" s="330"/>
      <c r="I610" s="25"/>
      <c r="J610" s="330"/>
      <c r="K610" s="330"/>
      <c r="L610" s="448"/>
      <c r="M610" s="448"/>
      <c r="N610" s="448"/>
      <c r="O610" s="448"/>
      <c r="P610" s="448"/>
      <c r="Q610" s="101">
        <f aca="true" t="shared" si="40" ref="Q610:Q620">SUM(G610:P610)</f>
        <v>0</v>
      </c>
      <c r="R610" s="343"/>
    </row>
    <row r="611" spans="1:18" ht="13.5" customHeight="1" hidden="1">
      <c r="A611" s="346"/>
      <c r="B611" s="346"/>
      <c r="C611" s="444"/>
      <c r="D611" s="98" t="s">
        <v>44</v>
      </c>
      <c r="E611" s="72">
        <v>1</v>
      </c>
      <c r="F611" s="13">
        <v>221912</v>
      </c>
      <c r="G611" s="447"/>
      <c r="H611" s="330"/>
      <c r="I611" s="330"/>
      <c r="J611" s="330"/>
      <c r="K611" s="330"/>
      <c r="L611" s="448"/>
      <c r="M611" s="448"/>
      <c r="N611" s="448"/>
      <c r="O611" s="448"/>
      <c r="P611" s="448"/>
      <c r="Q611" s="101">
        <f t="shared" si="40"/>
        <v>0</v>
      </c>
      <c r="R611" s="343"/>
    </row>
    <row r="612" spans="1:18" ht="13.5" customHeight="1" hidden="1">
      <c r="A612" s="346"/>
      <c r="B612" s="346"/>
      <c r="C612" s="444"/>
      <c r="D612" s="98" t="s">
        <v>935</v>
      </c>
      <c r="E612" s="72">
        <v>2</v>
      </c>
      <c r="F612" s="13">
        <v>221916</v>
      </c>
      <c r="G612" s="447"/>
      <c r="H612" s="330"/>
      <c r="I612" s="330"/>
      <c r="J612" s="330"/>
      <c r="K612" s="330"/>
      <c r="L612" s="448"/>
      <c r="M612" s="448"/>
      <c r="N612" s="448"/>
      <c r="O612" s="448"/>
      <c r="P612" s="448"/>
      <c r="Q612" s="101">
        <f t="shared" si="40"/>
        <v>0</v>
      </c>
      <c r="R612" s="343"/>
    </row>
    <row r="613" spans="1:18" ht="13.5" customHeight="1" hidden="1">
      <c r="A613" s="346"/>
      <c r="B613" s="346"/>
      <c r="C613" s="444"/>
      <c r="D613" s="98" t="s">
        <v>936</v>
      </c>
      <c r="E613" s="72">
        <v>2</v>
      </c>
      <c r="F613" s="13">
        <v>221903</v>
      </c>
      <c r="G613" s="447"/>
      <c r="H613" s="330"/>
      <c r="I613" s="15"/>
      <c r="J613" s="330"/>
      <c r="K613" s="330"/>
      <c r="L613" s="448"/>
      <c r="M613" s="448"/>
      <c r="N613" s="448"/>
      <c r="O613" s="448"/>
      <c r="P613" s="448"/>
      <c r="Q613" s="101">
        <f t="shared" si="40"/>
        <v>0</v>
      </c>
      <c r="R613" s="343"/>
    </row>
    <row r="614" spans="1:18" ht="13.5" customHeight="1" hidden="1">
      <c r="A614" s="346"/>
      <c r="B614" s="346"/>
      <c r="C614" s="444"/>
      <c r="D614" s="16" t="s">
        <v>937</v>
      </c>
      <c r="E614" s="72">
        <v>1</v>
      </c>
      <c r="F614" s="13">
        <v>221950</v>
      </c>
      <c r="G614" s="447"/>
      <c r="H614" s="330"/>
      <c r="I614" s="15"/>
      <c r="J614" s="330"/>
      <c r="K614" s="330"/>
      <c r="L614" s="448"/>
      <c r="M614" s="448"/>
      <c r="N614" s="448"/>
      <c r="O614" s="448"/>
      <c r="P614" s="448"/>
      <c r="Q614" s="101">
        <f t="shared" si="40"/>
        <v>0</v>
      </c>
      <c r="R614" s="343"/>
    </row>
    <row r="615" spans="1:18" ht="13.5" customHeight="1" hidden="1">
      <c r="A615" s="346"/>
      <c r="B615" s="346"/>
      <c r="C615" s="444"/>
      <c r="D615" s="16" t="s">
        <v>938</v>
      </c>
      <c r="E615" s="72">
        <v>2</v>
      </c>
      <c r="F615" s="13">
        <v>221904</v>
      </c>
      <c r="G615" s="447"/>
      <c r="H615" s="330"/>
      <c r="I615" s="15"/>
      <c r="J615" s="330"/>
      <c r="K615" s="330"/>
      <c r="L615" s="448"/>
      <c r="M615" s="448"/>
      <c r="N615" s="448"/>
      <c r="O615" s="448"/>
      <c r="P615" s="448"/>
      <c r="Q615" s="101">
        <f t="shared" si="40"/>
        <v>0</v>
      </c>
      <c r="R615" s="343"/>
    </row>
    <row r="616" spans="1:18" ht="13.5" customHeight="1" hidden="1">
      <c r="A616" s="346"/>
      <c r="B616" s="346"/>
      <c r="C616" s="444"/>
      <c r="D616" s="24" t="s">
        <v>939</v>
      </c>
      <c r="E616" s="25">
        <v>2</v>
      </c>
      <c r="F616" s="23">
        <v>221922</v>
      </c>
      <c r="G616" s="447"/>
      <c r="H616" s="330"/>
      <c r="I616" s="15"/>
      <c r="J616" s="330"/>
      <c r="K616" s="330"/>
      <c r="L616" s="448"/>
      <c r="M616" s="448"/>
      <c r="N616" s="448"/>
      <c r="O616" s="448"/>
      <c r="P616" s="448"/>
      <c r="Q616" s="101">
        <f t="shared" si="40"/>
        <v>0</v>
      </c>
      <c r="R616" s="343"/>
    </row>
    <row r="617" spans="1:18" ht="13.5" customHeight="1" hidden="1">
      <c r="A617" s="346"/>
      <c r="B617" s="346"/>
      <c r="C617" s="444"/>
      <c r="D617" s="24" t="s">
        <v>940</v>
      </c>
      <c r="E617" s="291">
        <v>2</v>
      </c>
      <c r="F617" s="23">
        <v>191139</v>
      </c>
      <c r="G617" s="447"/>
      <c r="H617" s="330"/>
      <c r="I617" s="15"/>
      <c r="J617" s="330"/>
      <c r="K617" s="330"/>
      <c r="L617" s="448"/>
      <c r="M617" s="448"/>
      <c r="N617" s="448"/>
      <c r="O617" s="448"/>
      <c r="P617" s="448"/>
      <c r="Q617" s="101">
        <f t="shared" si="40"/>
        <v>0</v>
      </c>
      <c r="R617" s="343"/>
    </row>
    <row r="618" spans="1:18" ht="13.5" customHeight="1">
      <c r="A618" s="346"/>
      <c r="B618" s="346"/>
      <c r="C618" s="444"/>
      <c r="D618" s="24" t="s">
        <v>941</v>
      </c>
      <c r="E618" s="291">
        <v>2</v>
      </c>
      <c r="F618" s="23">
        <v>221926</v>
      </c>
      <c r="G618" s="447">
        <v>411</v>
      </c>
      <c r="H618" s="330">
        <v>100</v>
      </c>
      <c r="I618" s="15">
        <v>-411</v>
      </c>
      <c r="J618" s="330"/>
      <c r="K618" s="330"/>
      <c r="L618" s="448"/>
      <c r="M618" s="448"/>
      <c r="N618" s="448"/>
      <c r="O618" s="448"/>
      <c r="P618" s="448"/>
      <c r="Q618" s="101">
        <f t="shared" si="40"/>
        <v>100</v>
      </c>
      <c r="R618" s="343" t="s">
        <v>82</v>
      </c>
    </row>
    <row r="619" spans="1:18" ht="13.5" customHeight="1" hidden="1">
      <c r="A619" s="346"/>
      <c r="B619" s="346"/>
      <c r="C619" s="444"/>
      <c r="D619" s="24" t="s">
        <v>942</v>
      </c>
      <c r="E619" s="291">
        <v>2</v>
      </c>
      <c r="F619" s="23">
        <v>221927</v>
      </c>
      <c r="G619" s="447"/>
      <c r="H619" s="330"/>
      <c r="I619" s="15"/>
      <c r="J619" s="330"/>
      <c r="K619" s="330"/>
      <c r="L619" s="448"/>
      <c r="M619" s="448"/>
      <c r="N619" s="448"/>
      <c r="O619" s="448"/>
      <c r="P619" s="448"/>
      <c r="Q619" s="101">
        <f t="shared" si="40"/>
        <v>0</v>
      </c>
      <c r="R619" s="343"/>
    </row>
    <row r="620" spans="1:18" ht="13.5" customHeight="1" hidden="1">
      <c r="A620" s="346"/>
      <c r="B620" s="346"/>
      <c r="C620" s="444"/>
      <c r="D620" s="24" t="s">
        <v>943</v>
      </c>
      <c r="E620" s="291"/>
      <c r="F620" s="23">
        <v>221928</v>
      </c>
      <c r="G620" s="447"/>
      <c r="H620" s="330"/>
      <c r="I620" s="15"/>
      <c r="J620" s="330"/>
      <c r="K620" s="330"/>
      <c r="L620" s="448"/>
      <c r="M620" s="448"/>
      <c r="N620" s="448"/>
      <c r="O620" s="448"/>
      <c r="P620" s="448"/>
      <c r="Q620" s="101">
        <f t="shared" si="40"/>
        <v>0</v>
      </c>
      <c r="R620" s="343"/>
    </row>
    <row r="621" spans="1:18" ht="13.5" customHeight="1" hidden="1">
      <c r="A621" s="346"/>
      <c r="B621" s="346"/>
      <c r="C621" s="444"/>
      <c r="D621" s="24" t="s">
        <v>944</v>
      </c>
      <c r="E621" s="291"/>
      <c r="F621" s="23"/>
      <c r="G621" s="25"/>
      <c r="H621" s="25"/>
      <c r="I621" s="15"/>
      <c r="J621" s="15"/>
      <c r="K621" s="15"/>
      <c r="L621" s="25"/>
      <c r="M621" s="25"/>
      <c r="N621" s="25"/>
      <c r="O621" s="25"/>
      <c r="P621" s="25"/>
      <c r="Q621" s="24"/>
      <c r="R621" s="343"/>
    </row>
    <row r="622" spans="1:18" ht="13.5" customHeight="1" hidden="1">
      <c r="A622" s="346"/>
      <c r="B622" s="346"/>
      <c r="C622" s="444"/>
      <c r="D622" s="24" t="s">
        <v>945</v>
      </c>
      <c r="E622" s="25">
        <v>2</v>
      </c>
      <c r="F622" s="23">
        <v>191301</v>
      </c>
      <c r="G622" s="25"/>
      <c r="H622" s="25"/>
      <c r="I622" s="15"/>
      <c r="J622" s="15"/>
      <c r="K622" s="15"/>
      <c r="L622" s="25"/>
      <c r="M622" s="25"/>
      <c r="N622" s="25"/>
      <c r="O622" s="25"/>
      <c r="P622" s="25"/>
      <c r="Q622" s="24">
        <f>SUM(G622:P622)</f>
        <v>0</v>
      </c>
      <c r="R622" s="343"/>
    </row>
    <row r="623" spans="1:18" ht="13.5" customHeight="1" hidden="1">
      <c r="A623" s="346"/>
      <c r="B623" s="346"/>
      <c r="C623" s="444"/>
      <c r="D623" s="24" t="s">
        <v>946</v>
      </c>
      <c r="E623" s="25">
        <v>2</v>
      </c>
      <c r="F623" s="23">
        <v>191302</v>
      </c>
      <c r="G623" s="25"/>
      <c r="H623" s="25"/>
      <c r="I623" s="15"/>
      <c r="J623" s="15"/>
      <c r="K623" s="15"/>
      <c r="L623" s="25"/>
      <c r="M623" s="25"/>
      <c r="N623" s="25"/>
      <c r="O623" s="25"/>
      <c r="P623" s="25"/>
      <c r="Q623" s="24">
        <f>SUM(G623:P623)</f>
        <v>0</v>
      </c>
      <c r="R623" s="343"/>
    </row>
    <row r="624" spans="1:18" ht="13.5" customHeight="1" hidden="1">
      <c r="A624" s="346"/>
      <c r="B624" s="346"/>
      <c r="C624" s="444"/>
      <c r="D624" s="24" t="s">
        <v>420</v>
      </c>
      <c r="E624" s="291"/>
      <c r="F624" s="23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4"/>
      <c r="R624" s="343"/>
    </row>
    <row r="625" spans="1:18" ht="13.5" customHeight="1" hidden="1">
      <c r="A625" s="346"/>
      <c r="B625" s="346"/>
      <c r="C625" s="444"/>
      <c r="D625" s="24" t="s">
        <v>421</v>
      </c>
      <c r="E625" s="25">
        <v>2</v>
      </c>
      <c r="F625" s="23">
        <v>191110</v>
      </c>
      <c r="G625" s="15"/>
      <c r="H625" s="15"/>
      <c r="I625" s="15"/>
      <c r="J625" s="15"/>
      <c r="K625" s="15"/>
      <c r="L625" s="25"/>
      <c r="M625" s="25"/>
      <c r="N625" s="25"/>
      <c r="O625" s="25"/>
      <c r="P625" s="25"/>
      <c r="Q625" s="24">
        <f>SUM(G625:P625)</f>
        <v>0</v>
      </c>
      <c r="R625" s="343"/>
    </row>
    <row r="626" spans="1:18" ht="13.5" customHeight="1" hidden="1">
      <c r="A626" s="346"/>
      <c r="B626" s="346"/>
      <c r="C626" s="444"/>
      <c r="D626" s="98" t="s">
        <v>409</v>
      </c>
      <c r="E626" s="72"/>
      <c r="F626" s="13"/>
      <c r="G626" s="449"/>
      <c r="H626" s="330"/>
      <c r="I626" s="15"/>
      <c r="J626" s="330"/>
      <c r="K626" s="330"/>
      <c r="L626" s="448"/>
      <c r="M626" s="448"/>
      <c r="N626" s="448"/>
      <c r="O626" s="448"/>
      <c r="P626" s="448"/>
      <c r="Q626" s="101"/>
      <c r="R626" s="343"/>
    </row>
    <row r="627" spans="1:18" ht="13.5" customHeight="1" hidden="1">
      <c r="A627" s="346"/>
      <c r="B627" s="346"/>
      <c r="C627" s="444"/>
      <c r="D627" s="160" t="s">
        <v>987</v>
      </c>
      <c r="E627" s="450">
        <v>2</v>
      </c>
      <c r="F627" s="594">
        <v>221951</v>
      </c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4">
        <f>SUM(G627:P627)</f>
        <v>0</v>
      </c>
      <c r="R627" s="343"/>
    </row>
    <row r="628" spans="1:18" ht="13.5" customHeight="1" hidden="1">
      <c r="A628" s="346"/>
      <c r="B628" s="346"/>
      <c r="C628" s="451"/>
      <c r="D628" s="452" t="s">
        <v>655</v>
      </c>
      <c r="E628" s="72">
        <v>2</v>
      </c>
      <c r="F628" s="13" t="s">
        <v>1104</v>
      </c>
      <c r="G628" s="449"/>
      <c r="H628" s="330"/>
      <c r="I628" s="330"/>
      <c r="J628" s="330"/>
      <c r="K628" s="330"/>
      <c r="L628" s="448"/>
      <c r="M628" s="448"/>
      <c r="N628" s="448"/>
      <c r="O628" s="448"/>
      <c r="P628" s="448"/>
      <c r="Q628" s="101">
        <f>SUM(G628:P628)</f>
        <v>0</v>
      </c>
      <c r="R628" s="343"/>
    </row>
    <row r="629" spans="1:18" ht="13.5" customHeight="1" hidden="1">
      <c r="A629" s="346"/>
      <c r="B629" s="346"/>
      <c r="C629" s="444"/>
      <c r="D629" s="98" t="s">
        <v>947</v>
      </c>
      <c r="E629" s="72"/>
      <c r="F629" s="13"/>
      <c r="G629" s="449"/>
      <c r="H629" s="330"/>
      <c r="I629" s="330"/>
      <c r="J629" s="330"/>
      <c r="K629" s="330"/>
      <c r="L629" s="448"/>
      <c r="M629" s="448"/>
      <c r="N629" s="448"/>
      <c r="O629" s="448"/>
      <c r="P629" s="448"/>
      <c r="Q629" s="101"/>
      <c r="R629" s="343"/>
    </row>
    <row r="630" spans="1:18" ht="13.5" customHeight="1" hidden="1">
      <c r="A630" s="346"/>
      <c r="B630" s="346"/>
      <c r="C630" s="444"/>
      <c r="D630" s="98" t="s">
        <v>948</v>
      </c>
      <c r="E630" s="72">
        <v>2</v>
      </c>
      <c r="F630" s="13">
        <v>221929</v>
      </c>
      <c r="G630" s="449"/>
      <c r="H630" s="330"/>
      <c r="I630" s="330"/>
      <c r="J630" s="330"/>
      <c r="K630" s="330"/>
      <c r="L630" s="448"/>
      <c r="M630" s="448"/>
      <c r="N630" s="448"/>
      <c r="O630" s="448"/>
      <c r="P630" s="448"/>
      <c r="Q630" s="101">
        <f>SUM(G630:P630)</f>
        <v>0</v>
      </c>
      <c r="R630" s="343"/>
    </row>
    <row r="631" spans="1:18" ht="13.5" customHeight="1" hidden="1">
      <c r="A631" s="346"/>
      <c r="B631" s="346"/>
      <c r="C631" s="453"/>
      <c r="D631" s="98" t="s">
        <v>949</v>
      </c>
      <c r="E631" s="72"/>
      <c r="F631" s="13"/>
      <c r="G631" s="449"/>
      <c r="H631" s="330"/>
      <c r="I631" s="330"/>
      <c r="J631" s="330"/>
      <c r="K631" s="330"/>
      <c r="L631" s="448"/>
      <c r="M631" s="448"/>
      <c r="N631" s="448"/>
      <c r="O631" s="448"/>
      <c r="P631" s="448"/>
      <c r="Q631" s="101"/>
      <c r="R631" s="343"/>
    </row>
    <row r="632" spans="1:18" ht="13.5" customHeight="1" hidden="1">
      <c r="A632" s="346"/>
      <c r="B632" s="346"/>
      <c r="C632" s="453"/>
      <c r="D632" s="98" t="s">
        <v>950</v>
      </c>
      <c r="E632" s="72">
        <v>1</v>
      </c>
      <c r="F632" s="13">
        <v>221909</v>
      </c>
      <c r="G632" s="449"/>
      <c r="H632" s="330"/>
      <c r="I632" s="330"/>
      <c r="J632" s="330"/>
      <c r="K632" s="330"/>
      <c r="L632" s="448"/>
      <c r="M632" s="448"/>
      <c r="N632" s="448"/>
      <c r="O632" s="448"/>
      <c r="P632" s="448"/>
      <c r="Q632" s="101"/>
      <c r="R632" s="343"/>
    </row>
    <row r="633" spans="1:18" ht="13.5" customHeight="1" hidden="1">
      <c r="A633" s="346"/>
      <c r="B633" s="346"/>
      <c r="C633" s="444"/>
      <c r="D633" s="98" t="s">
        <v>951</v>
      </c>
      <c r="E633" s="72">
        <v>1</v>
      </c>
      <c r="F633" s="13">
        <v>221913</v>
      </c>
      <c r="G633" s="449"/>
      <c r="H633" s="330"/>
      <c r="I633" s="330"/>
      <c r="J633" s="330"/>
      <c r="K633" s="330"/>
      <c r="L633" s="448"/>
      <c r="M633" s="448"/>
      <c r="N633" s="448"/>
      <c r="O633" s="448"/>
      <c r="P633" s="448"/>
      <c r="Q633" s="101"/>
      <c r="R633" s="343"/>
    </row>
    <row r="634" spans="1:18" ht="24.75" customHeight="1" hidden="1">
      <c r="A634" s="346"/>
      <c r="B634" s="346"/>
      <c r="C634" s="444"/>
      <c r="D634" s="454" t="s">
        <v>952</v>
      </c>
      <c r="E634" s="72">
        <v>2</v>
      </c>
      <c r="F634" s="13">
        <v>221914</v>
      </c>
      <c r="G634" s="449"/>
      <c r="H634" s="330"/>
      <c r="I634" s="330"/>
      <c r="J634" s="330"/>
      <c r="K634" s="330"/>
      <c r="L634" s="448"/>
      <c r="M634" s="448"/>
      <c r="N634" s="448"/>
      <c r="O634" s="448"/>
      <c r="P634" s="448"/>
      <c r="Q634" s="101">
        <f>SUM(G634:P634)</f>
        <v>0</v>
      </c>
      <c r="R634" s="343"/>
    </row>
    <row r="635" spans="1:18" ht="14.25" customHeight="1" hidden="1">
      <c r="A635" s="346"/>
      <c r="B635" s="346"/>
      <c r="C635" s="444"/>
      <c r="D635" s="454" t="s">
        <v>953</v>
      </c>
      <c r="E635" s="72">
        <v>2</v>
      </c>
      <c r="F635" s="13">
        <v>221930</v>
      </c>
      <c r="G635" s="449"/>
      <c r="H635" s="330"/>
      <c r="I635" s="330"/>
      <c r="J635" s="330"/>
      <c r="K635" s="330"/>
      <c r="L635" s="448"/>
      <c r="M635" s="448"/>
      <c r="N635" s="448"/>
      <c r="O635" s="448"/>
      <c r="P635" s="448"/>
      <c r="Q635" s="101">
        <f>SUM(G635:P635)</f>
        <v>0</v>
      </c>
      <c r="R635" s="343"/>
    </row>
    <row r="636" spans="1:18" ht="15" customHeight="1" hidden="1">
      <c r="A636" s="346"/>
      <c r="B636" s="346"/>
      <c r="C636" s="444"/>
      <c r="D636" s="454" t="s">
        <v>954</v>
      </c>
      <c r="E636" s="72">
        <v>2</v>
      </c>
      <c r="F636" s="13">
        <v>221931</v>
      </c>
      <c r="G636" s="449"/>
      <c r="H636" s="330"/>
      <c r="I636" s="330"/>
      <c r="J636" s="330"/>
      <c r="K636" s="330"/>
      <c r="L636" s="448"/>
      <c r="M636" s="448"/>
      <c r="N636" s="448"/>
      <c r="O636" s="448"/>
      <c r="P636" s="448"/>
      <c r="Q636" s="101">
        <f>SUM(G636:P636)</f>
        <v>0</v>
      </c>
      <c r="R636" s="343"/>
    </row>
    <row r="637" spans="1:18" ht="13.5" customHeight="1">
      <c r="A637" s="17"/>
      <c r="B637" s="17"/>
      <c r="C637" s="300"/>
      <c r="D637" s="345" t="s">
        <v>955</v>
      </c>
      <c r="E637" s="455"/>
      <c r="F637" s="591"/>
      <c r="G637" s="456">
        <f aca="true" t="shared" si="41" ref="G637:Q637">SUM(G610:G636)</f>
        <v>411</v>
      </c>
      <c r="H637" s="456">
        <f t="shared" si="41"/>
        <v>100</v>
      </c>
      <c r="I637" s="456">
        <f t="shared" si="41"/>
        <v>-411</v>
      </c>
      <c r="J637" s="456">
        <f t="shared" si="41"/>
        <v>0</v>
      </c>
      <c r="K637" s="456">
        <f t="shared" si="41"/>
        <v>0</v>
      </c>
      <c r="L637" s="456">
        <f t="shared" si="41"/>
        <v>0</v>
      </c>
      <c r="M637" s="456">
        <f t="shared" si="41"/>
        <v>0</v>
      </c>
      <c r="N637" s="456">
        <f t="shared" si="41"/>
        <v>0</v>
      </c>
      <c r="O637" s="456">
        <f t="shared" si="41"/>
        <v>0</v>
      </c>
      <c r="P637" s="456">
        <f t="shared" si="41"/>
        <v>0</v>
      </c>
      <c r="Q637" s="528">
        <f t="shared" si="41"/>
        <v>100</v>
      </c>
      <c r="R637" s="532"/>
    </row>
    <row r="638" spans="1:18" ht="13.5" customHeight="1">
      <c r="A638" s="145"/>
      <c r="B638" s="145"/>
      <c r="C638" s="319"/>
      <c r="D638" s="457" t="s">
        <v>931</v>
      </c>
      <c r="E638" s="458"/>
      <c r="F638" s="601"/>
      <c r="G638" s="459"/>
      <c r="H638" s="459"/>
      <c r="I638" s="459"/>
      <c r="J638" s="459"/>
      <c r="K638" s="459"/>
      <c r="L638" s="459"/>
      <c r="M638" s="459"/>
      <c r="N638" s="459"/>
      <c r="O638" s="459"/>
      <c r="P638" s="459"/>
      <c r="Q638" s="529"/>
      <c r="R638" s="343"/>
    </row>
    <row r="639" spans="1:18" ht="13.5" customHeight="1" hidden="1">
      <c r="A639" s="346"/>
      <c r="B639" s="346"/>
      <c r="C639" s="444" t="s">
        <v>592</v>
      </c>
      <c r="D639" s="413" t="s">
        <v>956</v>
      </c>
      <c r="E639" s="147"/>
      <c r="F639" s="600">
        <v>222904</v>
      </c>
      <c r="G639" s="25"/>
      <c r="H639" s="245"/>
      <c r="I639" s="25"/>
      <c r="J639" s="25"/>
      <c r="K639" s="25"/>
      <c r="L639" s="25"/>
      <c r="M639" s="25"/>
      <c r="N639" s="25"/>
      <c r="O639" s="25"/>
      <c r="P639" s="25"/>
      <c r="Q639" s="24">
        <f>SUM(G639:P639)</f>
        <v>0</v>
      </c>
      <c r="R639" s="343"/>
    </row>
    <row r="640" spans="1:152" s="461" customFormat="1" ht="13.5" customHeight="1">
      <c r="A640" s="17"/>
      <c r="B640" s="17"/>
      <c r="C640" s="300"/>
      <c r="D640" s="18" t="s">
        <v>71</v>
      </c>
      <c r="E640" s="301"/>
      <c r="F640" s="591"/>
      <c r="G640" s="19">
        <f aca="true" t="shared" si="42" ref="G640:N640">SUM(G637:G639)</f>
        <v>411</v>
      </c>
      <c r="H640" s="19">
        <f t="shared" si="42"/>
        <v>100</v>
      </c>
      <c r="I640" s="19">
        <f t="shared" si="42"/>
        <v>-411</v>
      </c>
      <c r="J640" s="19">
        <f t="shared" si="42"/>
        <v>0</v>
      </c>
      <c r="K640" s="19">
        <f t="shared" si="42"/>
        <v>0</v>
      </c>
      <c r="L640" s="19">
        <f t="shared" si="42"/>
        <v>0</v>
      </c>
      <c r="M640" s="19">
        <f t="shared" si="42"/>
        <v>0</v>
      </c>
      <c r="N640" s="19">
        <f t="shared" si="42"/>
        <v>0</v>
      </c>
      <c r="O640" s="19"/>
      <c r="P640" s="19">
        <f>SUM(P637:P639)</f>
        <v>0</v>
      </c>
      <c r="Q640" s="18">
        <f>SUM(Q637:Q639)</f>
        <v>100</v>
      </c>
      <c r="R640" s="532"/>
      <c r="S640" s="460"/>
      <c r="T640" s="460"/>
      <c r="U640" s="460"/>
      <c r="V640" s="460"/>
      <c r="W640" s="460"/>
      <c r="X640" s="460"/>
      <c r="Y640" s="460"/>
      <c r="Z640" s="460"/>
      <c r="AA640" s="460"/>
      <c r="AB640" s="460"/>
      <c r="AC640" s="460"/>
      <c r="AD640" s="460"/>
      <c r="AE640" s="460"/>
      <c r="AF640" s="460"/>
      <c r="AG640" s="460"/>
      <c r="AH640" s="460"/>
      <c r="AI640" s="460"/>
      <c r="AJ640" s="460"/>
      <c r="AK640" s="460"/>
      <c r="AL640" s="460"/>
      <c r="AM640" s="460"/>
      <c r="AN640" s="460"/>
      <c r="AO640" s="460"/>
      <c r="AP640" s="460"/>
      <c r="AQ640" s="460"/>
      <c r="AR640" s="460"/>
      <c r="AS640" s="460"/>
      <c r="AT640" s="460"/>
      <c r="AU640" s="460"/>
      <c r="AV640" s="460"/>
      <c r="AW640" s="460"/>
      <c r="AX640" s="460"/>
      <c r="AY640" s="460"/>
      <c r="AZ640" s="460"/>
      <c r="BA640" s="460"/>
      <c r="BB640" s="460"/>
      <c r="BC640" s="460"/>
      <c r="BD640" s="460"/>
      <c r="BE640" s="460"/>
      <c r="BF640" s="460"/>
      <c r="BG640" s="460"/>
      <c r="BH640" s="460"/>
      <c r="BI640" s="460"/>
      <c r="BJ640" s="460"/>
      <c r="BK640" s="460"/>
      <c r="BL640" s="460"/>
      <c r="BM640" s="460"/>
      <c r="BN640" s="460"/>
      <c r="BO640" s="460"/>
      <c r="BP640" s="460"/>
      <c r="BQ640" s="460"/>
      <c r="BR640" s="460"/>
      <c r="BS640" s="460"/>
      <c r="BT640" s="460"/>
      <c r="BU640" s="460"/>
      <c r="BV640" s="460"/>
      <c r="BW640" s="460"/>
      <c r="BX640" s="460"/>
      <c r="BY640" s="460"/>
      <c r="BZ640" s="460"/>
      <c r="CA640" s="460"/>
      <c r="CB640" s="460"/>
      <c r="CC640" s="460"/>
      <c r="CD640" s="460"/>
      <c r="CE640" s="460"/>
      <c r="CF640" s="460"/>
      <c r="CG640" s="460"/>
      <c r="CH640" s="460"/>
      <c r="CI640" s="460"/>
      <c r="CJ640" s="460"/>
      <c r="CK640" s="460"/>
      <c r="CL640" s="460"/>
      <c r="CM640" s="460"/>
      <c r="CN640" s="460"/>
      <c r="CO640" s="460"/>
      <c r="CP640" s="460"/>
      <c r="CQ640" s="460"/>
      <c r="CR640" s="460"/>
      <c r="CS640" s="460"/>
      <c r="CT640" s="460"/>
      <c r="CU640" s="460"/>
      <c r="CV640" s="460"/>
      <c r="CW640" s="460"/>
      <c r="CX640" s="460"/>
      <c r="CY640" s="460"/>
      <c r="CZ640" s="460"/>
      <c r="DA640" s="460"/>
      <c r="DB640" s="460"/>
      <c r="DC640" s="460"/>
      <c r="DD640" s="460"/>
      <c r="DE640" s="460"/>
      <c r="DF640" s="460"/>
      <c r="DG640" s="460"/>
      <c r="DH640" s="460"/>
      <c r="DI640" s="460"/>
      <c r="DJ640" s="460"/>
      <c r="DK640" s="460"/>
      <c r="DL640" s="460"/>
      <c r="DM640" s="460"/>
      <c r="DN640" s="460"/>
      <c r="DO640" s="460"/>
      <c r="DP640" s="460"/>
      <c r="DQ640" s="460"/>
      <c r="DR640" s="460"/>
      <c r="DS640" s="460"/>
      <c r="DT640" s="460"/>
      <c r="DU640" s="460"/>
      <c r="DV640" s="460"/>
      <c r="DW640" s="460"/>
      <c r="DX640" s="460"/>
      <c r="DY640" s="460"/>
      <c r="DZ640" s="460"/>
      <c r="EA640" s="460"/>
      <c r="EB640" s="460"/>
      <c r="EC640" s="460"/>
      <c r="ED640" s="460"/>
      <c r="EE640" s="460"/>
      <c r="EF640" s="460"/>
      <c r="EG640" s="460"/>
      <c r="EH640" s="460"/>
      <c r="EI640" s="460"/>
      <c r="EJ640" s="460"/>
      <c r="EK640" s="460"/>
      <c r="EL640" s="460"/>
      <c r="EM640" s="460"/>
      <c r="EN640" s="460"/>
      <c r="EO640" s="460"/>
      <c r="EP640" s="460"/>
      <c r="EQ640" s="460"/>
      <c r="ER640" s="460"/>
      <c r="ES640" s="460"/>
      <c r="ET640" s="460"/>
      <c r="EU640" s="460"/>
      <c r="EV640" s="460"/>
    </row>
    <row r="641" spans="1:18" ht="13.5" customHeight="1">
      <c r="A641" s="149">
        <v>1</v>
      </c>
      <c r="B641" s="149">
        <v>30</v>
      </c>
      <c r="C641" s="430"/>
      <c r="D641" s="28" t="s">
        <v>957</v>
      </c>
      <c r="E641" s="147"/>
      <c r="F641" s="600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4"/>
      <c r="R641" s="343"/>
    </row>
    <row r="642" spans="1:18" ht="13.5" customHeight="1" hidden="1">
      <c r="A642" s="149"/>
      <c r="B642" s="149">
        <v>31</v>
      </c>
      <c r="C642" s="430"/>
      <c r="D642" s="28" t="s">
        <v>554</v>
      </c>
      <c r="E642" s="27"/>
      <c r="F642" s="600">
        <v>331901</v>
      </c>
      <c r="G642" s="26"/>
      <c r="H642" s="26"/>
      <c r="I642" s="26"/>
      <c r="J642" s="26"/>
      <c r="K642" s="25"/>
      <c r="L642" s="26"/>
      <c r="M642" s="26"/>
      <c r="N642" s="26"/>
      <c r="O642" s="26"/>
      <c r="P642" s="25"/>
      <c r="Q642" s="24">
        <f>SUM(G642:P642)</f>
        <v>0</v>
      </c>
      <c r="R642" s="343"/>
    </row>
    <row r="643" spans="1:18" ht="13.5" customHeight="1">
      <c r="A643" s="23"/>
      <c r="B643" s="23">
        <v>32</v>
      </c>
      <c r="C643" s="342"/>
      <c r="D643" s="28" t="s">
        <v>466</v>
      </c>
      <c r="E643" s="147"/>
      <c r="F643" s="600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4"/>
      <c r="R643" s="343"/>
    </row>
    <row r="644" spans="1:18" ht="13.5" customHeight="1" hidden="1">
      <c r="A644" s="23"/>
      <c r="B644" s="23"/>
      <c r="C644" s="342"/>
      <c r="D644" s="24" t="s">
        <v>958</v>
      </c>
      <c r="E644" s="25">
        <v>1</v>
      </c>
      <c r="F644" s="23">
        <v>321907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4">
        <f>SUM(G644:P644)</f>
        <v>0</v>
      </c>
      <c r="R644" s="343"/>
    </row>
    <row r="645" spans="1:18" ht="12.75" customHeight="1" hidden="1">
      <c r="A645" s="462"/>
      <c r="B645" s="462"/>
      <c r="C645" s="462"/>
      <c r="D645" s="463" t="s">
        <v>988</v>
      </c>
      <c r="E645" s="464">
        <v>1</v>
      </c>
      <c r="F645" s="610">
        <v>321903</v>
      </c>
      <c r="G645" s="462"/>
      <c r="H645" s="462"/>
      <c r="I645" s="464"/>
      <c r="J645" s="465"/>
      <c r="K645" s="464"/>
      <c r="L645" s="462"/>
      <c r="M645" s="462"/>
      <c r="N645" s="462"/>
      <c r="O645" s="462"/>
      <c r="P645" s="466"/>
      <c r="Q645" s="24">
        <f>SUM(G645:P645)</f>
        <v>0</v>
      </c>
      <c r="R645" s="343"/>
    </row>
    <row r="646" spans="1:18" ht="13.5" customHeight="1">
      <c r="A646" s="23"/>
      <c r="B646" s="23"/>
      <c r="C646" s="342"/>
      <c r="D646" s="24" t="s">
        <v>959</v>
      </c>
      <c r="E646" s="291">
        <v>1</v>
      </c>
      <c r="F646" s="23">
        <v>321908</v>
      </c>
      <c r="G646" s="25"/>
      <c r="H646" s="25"/>
      <c r="I646" s="25"/>
      <c r="J646" s="25"/>
      <c r="K646" s="25">
        <v>-5000</v>
      </c>
      <c r="L646" s="25"/>
      <c r="M646" s="25"/>
      <c r="N646" s="25"/>
      <c r="O646" s="25"/>
      <c r="P646" s="25"/>
      <c r="Q646" s="24">
        <f>SUM(G646:P646)</f>
        <v>-5000</v>
      </c>
      <c r="R646" s="343" t="s">
        <v>733</v>
      </c>
    </row>
    <row r="647" spans="1:18" ht="24.75" customHeight="1" hidden="1">
      <c r="A647" s="23"/>
      <c r="B647" s="23"/>
      <c r="C647" s="342"/>
      <c r="D647" s="160" t="s">
        <v>989</v>
      </c>
      <c r="E647" s="307">
        <v>1</v>
      </c>
      <c r="F647" s="594">
        <v>321926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4">
        <f>SUM(G647:P647)</f>
        <v>0</v>
      </c>
      <c r="R647" s="343"/>
    </row>
    <row r="648" spans="1:18" ht="18" customHeight="1" hidden="1">
      <c r="A648" s="23"/>
      <c r="B648" s="23"/>
      <c r="C648" s="342"/>
      <c r="D648" s="161" t="s">
        <v>960</v>
      </c>
      <c r="E648" s="307">
        <v>1</v>
      </c>
      <c r="F648" s="594">
        <v>321911</v>
      </c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4">
        <f>SUM(G648:P648)</f>
        <v>0</v>
      </c>
      <c r="R648" s="343"/>
    </row>
    <row r="649" spans="1:18" ht="28.5" customHeight="1" hidden="1">
      <c r="A649" s="23"/>
      <c r="B649" s="23"/>
      <c r="C649" s="342"/>
      <c r="D649" s="305" t="s">
        <v>961</v>
      </c>
      <c r="E649" s="307"/>
      <c r="F649" s="594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4"/>
      <c r="R649" s="343"/>
    </row>
    <row r="650" spans="1:18" ht="13.5" customHeight="1" hidden="1">
      <c r="A650" s="23"/>
      <c r="B650" s="23"/>
      <c r="C650" s="342"/>
      <c r="D650" s="16" t="s">
        <v>962</v>
      </c>
      <c r="E650" s="433">
        <v>2</v>
      </c>
      <c r="F650" s="13">
        <v>321953</v>
      </c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4">
        <f>SUM(G650:P650)</f>
        <v>0</v>
      </c>
      <c r="R650" s="343"/>
    </row>
    <row r="651" spans="1:18" ht="13.5" customHeight="1" hidden="1">
      <c r="A651" s="23"/>
      <c r="B651" s="23"/>
      <c r="C651" s="342"/>
      <c r="D651" s="24" t="s">
        <v>963</v>
      </c>
      <c r="E651" s="291">
        <v>2</v>
      </c>
      <c r="F651" s="23">
        <v>321954</v>
      </c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4">
        <f>SUM(G651:P651)</f>
        <v>0</v>
      </c>
      <c r="R651" s="343"/>
    </row>
    <row r="652" spans="1:18" ht="13.5" customHeight="1" hidden="1">
      <c r="A652" s="23"/>
      <c r="B652" s="23"/>
      <c r="C652" s="342"/>
      <c r="D652" s="160" t="s">
        <v>964</v>
      </c>
      <c r="E652" s="307">
        <v>2</v>
      </c>
      <c r="F652" s="594">
        <v>321906</v>
      </c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4">
        <f>SUM(G652:P652)</f>
        <v>0</v>
      </c>
      <c r="R652" s="343"/>
    </row>
    <row r="653" spans="1:18" ht="24.75" customHeight="1">
      <c r="A653" s="23"/>
      <c r="B653" s="23"/>
      <c r="C653" s="342"/>
      <c r="D653" s="305" t="s">
        <v>965</v>
      </c>
      <c r="E653" s="307"/>
      <c r="F653" s="594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4"/>
      <c r="R653" s="343"/>
    </row>
    <row r="654" spans="1:18" ht="13.5" customHeight="1">
      <c r="A654" s="23"/>
      <c r="B654" s="23"/>
      <c r="C654" s="342"/>
      <c r="D654" s="24" t="s">
        <v>966</v>
      </c>
      <c r="E654" s="291">
        <v>2</v>
      </c>
      <c r="F654" s="23">
        <v>321958</v>
      </c>
      <c r="G654" s="25"/>
      <c r="H654" s="25"/>
      <c r="I654" s="25"/>
      <c r="J654" s="25"/>
      <c r="K654" s="25">
        <v>-50</v>
      </c>
      <c r="L654" s="25"/>
      <c r="M654" s="25"/>
      <c r="N654" s="25"/>
      <c r="O654" s="25"/>
      <c r="P654" s="25"/>
      <c r="Q654" s="24">
        <f>SUM(G654:P654)</f>
        <v>-50</v>
      </c>
      <c r="R654" s="343" t="s">
        <v>81</v>
      </c>
    </row>
    <row r="655" spans="1:18" ht="13.5" customHeight="1" hidden="1">
      <c r="A655" s="23"/>
      <c r="B655" s="23"/>
      <c r="C655" s="342"/>
      <c r="D655" s="160" t="s">
        <v>967</v>
      </c>
      <c r="E655" s="307">
        <v>2</v>
      </c>
      <c r="F655" s="594">
        <v>321956</v>
      </c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4">
        <f>SUM(G655:P655)</f>
        <v>0</v>
      </c>
      <c r="R655" s="343"/>
    </row>
    <row r="656" spans="1:18" ht="24.75" customHeight="1">
      <c r="A656" s="23"/>
      <c r="B656" s="23"/>
      <c r="C656" s="342"/>
      <c r="D656" s="305" t="s">
        <v>968</v>
      </c>
      <c r="E656" s="307"/>
      <c r="F656" s="594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4">
        <f>SUM(G656:P656)</f>
        <v>0</v>
      </c>
      <c r="R656" s="343"/>
    </row>
    <row r="657" spans="1:18" ht="13.5" customHeight="1">
      <c r="A657" s="23"/>
      <c r="B657" s="23"/>
      <c r="C657" s="342"/>
      <c r="D657" s="24" t="s">
        <v>969</v>
      </c>
      <c r="E657" s="291">
        <v>2</v>
      </c>
      <c r="F657" s="23">
        <v>321959</v>
      </c>
      <c r="G657" s="25"/>
      <c r="H657" s="25"/>
      <c r="I657" s="25"/>
      <c r="J657" s="25"/>
      <c r="K657" s="25">
        <v>-50</v>
      </c>
      <c r="L657" s="25"/>
      <c r="M657" s="25"/>
      <c r="N657" s="25"/>
      <c r="O657" s="25"/>
      <c r="P657" s="25"/>
      <c r="Q657" s="24">
        <f>SUM(G657:P657)</f>
        <v>-50</v>
      </c>
      <c r="R657" s="343" t="s">
        <v>81</v>
      </c>
    </row>
    <row r="658" spans="1:18" ht="25.5" customHeight="1" hidden="1">
      <c r="A658" s="23"/>
      <c r="B658" s="23"/>
      <c r="C658" s="342"/>
      <c r="D658" s="305" t="s">
        <v>970</v>
      </c>
      <c r="E658" s="307"/>
      <c r="F658" s="594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4"/>
      <c r="R658" s="343"/>
    </row>
    <row r="659" spans="1:18" ht="15" customHeight="1" hidden="1">
      <c r="A659" s="23"/>
      <c r="B659" s="23"/>
      <c r="C659" s="342"/>
      <c r="D659" s="160" t="s">
        <v>971</v>
      </c>
      <c r="E659" s="307">
        <v>2</v>
      </c>
      <c r="F659" s="594">
        <v>321960</v>
      </c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4">
        <f aca="true" t="shared" si="43" ref="Q659:Q665">SUM(G659:P659)</f>
        <v>0</v>
      </c>
      <c r="R659" s="343"/>
    </row>
    <row r="660" spans="1:18" ht="24" customHeight="1" hidden="1">
      <c r="A660" s="23"/>
      <c r="B660" s="23"/>
      <c r="C660" s="342"/>
      <c r="D660" s="467" t="s">
        <v>972</v>
      </c>
      <c r="E660" s="468"/>
      <c r="F660" s="611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4">
        <f t="shared" si="43"/>
        <v>0</v>
      </c>
      <c r="R660" s="343"/>
    </row>
    <row r="661" spans="1:18" ht="15" customHeight="1" hidden="1">
      <c r="A661" s="23"/>
      <c r="B661" s="23"/>
      <c r="C661" s="342"/>
      <c r="D661" s="141" t="s">
        <v>973</v>
      </c>
      <c r="E661" s="307">
        <v>1</v>
      </c>
      <c r="F661" s="594">
        <v>321961</v>
      </c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4">
        <f t="shared" si="43"/>
        <v>0</v>
      </c>
      <c r="R661" s="343"/>
    </row>
    <row r="662" spans="1:18" ht="15" customHeight="1" hidden="1">
      <c r="A662" s="23"/>
      <c r="B662" s="23"/>
      <c r="C662" s="342"/>
      <c r="D662" s="141" t="s">
        <v>974</v>
      </c>
      <c r="E662" s="307">
        <v>1</v>
      </c>
      <c r="F662" s="594">
        <v>321909</v>
      </c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4">
        <f t="shared" si="43"/>
        <v>0</v>
      </c>
      <c r="R662" s="343"/>
    </row>
    <row r="663" spans="1:18" ht="13.5" customHeight="1" hidden="1">
      <c r="A663" s="23"/>
      <c r="B663" s="23"/>
      <c r="C663" s="342"/>
      <c r="D663" s="99" t="s">
        <v>647</v>
      </c>
      <c r="E663" s="25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4">
        <f t="shared" si="43"/>
        <v>0</v>
      </c>
      <c r="R663" s="343"/>
    </row>
    <row r="664" spans="1:18" ht="13.5" customHeight="1" hidden="1">
      <c r="A664" s="23"/>
      <c r="B664" s="23"/>
      <c r="C664" s="342" t="s">
        <v>548</v>
      </c>
      <c r="D664" s="127" t="s">
        <v>571</v>
      </c>
      <c r="E664" s="25"/>
      <c r="F664" s="23">
        <v>324902</v>
      </c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4">
        <f t="shared" si="43"/>
        <v>0</v>
      </c>
      <c r="R664" s="343"/>
    </row>
    <row r="665" spans="1:18" ht="13.5" customHeight="1" hidden="1">
      <c r="A665" s="23"/>
      <c r="B665" s="23"/>
      <c r="C665" s="342" t="s">
        <v>595</v>
      </c>
      <c r="D665" s="469" t="s">
        <v>975</v>
      </c>
      <c r="E665" s="25"/>
      <c r="F665" s="23">
        <v>322902</v>
      </c>
      <c r="G665" s="329"/>
      <c r="H665" s="329"/>
      <c r="I665" s="329"/>
      <c r="J665" s="329"/>
      <c r="K665" s="329"/>
      <c r="L665" s="330"/>
      <c r="M665" s="330"/>
      <c r="N665" s="330"/>
      <c r="O665" s="329"/>
      <c r="P665" s="329"/>
      <c r="Q665" s="101">
        <f t="shared" si="43"/>
        <v>0</v>
      </c>
      <c r="R665" s="343"/>
    </row>
    <row r="666" spans="1:18" ht="15.75" customHeight="1">
      <c r="A666" s="17"/>
      <c r="B666" s="17"/>
      <c r="C666" s="300"/>
      <c r="D666" s="18" t="s">
        <v>467</v>
      </c>
      <c r="E666" s="301"/>
      <c r="F666" s="591"/>
      <c r="G666" s="19">
        <f aca="true" t="shared" si="44" ref="G666:Q666">SUM(G641:G665)</f>
        <v>0</v>
      </c>
      <c r="H666" s="19">
        <f t="shared" si="44"/>
        <v>0</v>
      </c>
      <c r="I666" s="19">
        <f t="shared" si="44"/>
        <v>0</v>
      </c>
      <c r="J666" s="19">
        <f t="shared" si="44"/>
        <v>0</v>
      </c>
      <c r="K666" s="19">
        <f t="shared" si="44"/>
        <v>-5100</v>
      </c>
      <c r="L666" s="19">
        <f t="shared" si="44"/>
        <v>0</v>
      </c>
      <c r="M666" s="19">
        <f t="shared" si="44"/>
        <v>0</v>
      </c>
      <c r="N666" s="19">
        <f t="shared" si="44"/>
        <v>0</v>
      </c>
      <c r="O666" s="19">
        <f t="shared" si="44"/>
        <v>0</v>
      </c>
      <c r="P666" s="19">
        <f t="shared" si="44"/>
        <v>0</v>
      </c>
      <c r="Q666" s="18">
        <f t="shared" si="44"/>
        <v>-5100</v>
      </c>
      <c r="R666" s="532"/>
    </row>
    <row r="667" spans="1:18" ht="15.75" customHeight="1">
      <c r="A667" s="17"/>
      <c r="B667" s="17"/>
      <c r="C667" s="300"/>
      <c r="D667" s="470" t="s">
        <v>455</v>
      </c>
      <c r="E667" s="471"/>
      <c r="F667" s="612"/>
      <c r="G667" s="472">
        <f aca="true" t="shared" si="45" ref="G667:Q667">SUM(G42+G196+G212+G431+G526+G553+G571+G605+G607+G640+G666)</f>
        <v>411</v>
      </c>
      <c r="H667" s="472">
        <f t="shared" si="45"/>
        <v>100</v>
      </c>
      <c r="I667" s="472">
        <f t="shared" si="45"/>
        <v>83980</v>
      </c>
      <c r="J667" s="472">
        <f t="shared" si="45"/>
        <v>0</v>
      </c>
      <c r="K667" s="472">
        <f t="shared" si="45"/>
        <v>-5100</v>
      </c>
      <c r="L667" s="472">
        <f t="shared" si="45"/>
        <v>30226</v>
      </c>
      <c r="M667" s="472">
        <f t="shared" si="45"/>
        <v>-13890</v>
      </c>
      <c r="N667" s="472">
        <f t="shared" si="45"/>
        <v>22590</v>
      </c>
      <c r="O667" s="472">
        <f t="shared" si="45"/>
        <v>0</v>
      </c>
      <c r="P667" s="472">
        <f t="shared" si="45"/>
        <v>0</v>
      </c>
      <c r="Q667" s="530">
        <f t="shared" si="45"/>
        <v>118317</v>
      </c>
      <c r="R667" s="532"/>
    </row>
    <row r="668" spans="1:18" ht="15.75" customHeight="1">
      <c r="A668" s="13"/>
      <c r="B668" s="13"/>
      <c r="C668" s="13"/>
      <c r="D668" s="285" t="s">
        <v>483</v>
      </c>
      <c r="E668" s="14"/>
      <c r="F668" s="592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384">
        <f>SUM(G668:P668)</f>
        <v>0</v>
      </c>
      <c r="R668" s="343"/>
    </row>
    <row r="669" spans="1:18" ht="15.75" customHeight="1">
      <c r="A669" s="17"/>
      <c r="B669" s="17"/>
      <c r="C669" s="300"/>
      <c r="D669" s="18" t="s">
        <v>468</v>
      </c>
      <c r="E669" s="474"/>
      <c r="F669" s="613"/>
      <c r="G669" s="54">
        <f aca="true" t="shared" si="46" ref="G669:Q669">SUM(G667:G668)</f>
        <v>411</v>
      </c>
      <c r="H669" s="54">
        <f t="shared" si="46"/>
        <v>100</v>
      </c>
      <c r="I669" s="54">
        <f t="shared" si="46"/>
        <v>83980</v>
      </c>
      <c r="J669" s="54">
        <f t="shared" si="46"/>
        <v>0</v>
      </c>
      <c r="K669" s="54">
        <f t="shared" si="46"/>
        <v>-5100</v>
      </c>
      <c r="L669" s="19">
        <f t="shared" si="46"/>
        <v>30226</v>
      </c>
      <c r="M669" s="19">
        <f t="shared" si="46"/>
        <v>-13890</v>
      </c>
      <c r="N669" s="19">
        <f t="shared" si="46"/>
        <v>22590</v>
      </c>
      <c r="O669" s="19">
        <f t="shared" si="46"/>
        <v>0</v>
      </c>
      <c r="P669" s="19">
        <f t="shared" si="46"/>
        <v>0</v>
      </c>
      <c r="Q669" s="18">
        <f t="shared" si="46"/>
        <v>118317</v>
      </c>
      <c r="R669" s="532"/>
    </row>
    <row r="670" spans="1:17" ht="15.75" customHeight="1">
      <c r="A670" s="475"/>
      <c r="B670" s="475"/>
      <c r="C670" s="475"/>
      <c r="D670" s="476"/>
      <c r="E670" s="476"/>
      <c r="F670" s="476"/>
      <c r="G670" s="476"/>
      <c r="H670" s="476"/>
      <c r="I670" s="476"/>
      <c r="J670" s="476"/>
      <c r="K670" s="476"/>
      <c r="L670" s="476"/>
      <c r="M670" s="476"/>
      <c r="N670" s="477"/>
      <c r="O670" s="518"/>
      <c r="P670" s="518"/>
      <c r="Q670" s="519"/>
    </row>
    <row r="671" spans="1:17" ht="1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521"/>
      <c r="P671" s="521"/>
      <c r="Q671" s="521"/>
    </row>
    <row r="672" spans="1:17" ht="1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</sheetData>
  <sheetProtection selectLockedCells="1" selectUnlockedCells="1"/>
  <mergeCells count="10">
    <mergeCell ref="R1:R2"/>
    <mergeCell ref="Q1:Q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 
&amp;R&amp;"Times New Roman CE,Félkövér dőlt"2. tájékoztató tábla
Adatok: ezer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2015-05-13T12:43:10Z</cp:lastPrinted>
  <dcterms:created xsi:type="dcterms:W3CDTF">2002-12-30T13:12:46Z</dcterms:created>
  <dcterms:modified xsi:type="dcterms:W3CDTF">2015-05-13T14:24:40Z</dcterms:modified>
  <cp:category/>
  <cp:version/>
  <cp:contentType/>
  <cp:contentStatus/>
</cp:coreProperties>
</file>