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tabRatio="598" firstSheet="8" activeTab="21"/>
  </bookViews>
  <sheets>
    <sheet name="1_mell" sheetId="1" r:id="rId1"/>
    <sheet name="2_mell" sheetId="2" r:id="rId2"/>
    <sheet name="3_mell" sheetId="3" r:id="rId3"/>
    <sheet name="4_mell" sheetId="4" r:id="rId4"/>
    <sheet name="4-1_mell" sheetId="5" r:id="rId5"/>
    <sheet name="5_mell" sheetId="6" r:id="rId6"/>
    <sheet name="6_mell" sheetId="7" r:id="rId7"/>
    <sheet name="7_mell" sheetId="8" r:id="rId8"/>
    <sheet name="8_mell" sheetId="9" r:id="rId9"/>
    <sheet name="9_mell" sheetId="10" r:id="rId10"/>
    <sheet name="10_mell" sheetId="11" r:id="rId11"/>
    <sheet name="11_mell" sheetId="12" r:id="rId12"/>
    <sheet name="12_mell" sheetId="13" r:id="rId13"/>
    <sheet name="13_mell" sheetId="14" r:id="rId14"/>
    <sheet name="14_mell" sheetId="15" r:id="rId15"/>
    <sheet name="15_mell" sheetId="16" r:id="rId16"/>
    <sheet name="16_mell" sheetId="17" r:id="rId17"/>
    <sheet name="17_mell" sheetId="18" r:id="rId18"/>
    <sheet name="18_mell" sheetId="19" r:id="rId19"/>
    <sheet name="19_mell" sheetId="20" r:id="rId20"/>
    <sheet name="20_mell" sheetId="21" r:id="rId21"/>
    <sheet name="21_mell" sheetId="22" r:id="rId22"/>
    <sheet name="Munka1" sheetId="23" r:id="rId23"/>
    <sheet name="Munka3" sheetId="24" r:id="rId24"/>
    <sheet name="Munka4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0">'1_mell'!$A$1:$F$48</definedName>
    <definedName name="_xlnm.Print_Area" localSheetId="10">'10_mell'!$A$1:$D$38</definedName>
    <definedName name="_xlnm.Print_Area" localSheetId="11">'11_mell'!$A$1:$K$23</definedName>
    <definedName name="_xlnm.Print_Area" localSheetId="12">'12_mell'!$A$1:$W$70</definedName>
    <definedName name="_xlnm.Print_Area" localSheetId="13">'13_mell'!$A$1:$H$74</definedName>
    <definedName name="_xlnm.Print_Area" localSheetId="15">'15_mell'!$A$1:$P$30</definedName>
    <definedName name="_xlnm.Print_Area" localSheetId="16">'16_mell'!$A$1:$O$29</definedName>
    <definedName name="_xlnm.Print_Area" localSheetId="17">'17_mell'!$A$1:$P$33</definedName>
    <definedName name="_xlnm.Print_Area" localSheetId="18">'18_mell'!$A$1:$P$33</definedName>
    <definedName name="_xlnm.Print_Area" localSheetId="19">'19_mell'!$A$1:$P$33</definedName>
    <definedName name="_xlnm.Print_Area" localSheetId="1">'2_mell'!$A$1:$F$34</definedName>
    <definedName name="_xlnm.Print_Area" localSheetId="20">'20_mell'!$A$1:$P$32</definedName>
    <definedName name="_xlnm.Print_Area" localSheetId="21">'21_mell'!$A$1:$N$24</definedName>
    <definedName name="_xlnm.Print_Area" localSheetId="2">'3_mell'!$A$1:$M$33</definedName>
    <definedName name="_xlnm.Print_Area" localSheetId="3">'4_mell'!$A$1:$M$36</definedName>
    <definedName name="_xlnm.Print_Area" localSheetId="5">'5_mell'!$A$1:$D$24</definedName>
    <definedName name="_xlnm.Print_Area" localSheetId="6">'6_mell'!$A$1:$J$31</definedName>
    <definedName name="_xlnm.Print_Area" localSheetId="7">'7_mell'!$A$1:$D$21</definedName>
    <definedName name="_xlnm.Print_Area" localSheetId="8">'8_mell'!$A$1:$D$18</definedName>
    <definedName name="_xlnm.Print_Area" localSheetId="9">'9_mell'!$A$1:$G$25</definedName>
  </definedNames>
  <calcPr fullCalcOnLoad="1"/>
</workbook>
</file>

<file path=xl/sharedStrings.xml><?xml version="1.0" encoding="utf-8"?>
<sst xmlns="http://schemas.openxmlformats.org/spreadsheetml/2006/main" count="1467" uniqueCount="492">
  <si>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</si>
  <si>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</si>
  <si>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</si>
  <si>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</si>
  <si>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</si>
  <si>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</si>
  <si>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</si>
  <si>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</si>
  <si>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</si>
  <si>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</si>
  <si>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</si>
  <si>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</si>
  <si>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</si>
  <si>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</si>
  <si>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</si>
  <si>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</si>
  <si>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</si>
  <si>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</si>
  <si>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</si>
  <si>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</si>
  <si>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</si>
  <si>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</si>
  <si>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</si>
  <si>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</si>
  <si>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</si>
  <si>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</si>
  <si>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</si>
  <si>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</si>
  <si>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</si>
  <si>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</si>
  <si>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</si>
  <si>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</si>
  <si>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</si>
  <si>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</si>
  <si>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</si>
  <si>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</si>
  <si>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</si>
  <si>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</si>
  <si>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</si>
  <si>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</si>
  <si>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</si>
  <si>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</si>
  <si>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</si>
  <si>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</si>
  <si>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</si>
  <si>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</si>
  <si>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</si>
  <si>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</si>
  <si>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</si>
  <si>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</si>
  <si>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</si>
  <si>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</si>
  <si>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</si>
  <si>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</si>
  <si>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</si>
  <si>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</si>
  <si>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</si>
  <si>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</si>
  <si>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</si>
  <si>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</si>
  <si>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</si>
  <si>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</si>
  <si>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</si>
  <si>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</si>
  <si>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</si>
  <si>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</si>
  <si>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</si>
  <si>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</si>
  <si>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</si>
  <si>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</si>
  <si>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</si>
  <si>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</si>
  <si>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</si>
  <si>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</si>
  <si>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</si>
  <si>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</si>
  <si>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</si>
  <si>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</si>
  <si>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</si>
  <si>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</si>
  <si>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</si>
  <si>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</si>
  <si>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</si>
  <si>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</si>
  <si>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</si>
  <si>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</si>
  <si>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</si>
  <si>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</si>
  <si>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</si>
  <si>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</si>
  <si>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</si>
  <si>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</si>
  <si>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</si>
  <si>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</si>
  <si>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</si>
  <si>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</si>
  <si>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</si>
  <si>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</si>
  <si>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</si>
  <si>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</si>
  <si>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</si>
  <si>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</si>
  <si>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</si>
  <si>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</si>
  <si>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</si>
  <si>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</si>
  <si>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</si>
  <si>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</si>
  <si>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</si>
  <si>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</si>
  <si>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</si>
  <si>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</si>
  <si>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</si>
  <si>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</si>
  <si>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</si>
  <si>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</si>
  <si>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</si>
  <si>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</si>
  <si>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</si>
  <si>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</si>
  <si>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</si>
  <si>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</si>
  <si>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</si>
  <si>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</si>
  <si>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</si>
  <si>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</si>
  <si>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</si>
  <si>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</si>
  <si>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</si>
  <si>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</si>
  <si>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</si>
  <si>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</si>
  <si>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</si>
  <si>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</si>
  <si>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</si>
  <si>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</si>
  <si>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</si>
  <si>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</si>
  <si>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</si>
  <si>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</si>
  <si>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</si>
  <si>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</si>
  <si>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</si>
  <si>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</si>
  <si>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</si>
  <si>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</si>
  <si>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</si>
  <si>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</si>
  <si>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</si>
  <si>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</si>
  <si>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</si>
  <si>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</si>
  <si>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</si>
  <si>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</si>
  <si>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</si>
  <si>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</si>
  <si>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</si>
  <si>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</si>
  <si>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Bevételi többlet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</si>
  <si>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</si>
  <si>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</si>
  <si>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</si>
  <si>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</si>
  <si>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</si>
  <si>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</si>
  <si>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</si>
  <si>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</si>
  <si>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</si>
  <si>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</si>
  <si>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</si>
  <si>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</si>
  <si>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</si>
  <si>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</si>
  <si>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</si>
  <si>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</si>
  <si>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</si>
  <si>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</si>
  <si>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</si>
  <si>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</si>
  <si>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</si>
  <si>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</si>
  <si>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</si>
  <si>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</si>
  <si>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</si>
  <si>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</si>
  <si>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</si>
  <si>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</si>
  <si>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</si>
  <si>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</si>
  <si>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</si>
  <si>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</si>
  <si>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</si>
  <si>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</si>
  <si>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</si>
  <si>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</si>
  <si>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</si>
  <si>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</si>
  <si>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</si>
  <si>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</si>
  <si>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</si>
  <si>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</si>
  <si>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</si>
  <si>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</si>
  <si>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</si>
  <si>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</si>
  <si>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</si>
  <si>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</si>
  <si>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</si>
  <si>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</si>
  <si>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</si>
  <si>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</si>
  <si>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</si>
  <si>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</si>
  <si>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</si>
  <si>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</si>
  <si>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</si>
  <si>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</si>
  <si>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</si>
  <si>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</si>
  <si>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</si>
  <si>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</si>
  <si>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</si>
  <si>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</si>
  <si>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</si>
  <si>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</si>
  <si>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</si>
  <si>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</si>
  <si>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</si>
  <si>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</si>
  <si>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</si>
  <si>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</si>
  <si>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</si>
  <si>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</si>
  <si>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</si>
  <si>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</si>
  <si>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</si>
  <si>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</si>
  <si>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</si>
  <si>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</si>
  <si>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</si>
  <si>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</si>
  <si>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</si>
  <si>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</si>
  <si>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</si>
  <si>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</si>
  <si>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</si>
  <si>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</si>
  <si>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</si>
  <si>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</si>
  <si>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</si>
  <si>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</si>
  <si>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</si>
  <si>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</si>
  <si>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</si>
  <si>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</si>
  <si>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</si>
  <si>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</si>
  <si>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</si>
  <si>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</si>
  <si>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</si>
  <si>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</si>
  <si>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</si>
  <si>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</si>
  <si>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</si>
  <si>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</si>
  <si>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</si>
  <si>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</si>
  <si>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</si>
  <si>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</si>
  <si>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</si>
  <si>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</si>
  <si>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</si>
  <si>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</si>
  <si>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</si>
  <si>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</si>
  <si>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</si>
  <si>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</si>
  <si>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</si>
  <si>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</si>
  <si>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</si>
  <si>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</si>
  <si>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</si>
  <si>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</si>
  <si>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</si>
  <si>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</si>
  <si>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</si>
  <si>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</si>
  <si>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</si>
  <si>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</si>
  <si>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</si>
  <si>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</si>
  <si>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</si>
  <si>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</si>
  <si>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</si>
  <si>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</si>
  <si>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</si>
  <si>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</si>
  <si>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</si>
  <si>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</si>
  <si>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</si>
  <si>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</si>
  <si>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</si>
  <si>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</si>
  <si>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</si>
  <si>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</si>
  <si>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</si>
  <si>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</si>
  <si>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</si>
  <si>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</si>
  <si>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</si>
  <si>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</si>
  <si>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</si>
  <si>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</si>
  <si>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</si>
  <si>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</si>
  <si>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</si>
  <si>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</si>
  <si>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</si>
  <si>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</si>
  <si>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</si>
  <si>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</si>
  <si>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</si>
  <si>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</si>
  <si>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</si>
  <si>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</si>
  <si>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</si>
  <si>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</si>
  <si>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</si>
  <si>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</si>
  <si>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</si>
  <si>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</si>
  <si>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</si>
  <si>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</si>
  <si>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</si>
  <si>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</si>
  <si>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</si>
  <si>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</si>
  <si>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</si>
  <si>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mindösszesen</t>
  </si>
  <si>
    <t>2013. évi er.ei.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</si>
  <si>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</si>
  <si>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</si>
  <si>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</si>
  <si>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</si>
  <si>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</si>
  <si>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</si>
  <si>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</si>
  <si>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</si>
  <si>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</si>
  <si>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</si>
  <si>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</si>
  <si>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</si>
  <si>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</si>
  <si>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</si>
  <si>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</si>
  <si>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</si>
  <si>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</si>
  <si>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</si>
  <si>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</si>
  <si>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</si>
  <si>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</si>
  <si>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</si>
  <si>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</si>
  <si>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</si>
  <si>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</si>
  <si>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</si>
  <si>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</si>
  <si>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</si>
  <si>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</si>
  <si>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</si>
  <si>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</si>
  <si>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</si>
  <si>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</si>
  <si>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</si>
  <si>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</si>
  <si>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</si>
  <si>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</si>
  <si>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</si>
  <si>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</si>
  <si>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</si>
  <si>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</si>
  <si>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</si>
  <si>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</si>
  <si>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</si>
  <si>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</si>
  <si>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</si>
  <si>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</si>
  <si>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</si>
  <si>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</si>
  <si>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</si>
  <si>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</si>
  <si>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</si>
  <si>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</si>
  <si>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</si>
  <si>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</si>
  <si>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</si>
  <si>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</si>
  <si>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</si>
  <si>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</si>
  <si>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</si>
  <si>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</si>
  <si>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</si>
  <si>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</si>
  <si>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</si>
  <si>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</si>
  <si>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</si>
  <si>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</si>
  <si>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</si>
  <si>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</si>
  <si>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</si>
  <si>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</si>
  <si>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</si>
  <si>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</si>
  <si>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</si>
  <si>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</si>
  <si>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</si>
  <si>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</si>
  <si>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</si>
  <si>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Felhalmozási c. kötvény törl.első félévi</t>
  </si>
  <si>
    <t>Felhalmozási c. kötvény törl.mádodik félévi 50%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</si>
  <si>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</si>
  <si>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</si>
  <si>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</si>
  <si>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</si>
  <si>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</si>
  <si>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</si>
  <si>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</si>
  <si>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</si>
  <si>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</si>
  <si>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</si>
  <si>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</si>
  <si>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</si>
  <si>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</si>
  <si>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</si>
  <si>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</si>
  <si>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</si>
  <si>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</si>
  <si>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</si>
  <si>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</si>
  <si>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</si>
  <si>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</si>
  <si>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</si>
  <si>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</si>
  <si>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</si>
  <si>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</si>
  <si>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</si>
  <si>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</si>
  <si>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</si>
  <si>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</si>
  <si>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</si>
  <si>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</si>
  <si>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</si>
  <si>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</si>
  <si>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KÖZÖSSÉGI ELLÁTÁS</t>
  </si>
  <si>
    <t>bérkieg.</t>
  </si>
  <si>
    <t>munk dönt</t>
  </si>
  <si>
    <t>Min.bérre kieg.</t>
  </si>
  <si>
    <t>Gar.bérmin.kieg</t>
  </si>
  <si>
    <t>Illetmény összesen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</si>
  <si>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</si>
  <si>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</si>
  <si>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</si>
  <si>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</si>
  <si>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ebbő áfa befizetés az önkormányzat dologi kiadásai között megtervezve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</si>
  <si>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</si>
  <si>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</si>
  <si>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</si>
  <si>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</si>
  <si>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Közművelődési érdekeltségnövelő pályázati alap</t>
  </si>
  <si>
    <t>Múzeumi érdekeltségnövelő pályázati alap</t>
  </si>
  <si>
    <t>Számíthatsz Ránk! Egyesület pályázati önerő</t>
  </si>
  <si>
    <t>Temető ravatalozó tető felújítása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</si>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</sst>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4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Arial CE"/>
      <family val="2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10"/>
      <color indexed="18"/>
      <name val="Arial"/>
      <family val="0"/>
    </font>
    <font>
      <b/>
      <sz val="11"/>
      <color indexed="17"/>
      <name val="Arial CE"/>
      <family val="0"/>
    </font>
    <font>
      <sz val="10"/>
      <color indexed="17"/>
      <name val="Arial"/>
      <family val="0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b/>
      <sz val="9"/>
      <name val="Arial CE"/>
      <family val="2"/>
    </font>
    <font>
      <sz val="9"/>
      <color indexed="10"/>
      <name val="Arial CE"/>
      <family val="2"/>
    </font>
    <font>
      <sz val="8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/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69" fillId="7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7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17" borderId="7" applyNumberFormat="0" applyFont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21" borderId="0" applyNumberFormat="0" applyBorder="0" applyAlignment="0" applyProtection="0"/>
    <xf numFmtId="0" fontId="66" fillId="4" borderId="0" applyNumberFormat="0" applyBorder="0" applyAlignment="0" applyProtection="0"/>
    <xf numFmtId="0" fontId="70" fillId="22" borderId="8" applyNumberFormat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" borderId="0" applyNumberFormat="0" applyBorder="0" applyAlignment="0" applyProtection="0"/>
    <xf numFmtId="0" fontId="68" fillId="23" borderId="0" applyNumberFormat="0" applyBorder="0" applyAlignment="0" applyProtection="0"/>
    <xf numFmtId="0" fontId="71" fillId="22" borderId="1" applyNumberFormat="0" applyAlignment="0" applyProtection="0"/>
    <xf numFmtId="9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" fontId="2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35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7" fillId="0" borderId="2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25" xfId="0" applyFont="1" applyBorder="1" applyAlignment="1">
      <alignment vertical="top" wrapText="1"/>
    </xf>
    <xf numFmtId="0" fontId="38" fillId="0" borderId="25" xfId="0" applyFont="1" applyBorder="1" applyAlignment="1">
      <alignment horizontal="right" vertical="top" wrapText="1"/>
    </xf>
    <xf numFmtId="0" fontId="38" fillId="0" borderId="26" xfId="0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right" vertical="top" wrapText="1"/>
    </xf>
    <xf numFmtId="0" fontId="38" fillId="0" borderId="28" xfId="0" applyFont="1" applyBorder="1" applyAlignment="1">
      <alignment horizontal="right" vertical="top" wrapText="1"/>
    </xf>
    <xf numFmtId="3" fontId="37" fillId="0" borderId="29" xfId="0" applyNumberFormat="1" applyFont="1" applyBorder="1" applyAlignment="1">
      <alignment horizontal="right" vertical="top" wrapText="1"/>
    </xf>
    <xf numFmtId="3" fontId="37" fillId="0" borderId="25" xfId="0" applyNumberFormat="1" applyFont="1" applyBorder="1" applyAlignment="1">
      <alignment horizontal="right" vertical="top" wrapText="1"/>
    </xf>
    <xf numFmtId="0" fontId="38" fillId="0" borderId="30" xfId="0" applyFont="1" applyBorder="1" applyAlignment="1">
      <alignment vertical="top" wrapText="1"/>
    </xf>
    <xf numFmtId="3" fontId="38" fillId="0" borderId="31" xfId="0" applyNumberFormat="1" applyFont="1" applyBorder="1" applyAlignment="1">
      <alignment horizontal="right" vertical="top" wrapText="1"/>
    </xf>
    <xf numFmtId="3" fontId="38" fillId="0" borderId="30" xfId="0" applyNumberFormat="1" applyFont="1" applyBorder="1" applyAlignment="1">
      <alignment horizontal="right" vertical="top" wrapText="1"/>
    </xf>
    <xf numFmtId="3" fontId="38" fillId="0" borderId="32" xfId="0" applyNumberFormat="1" applyFont="1" applyBorder="1" applyAlignment="1">
      <alignment horizontal="right" vertical="top" wrapText="1"/>
    </xf>
    <xf numFmtId="3" fontId="38" fillId="0" borderId="33" xfId="0" applyNumberFormat="1" applyFont="1" applyBorder="1" applyAlignment="1">
      <alignment horizontal="right" vertical="top" wrapText="1"/>
    </xf>
    <xf numFmtId="3" fontId="38" fillId="0" borderId="34" xfId="0" applyNumberFormat="1" applyFont="1" applyBorder="1" applyAlignment="1">
      <alignment horizontal="right" vertical="top" wrapText="1"/>
    </xf>
    <xf numFmtId="3" fontId="37" fillId="0" borderId="30" xfId="0" applyNumberFormat="1" applyFont="1" applyBorder="1" applyAlignment="1">
      <alignment horizontal="right" vertical="top" wrapText="1"/>
    </xf>
    <xf numFmtId="3" fontId="38" fillId="0" borderId="0" xfId="0" applyNumberFormat="1" applyFont="1" applyFill="1" applyBorder="1" applyAlignment="1">
      <alignment horizontal="right" vertical="top" wrapText="1"/>
    </xf>
    <xf numFmtId="0" fontId="38" fillId="0" borderId="35" xfId="0" applyFont="1" applyBorder="1" applyAlignment="1">
      <alignment vertical="top" wrapText="1"/>
    </xf>
    <xf numFmtId="3" fontId="38" fillId="0" borderId="35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4" fontId="38" fillId="0" borderId="35" xfId="0" applyNumberFormat="1" applyFont="1" applyBorder="1" applyAlignment="1">
      <alignment horizontal="right" vertical="top" wrapText="1"/>
    </xf>
    <xf numFmtId="4" fontId="38" fillId="0" borderId="37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3" fontId="38" fillId="0" borderId="39" xfId="0" applyNumberFormat="1" applyFont="1" applyBorder="1" applyAlignment="1">
      <alignment horizontal="right" vertical="top" wrapText="1"/>
    </xf>
    <xf numFmtId="3" fontId="37" fillId="0" borderId="35" xfId="0" applyNumberFormat="1" applyFont="1" applyBorder="1" applyAlignment="1">
      <alignment horizontal="right" vertical="top" wrapText="1"/>
    </xf>
    <xf numFmtId="0" fontId="37" fillId="0" borderId="21" xfId="0" applyFont="1" applyBorder="1" applyAlignment="1">
      <alignment vertical="top" wrapText="1"/>
    </xf>
    <xf numFmtId="3" fontId="37" fillId="0" borderId="21" xfId="0" applyNumberFormat="1" applyFont="1" applyBorder="1" applyAlignment="1">
      <alignment horizontal="right" vertical="top" wrapText="1"/>
    </xf>
    <xf numFmtId="3" fontId="37" fillId="0" borderId="20" xfId="0" applyNumberFormat="1" applyFont="1" applyBorder="1" applyAlignment="1">
      <alignment horizontal="right" vertical="top" wrapText="1"/>
    </xf>
    <xf numFmtId="3" fontId="37" fillId="0" borderId="40" xfId="0" applyNumberFormat="1" applyFont="1" applyBorder="1" applyAlignment="1">
      <alignment horizontal="right" vertical="top" wrapText="1"/>
    </xf>
    <xf numFmtId="3" fontId="37" fillId="0" borderId="41" xfId="0" applyNumberFormat="1" applyFont="1" applyBorder="1" applyAlignment="1">
      <alignment horizontal="right" vertical="top" wrapText="1"/>
    </xf>
    <xf numFmtId="3" fontId="37" fillId="0" borderId="26" xfId="0" applyNumberFormat="1" applyFont="1" applyBorder="1" applyAlignment="1">
      <alignment horizontal="right" vertical="top" wrapText="1"/>
    </xf>
    <xf numFmtId="4" fontId="37" fillId="0" borderId="25" xfId="0" applyNumberFormat="1" applyFont="1" applyBorder="1" applyAlignment="1">
      <alignment horizontal="right" vertical="top" wrapText="1"/>
    </xf>
    <xf numFmtId="4" fontId="37" fillId="0" borderId="27" xfId="0" applyNumberFormat="1" applyFont="1" applyBorder="1" applyAlignment="1">
      <alignment horizontal="right" vertical="top" wrapText="1"/>
    </xf>
    <xf numFmtId="4" fontId="37" fillId="0" borderId="28" xfId="0" applyNumberFormat="1" applyFont="1" applyBorder="1" applyAlignment="1">
      <alignment horizontal="right" vertical="top" wrapText="1"/>
    </xf>
    <xf numFmtId="4" fontId="38" fillId="0" borderId="30" xfId="0" applyNumberFormat="1" applyFont="1" applyBorder="1" applyAlignment="1">
      <alignment horizontal="right" vertical="top" wrapText="1"/>
    </xf>
    <xf numFmtId="4" fontId="38" fillId="0" borderId="32" xfId="0" applyNumberFormat="1" applyFont="1" applyBorder="1" applyAlignment="1">
      <alignment horizontal="right" vertical="top" wrapText="1"/>
    </xf>
    <xf numFmtId="4" fontId="38" fillId="0" borderId="33" xfId="0" applyNumberFormat="1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8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horizontal="right"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8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4" fillId="0" borderId="42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20" xfId="0" applyFont="1" applyBorder="1" applyAlignment="1">
      <alignment/>
    </xf>
    <xf numFmtId="3" fontId="38" fillId="0" borderId="31" xfId="0" applyNumberFormat="1" applyFont="1" applyBorder="1" applyAlignment="1">
      <alignment vertical="top" wrapText="1"/>
    </xf>
    <xf numFmtId="3" fontId="38" fillId="0" borderId="30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4" fontId="24" fillId="0" borderId="12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1" fontId="4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44" fillId="0" borderId="0" xfId="58" applyFont="1" applyFill="1" applyAlignment="1" applyProtection="1">
      <alignment horizontal="center" vertical="center" wrapText="1"/>
      <protection/>
    </xf>
    <xf numFmtId="0" fontId="45" fillId="0" borderId="0" xfId="58" applyFill="1" applyProtection="1">
      <alignment/>
      <protection/>
    </xf>
    <xf numFmtId="0" fontId="45" fillId="0" borderId="0" xfId="58" applyFill="1" applyProtection="1">
      <alignment/>
      <protection locked="0"/>
    </xf>
    <xf numFmtId="0" fontId="46" fillId="0" borderId="0" xfId="57" applyFont="1" applyFill="1" applyAlignment="1">
      <alignment horizontal="right"/>
      <protection/>
    </xf>
    <xf numFmtId="0" fontId="48" fillId="0" borderId="45" xfId="58" applyFont="1" applyFill="1" applyBorder="1" applyAlignment="1" applyProtection="1">
      <alignment horizontal="center" vertical="center" wrapText="1"/>
      <protection/>
    </xf>
    <xf numFmtId="0" fontId="48" fillId="0" borderId="46" xfId="58" applyFont="1" applyFill="1" applyBorder="1" applyAlignment="1" applyProtection="1">
      <alignment horizontal="center" vertical="center"/>
      <protection/>
    </xf>
    <xf numFmtId="0" fontId="48" fillId="0" borderId="47" xfId="58" applyFont="1" applyFill="1" applyBorder="1" applyAlignment="1" applyProtection="1">
      <alignment horizontal="center" vertical="center"/>
      <protection/>
    </xf>
    <xf numFmtId="0" fontId="49" fillId="0" borderId="48" xfId="58" applyFont="1" applyFill="1" applyBorder="1" applyAlignment="1" applyProtection="1">
      <alignment horizontal="left" vertical="center" indent="1"/>
      <protection/>
    </xf>
    <xf numFmtId="0" fontId="50" fillId="0" borderId="49" xfId="58" applyFont="1" applyFill="1" applyBorder="1" applyAlignment="1" applyProtection="1">
      <alignment horizontal="left" vertical="center" indent="1"/>
      <protection/>
    </xf>
    <xf numFmtId="0" fontId="50" fillId="0" borderId="20" xfId="58" applyFont="1" applyFill="1" applyBorder="1" applyAlignment="1" applyProtection="1">
      <alignment horizontal="left" vertical="center" indent="1"/>
      <protection/>
    </xf>
    <xf numFmtId="0" fontId="49" fillId="0" borderId="50" xfId="58" applyFont="1" applyFill="1" applyBorder="1" applyAlignment="1" applyProtection="1">
      <alignment horizontal="left" vertical="center" indent="1"/>
      <protection/>
    </xf>
    <xf numFmtId="0" fontId="49" fillId="0" borderId="51" xfId="58" applyFont="1" applyFill="1" applyBorder="1" applyAlignment="1" applyProtection="1">
      <alignment horizontal="left" vertical="center" indent="1"/>
      <protection/>
    </xf>
    <xf numFmtId="3" fontId="49" fillId="0" borderId="51" xfId="58" applyNumberFormat="1" applyFont="1" applyFill="1" applyBorder="1" applyAlignment="1" applyProtection="1">
      <alignment vertical="center"/>
      <protection locked="0"/>
    </xf>
    <xf numFmtId="3" fontId="49" fillId="0" borderId="52" xfId="58" applyNumberFormat="1" applyFont="1" applyFill="1" applyBorder="1" applyAlignment="1" applyProtection="1">
      <alignment vertical="center"/>
      <protection/>
    </xf>
    <xf numFmtId="0" fontId="49" fillId="0" borderId="53" xfId="58" applyFont="1" applyFill="1" applyBorder="1" applyAlignment="1" applyProtection="1">
      <alignment horizontal="left" vertical="center" indent="1"/>
      <protection/>
    </xf>
    <xf numFmtId="0" fontId="49" fillId="0" borderId="33" xfId="58" applyFont="1" applyFill="1" applyBorder="1" applyAlignment="1" applyProtection="1">
      <alignment horizontal="left" vertical="center" indent="1"/>
      <protection/>
    </xf>
    <xf numFmtId="3" fontId="49" fillId="0" borderId="33" xfId="58" applyNumberFormat="1" applyFont="1" applyFill="1" applyBorder="1" applyAlignment="1" applyProtection="1">
      <alignment vertical="center"/>
      <protection locked="0"/>
    </xf>
    <xf numFmtId="3" fontId="49" fillId="0" borderId="54" xfId="58" applyNumberFormat="1" applyFont="1" applyFill="1" applyBorder="1" applyAlignment="1" applyProtection="1">
      <alignment vertical="center"/>
      <protection/>
    </xf>
    <xf numFmtId="0" fontId="49" fillId="0" borderId="28" xfId="58" applyFont="1" applyFill="1" applyBorder="1" applyAlignment="1" applyProtection="1">
      <alignment horizontal="left" vertical="center" wrapText="1" indent="1"/>
      <protection/>
    </xf>
    <xf numFmtId="3" fontId="49" fillId="0" borderId="28" xfId="58" applyNumberFormat="1" applyFont="1" applyFill="1" applyBorder="1" applyAlignment="1" applyProtection="1">
      <alignment vertical="center"/>
      <protection locked="0"/>
    </xf>
    <xf numFmtId="0" fontId="49" fillId="0" borderId="33" xfId="58" applyFont="1" applyFill="1" applyBorder="1" applyAlignment="1" applyProtection="1">
      <alignment horizontal="left" vertical="center" wrapText="1" indent="1"/>
      <protection/>
    </xf>
    <xf numFmtId="3" fontId="49" fillId="0" borderId="55" xfId="58" applyNumberFormat="1" applyFont="1" applyFill="1" applyBorder="1" applyAlignment="1" applyProtection="1">
      <alignment vertical="center"/>
      <protection/>
    </xf>
    <xf numFmtId="0" fontId="48" fillId="0" borderId="41" xfId="58" applyFont="1" applyFill="1" applyBorder="1" applyAlignment="1" applyProtection="1">
      <alignment horizontal="left" vertical="center" indent="1"/>
      <protection/>
    </xf>
    <xf numFmtId="3" fontId="51" fillId="0" borderId="41" xfId="58" applyNumberFormat="1" applyFont="1" applyFill="1" applyBorder="1" applyAlignment="1" applyProtection="1">
      <alignment vertical="center"/>
      <protection/>
    </xf>
    <xf numFmtId="0" fontId="50" fillId="0" borderId="44" xfId="58" applyFont="1" applyFill="1" applyBorder="1" applyAlignment="1" applyProtection="1">
      <alignment horizontal="left" vertical="center" indent="1"/>
      <protection/>
    </xf>
    <xf numFmtId="0" fontId="49" fillId="0" borderId="56" xfId="58" applyFont="1" applyFill="1" applyBorder="1" applyAlignment="1" applyProtection="1">
      <alignment horizontal="left" vertical="center" indent="1"/>
      <protection/>
    </xf>
    <xf numFmtId="0" fontId="49" fillId="0" borderId="28" xfId="58" applyFont="1" applyFill="1" applyBorder="1" applyAlignment="1" applyProtection="1">
      <alignment horizontal="left" vertical="center" indent="1"/>
      <protection/>
    </xf>
    <xf numFmtId="3" fontId="49" fillId="0" borderId="57" xfId="58" applyNumberFormat="1" applyFont="1" applyFill="1" applyBorder="1" applyAlignment="1" applyProtection="1">
      <alignment vertical="center"/>
      <protection/>
    </xf>
    <xf numFmtId="0" fontId="51" fillId="0" borderId="48" xfId="58" applyFont="1" applyFill="1" applyBorder="1" applyAlignment="1" applyProtection="1">
      <alignment horizontal="left" vertical="center" indent="1"/>
      <protection/>
    </xf>
    <xf numFmtId="3" fontId="51" fillId="0" borderId="58" xfId="58" applyNumberFormat="1" applyFont="1" applyFill="1" applyBorder="1" applyAlignment="1" applyProtection="1">
      <alignment vertical="center"/>
      <protection/>
    </xf>
    <xf numFmtId="0" fontId="48" fillId="0" borderId="41" xfId="58" applyFont="1" applyFill="1" applyBorder="1" applyAlignment="1" applyProtection="1">
      <alignment horizontal="left" indent="1"/>
      <protection/>
    </xf>
    <xf numFmtId="3" fontId="51" fillId="0" borderId="41" xfId="58" applyNumberFormat="1" applyFont="1" applyFill="1" applyBorder="1" applyProtection="1">
      <alignment/>
      <protection/>
    </xf>
    <xf numFmtId="0" fontId="47" fillId="0" borderId="0" xfId="58" applyFont="1" applyFill="1" applyProtection="1">
      <alignment/>
      <protection/>
    </xf>
    <xf numFmtId="0" fontId="24" fillId="0" borderId="0" xfId="58" applyFont="1" applyFill="1" applyProtection="1">
      <alignment/>
      <protection locked="0"/>
    </xf>
    <xf numFmtId="0" fontId="44" fillId="0" borderId="0" xfId="58" applyFont="1" applyFill="1" applyProtection="1">
      <alignment/>
      <protection locked="0"/>
    </xf>
    <xf numFmtId="3" fontId="44" fillId="0" borderId="0" xfId="58" applyNumberFormat="1" applyFont="1" applyFill="1" applyProtection="1">
      <alignment/>
      <protection locked="0"/>
    </xf>
    <xf numFmtId="3" fontId="0" fillId="0" borderId="0" xfId="0" applyNumberFormat="1" applyBorder="1" applyAlignment="1">
      <alignment/>
    </xf>
    <xf numFmtId="3" fontId="13" fillId="0" borderId="0" xfId="0" applyNumberFormat="1" applyFont="1" applyAlignment="1">
      <alignment/>
    </xf>
    <xf numFmtId="0" fontId="44" fillId="0" borderId="0" xfId="58" applyFont="1" applyFill="1" applyBorder="1" applyAlignment="1" applyProtection="1">
      <alignment horizontal="center" wrapText="1"/>
      <protection locked="0"/>
    </xf>
    <xf numFmtId="0" fontId="48" fillId="0" borderId="0" xfId="58" applyFont="1" applyFill="1" applyBorder="1" applyAlignment="1" applyProtection="1">
      <alignment horizontal="center" vertical="center"/>
      <protection/>
    </xf>
    <xf numFmtId="0" fontId="50" fillId="0" borderId="0" xfId="58" applyFont="1" applyFill="1" applyBorder="1" applyAlignment="1" applyProtection="1">
      <alignment horizontal="left" vertical="center" indent="1"/>
      <protection/>
    </xf>
    <xf numFmtId="168" fontId="49" fillId="0" borderId="51" xfId="58" applyNumberFormat="1" applyFont="1" applyFill="1" applyBorder="1" applyAlignment="1" applyProtection="1">
      <alignment vertical="center"/>
      <protection locked="0"/>
    </xf>
    <xf numFmtId="168" fontId="49" fillId="0" borderId="51" xfId="58" applyNumberFormat="1" applyFont="1" applyFill="1" applyBorder="1" applyAlignment="1" applyProtection="1">
      <alignment vertical="center"/>
      <protection/>
    </xf>
    <xf numFmtId="168" fontId="49" fillId="0" borderId="59" xfId="58" applyNumberFormat="1" applyFont="1" applyFill="1" applyBorder="1" applyAlignment="1" applyProtection="1" quotePrefix="1">
      <alignment horizontal="center" vertical="center"/>
      <protection/>
    </xf>
    <xf numFmtId="168" fontId="49" fillId="0" borderId="0" xfId="58" applyNumberFormat="1" applyFont="1" applyFill="1" applyBorder="1" applyAlignment="1" applyProtection="1" quotePrefix="1">
      <alignment horizontal="center" vertical="center"/>
      <protection/>
    </xf>
    <xf numFmtId="168" fontId="49" fillId="0" borderId="33" xfId="58" applyNumberFormat="1" applyFont="1" applyFill="1" applyBorder="1" applyAlignment="1" applyProtection="1">
      <alignment vertical="center"/>
      <protection locked="0"/>
    </xf>
    <xf numFmtId="168" fontId="49" fillId="0" borderId="54" xfId="58" applyNumberFormat="1" applyFont="1" applyFill="1" applyBorder="1" applyAlignment="1" applyProtection="1">
      <alignment vertical="center"/>
      <protection/>
    </xf>
    <xf numFmtId="168" fontId="49" fillId="0" borderId="0" xfId="58" applyNumberFormat="1" applyFont="1" applyFill="1" applyBorder="1" applyAlignment="1" applyProtection="1">
      <alignment vertical="center"/>
      <protection/>
    </xf>
    <xf numFmtId="168" fontId="49" fillId="0" borderId="28" xfId="58" applyNumberFormat="1" applyFont="1" applyFill="1" applyBorder="1" applyAlignment="1" applyProtection="1">
      <alignment vertical="center"/>
      <protection locked="0"/>
    </xf>
    <xf numFmtId="168" fontId="49" fillId="0" borderId="57" xfId="58" applyNumberFormat="1" applyFont="1" applyFill="1" applyBorder="1" applyAlignment="1" applyProtection="1">
      <alignment vertical="center"/>
      <protection/>
    </xf>
    <xf numFmtId="168" fontId="51" fillId="0" borderId="41" xfId="58" applyNumberFormat="1" applyFont="1" applyFill="1" applyBorder="1" applyAlignment="1" applyProtection="1">
      <alignment vertical="center"/>
      <protection/>
    </xf>
    <xf numFmtId="168" fontId="51" fillId="0" borderId="0" xfId="58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/>
    </xf>
    <xf numFmtId="168" fontId="50" fillId="0" borderId="0" xfId="58" applyNumberFormat="1" applyFont="1" applyFill="1" applyBorder="1" applyAlignment="1" applyProtection="1">
      <alignment horizontal="left" vertical="center" indent="1"/>
      <protection/>
    </xf>
    <xf numFmtId="168" fontId="51" fillId="0" borderId="58" xfId="58" applyNumberFormat="1" applyFont="1" applyFill="1" applyBorder="1" applyAlignment="1" applyProtection="1">
      <alignment vertical="center"/>
      <protection/>
    </xf>
    <xf numFmtId="168" fontId="51" fillId="0" borderId="41" xfId="58" applyNumberFormat="1" applyFont="1" applyFill="1" applyBorder="1" applyProtection="1">
      <alignment/>
      <protection/>
    </xf>
    <xf numFmtId="168" fontId="51" fillId="0" borderId="58" xfId="58" applyNumberFormat="1" applyFont="1" applyFill="1" applyBorder="1" applyAlignment="1" applyProtection="1" quotePrefix="1">
      <alignment horizontal="center"/>
      <protection/>
    </xf>
    <xf numFmtId="168" fontId="51" fillId="0" borderId="0" xfId="58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4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19" xfId="0" applyNumberFormat="1" applyFont="1" applyFill="1" applyBorder="1" applyAlignment="1">
      <alignment/>
    </xf>
    <xf numFmtId="0" fontId="41" fillId="0" borderId="19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42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21" xfId="0" applyFont="1" applyFill="1" applyBorder="1" applyAlignment="1">
      <alignment wrapText="1"/>
    </xf>
    <xf numFmtId="0" fontId="40" fillId="0" borderId="20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/>
    </xf>
    <xf numFmtId="0" fontId="41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3" fontId="40" fillId="0" borderId="20" xfId="0" applyNumberFormat="1" applyFont="1" applyFill="1" applyBorder="1" applyAlignment="1">
      <alignment/>
    </xf>
    <xf numFmtId="0" fontId="41" fillId="0" borderId="44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40" fillId="0" borderId="18" xfId="0" applyNumberFormat="1" applyFont="1" applyFill="1" applyBorder="1" applyAlignment="1">
      <alignment/>
    </xf>
    <xf numFmtId="3" fontId="40" fillId="0" borderId="43" xfId="0" applyNumberFormat="1" applyFont="1" applyFill="1" applyBorder="1" applyAlignment="1">
      <alignment/>
    </xf>
    <xf numFmtId="3" fontId="40" fillId="0" borderId="44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41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0" fillId="0" borderId="17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0" fillId="0" borderId="19" xfId="0" applyNumberFormat="1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164" fontId="40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40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1" fillId="0" borderId="6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5" fillId="0" borderId="0" xfId="56" applyFont="1" applyFill="1">
      <alignment/>
      <protection/>
    </xf>
    <xf numFmtId="168" fontId="24" fillId="0" borderId="0" xfId="56" applyNumberFormat="1" applyFont="1" applyFill="1" applyBorder="1" applyAlignment="1" applyProtection="1">
      <alignment horizontal="centerContinuous" vertical="center"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/>
      <protection/>
    </xf>
    <xf numFmtId="0" fontId="44" fillId="0" borderId="61" xfId="56" applyFont="1" applyFill="1" applyBorder="1" applyAlignment="1" applyProtection="1">
      <alignment horizontal="center" vertical="center" wrapText="1"/>
      <protection/>
    </xf>
    <xf numFmtId="0" fontId="44" fillId="0" borderId="62" xfId="56" applyFont="1" applyFill="1" applyBorder="1" applyAlignment="1" applyProtection="1">
      <alignment horizontal="center" vertical="center" wrapText="1"/>
      <protection/>
    </xf>
    <xf numFmtId="0" fontId="44" fillId="0" borderId="52" xfId="56" applyFont="1" applyFill="1" applyBorder="1" applyAlignment="1" applyProtection="1">
      <alignment horizontal="center" vertical="center" wrapText="1"/>
      <protection/>
    </xf>
    <xf numFmtId="0" fontId="45" fillId="0" borderId="48" xfId="56" applyFont="1" applyFill="1" applyBorder="1" applyAlignment="1" applyProtection="1">
      <alignment horizontal="center" vertical="center"/>
      <protection/>
    </xf>
    <xf numFmtId="0" fontId="45" fillId="0" borderId="41" xfId="56" applyFont="1" applyFill="1" applyBorder="1" applyAlignment="1" applyProtection="1">
      <alignment horizontal="center" vertical="center"/>
      <protection/>
    </xf>
    <xf numFmtId="0" fontId="45" fillId="0" borderId="58" xfId="56" applyFont="1" applyFill="1" applyBorder="1" applyAlignment="1" applyProtection="1">
      <alignment horizontal="center" vertical="center"/>
      <protection/>
    </xf>
    <xf numFmtId="0" fontId="45" fillId="0" borderId="62" xfId="56" applyFont="1" applyFill="1" applyBorder="1" applyProtection="1">
      <alignment/>
      <protection/>
    </xf>
    <xf numFmtId="3" fontId="17" fillId="0" borderId="52" xfId="0" applyNumberFormat="1" applyFont="1" applyBorder="1" applyAlignment="1">
      <alignment horizontal="right" vertical="center" wrapText="1"/>
    </xf>
    <xf numFmtId="0" fontId="45" fillId="0" borderId="33" xfId="56" applyFont="1" applyFill="1" applyBorder="1" applyProtection="1">
      <alignment/>
      <protection/>
    </xf>
    <xf numFmtId="3" fontId="17" fillId="0" borderId="54" xfId="0" applyNumberFormat="1" applyFont="1" applyBorder="1" applyAlignment="1">
      <alignment horizontal="right" vertical="center" wrapText="1"/>
    </xf>
    <xf numFmtId="0" fontId="45" fillId="0" borderId="33" xfId="56" applyFont="1" applyFill="1" applyBorder="1" applyAlignment="1" applyProtection="1">
      <alignment wrapText="1"/>
      <protection/>
    </xf>
    <xf numFmtId="0" fontId="45" fillId="0" borderId="38" xfId="56" applyFont="1" applyFill="1" applyBorder="1" applyProtection="1">
      <alignment/>
      <protection/>
    </xf>
    <xf numFmtId="3" fontId="20" fillId="0" borderId="58" xfId="0" applyNumberFormat="1" applyFont="1" applyBorder="1" applyAlignment="1">
      <alignment horizontal="right" vertical="center" wrapText="1"/>
    </xf>
    <xf numFmtId="3" fontId="51" fillId="0" borderId="51" xfId="58" applyNumberFormat="1" applyFont="1" applyFill="1" applyBorder="1" applyAlignment="1" applyProtection="1">
      <alignment vertical="center"/>
      <protection/>
    </xf>
    <xf numFmtId="3" fontId="51" fillId="0" borderId="22" xfId="58" applyNumberFormat="1" applyFont="1" applyFill="1" applyBorder="1" applyAlignment="1" applyProtection="1">
      <alignment vertical="center"/>
      <protection/>
    </xf>
    <xf numFmtId="3" fontId="45" fillId="0" borderId="0" xfId="58" applyNumberFormat="1" applyFill="1" applyProtection="1">
      <alignment/>
      <protection/>
    </xf>
    <xf numFmtId="0" fontId="44" fillId="0" borderId="0" xfId="58" applyFont="1" applyFill="1" applyAlignment="1" applyProtection="1">
      <alignment horizontal="center" wrapText="1"/>
      <protection/>
    </xf>
    <xf numFmtId="0" fontId="44" fillId="0" borderId="0" xfId="58" applyFont="1" applyFill="1" applyAlignment="1" applyProtection="1">
      <alignment horizontal="center"/>
      <protection/>
    </xf>
    <xf numFmtId="0" fontId="44" fillId="0" borderId="43" xfId="56" applyFont="1" applyFill="1" applyBorder="1" applyAlignment="1" applyProtection="1">
      <alignment/>
      <protection/>
    </xf>
    <xf numFmtId="3" fontId="17" fillId="0" borderId="63" xfId="0" applyNumberFormat="1" applyFont="1" applyBorder="1" applyAlignment="1">
      <alignment horizontal="right" vertical="center" wrapText="1"/>
    </xf>
    <xf numFmtId="0" fontId="21" fillId="0" borderId="61" xfId="56" applyFont="1" applyFill="1" applyBorder="1" applyAlignment="1" applyProtection="1">
      <alignment horizontal="right" vertical="center"/>
      <protection/>
    </xf>
    <xf numFmtId="0" fontId="21" fillId="0" borderId="53" xfId="56" applyFont="1" applyFill="1" applyBorder="1" applyAlignment="1" applyProtection="1">
      <alignment horizontal="right" vertical="center"/>
      <protection/>
    </xf>
    <xf numFmtId="0" fontId="21" fillId="0" borderId="64" xfId="56" applyFont="1" applyFill="1" applyBorder="1" applyAlignment="1" applyProtection="1">
      <alignment horizontal="right" vertical="center"/>
      <protection/>
    </xf>
    <xf numFmtId="0" fontId="59" fillId="0" borderId="43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45" fillId="0" borderId="0" xfId="58" applyFont="1" applyFill="1" applyProtection="1">
      <alignment/>
      <protection/>
    </xf>
    <xf numFmtId="0" fontId="45" fillId="0" borderId="0" xfId="58" applyFont="1" applyFill="1" applyProtection="1">
      <alignment/>
      <protection locked="0"/>
    </xf>
    <xf numFmtId="0" fontId="45" fillId="0" borderId="0" xfId="58" applyFont="1" applyFill="1" applyAlignment="1" applyProtection="1">
      <alignment horizontal="right"/>
      <protection/>
    </xf>
    <xf numFmtId="0" fontId="45" fillId="0" borderId="0" xfId="58" applyFont="1" applyFill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3" fontId="24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5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39" fillId="0" borderId="0" xfId="0" applyFont="1" applyAlignment="1">
      <alignment/>
    </xf>
    <xf numFmtId="3" fontId="79" fillId="0" borderId="0" xfId="0" applyNumberFormat="1" applyFont="1" applyAlignment="1">
      <alignment/>
    </xf>
    <xf numFmtId="3" fontId="79" fillId="0" borderId="0" xfId="0" applyFont="1" applyAlignment="1">
      <alignment/>
    </xf>
    <xf numFmtId="176" fontId="0" fillId="0" borderId="0" xfId="0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9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3" fontId="12" fillId="0" borderId="7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80" fillId="0" borderId="0" xfId="0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3" fillId="0" borderId="77" xfId="0" applyFont="1" applyFill="1" applyBorder="1" applyAlignment="1">
      <alignment/>
    </xf>
    <xf numFmtId="3" fontId="3" fillId="0" borderId="74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1" xfId="0" applyNumberFormat="1" applyFont="1" applyFill="1" applyBorder="1" applyAlignment="1">
      <alignment horizontal="center"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8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40" fillId="0" borderId="17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40" fillId="0" borderId="21" xfId="0" applyNumberFormat="1" applyFont="1" applyFill="1" applyBorder="1" applyAlignment="1">
      <alignment/>
    </xf>
    <xf numFmtId="164" fontId="40" fillId="0" borderId="20" xfId="0" applyNumberFormat="1" applyFont="1" applyFill="1" applyBorder="1" applyAlignment="1">
      <alignment horizontal="right"/>
    </xf>
    <xf numFmtId="164" fontId="40" fillId="0" borderId="21" xfId="0" applyNumberFormat="1" applyFont="1" applyFill="1" applyBorder="1" applyAlignment="1">
      <alignment horizontal="right"/>
    </xf>
    <xf numFmtId="164" fontId="40" fillId="0" borderId="43" xfId="0" applyNumberFormat="1" applyFont="1" applyFill="1" applyBorder="1" applyAlignment="1">
      <alignment horizontal="right"/>
    </xf>
    <xf numFmtId="164" fontId="40" fillId="0" borderId="44" xfId="0" applyNumberFormat="1" applyFont="1" applyFill="1" applyBorder="1" applyAlignment="1">
      <alignment horizontal="right"/>
    </xf>
    <xf numFmtId="164" fontId="40" fillId="0" borderId="0" xfId="0" applyNumberFormat="1" applyFont="1" applyFill="1" applyAlignment="1">
      <alignment horizontal="right"/>
    </xf>
    <xf numFmtId="164" fontId="40" fillId="0" borderId="16" xfId="0" applyNumberFormat="1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81" fillId="0" borderId="34" xfId="0" applyFont="1" applyFill="1" applyBorder="1" applyAlignment="1">
      <alignment horizontal="center"/>
    </xf>
    <xf numFmtId="0" fontId="81" fillId="0" borderId="31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14" fontId="81" fillId="0" borderId="0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/>
    </xf>
    <xf numFmtId="0" fontId="30" fillId="0" borderId="81" xfId="0" applyFont="1" applyFill="1" applyBorder="1" applyAlignment="1">
      <alignment/>
    </xf>
    <xf numFmtId="0" fontId="81" fillId="0" borderId="33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1" fontId="13" fillId="0" borderId="33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42" fillId="0" borderId="33" xfId="0" applyNumberFormat="1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1" fontId="13" fillId="0" borderId="34" xfId="0" applyNumberFormat="1" applyFont="1" applyFill="1" applyBorder="1" applyAlignment="1">
      <alignment/>
    </xf>
    <xf numFmtId="1" fontId="81" fillId="0" borderId="0" xfId="0" applyNumberFormat="1" applyFont="1" applyFill="1" applyBorder="1" applyAlignment="1">
      <alignment/>
    </xf>
    <xf numFmtId="14" fontId="81" fillId="0" borderId="33" xfId="0" applyNumberFormat="1" applyFont="1" applyFill="1" applyBorder="1" applyAlignment="1">
      <alignment horizontal="center"/>
    </xf>
    <xf numFmtId="0" fontId="81" fillId="0" borderId="81" xfId="0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1" fontId="30" fillId="0" borderId="33" xfId="0" applyNumberFormat="1" applyFont="1" applyFill="1" applyBorder="1" applyAlignment="1">
      <alignment/>
    </xf>
    <xf numFmtId="0" fontId="81" fillId="0" borderId="33" xfId="0" applyFont="1" applyFill="1" applyBorder="1" applyAlignment="1">
      <alignment/>
    </xf>
    <xf numFmtId="0" fontId="82" fillId="0" borderId="0" xfId="0" applyFont="1" applyFill="1" applyAlignment="1">
      <alignment/>
    </xf>
    <xf numFmtId="1" fontId="8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" fontId="29" fillId="0" borderId="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3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4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0" fontId="38" fillId="0" borderId="16" xfId="0" applyFont="1" applyBorder="1" applyAlignment="1">
      <alignment vertical="top" wrapText="1"/>
    </xf>
    <xf numFmtId="3" fontId="38" fillId="0" borderId="16" xfId="0" applyNumberFormat="1" applyFont="1" applyBorder="1" applyAlignment="1">
      <alignment horizontal="right" vertical="top" wrapText="1"/>
    </xf>
    <xf numFmtId="3" fontId="38" fillId="0" borderId="82" xfId="0" applyNumberFormat="1" applyFont="1" applyBorder="1" applyAlignment="1">
      <alignment horizontal="right" vertical="top" wrapText="1"/>
    </xf>
    <xf numFmtId="3" fontId="38" fillId="0" borderId="51" xfId="0" applyNumberFormat="1" applyFont="1" applyBorder="1" applyAlignment="1">
      <alignment horizontal="right" vertical="top" wrapText="1"/>
    </xf>
    <xf numFmtId="3" fontId="38" fillId="0" borderId="83" xfId="0" applyNumberFormat="1" applyFont="1" applyBorder="1" applyAlignment="1">
      <alignment horizontal="right" vertical="top" wrapText="1"/>
    </xf>
    <xf numFmtId="3" fontId="38" fillId="0" borderId="54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168" fontId="83" fillId="0" borderId="54" xfId="58" applyNumberFormat="1" applyFont="1" applyFill="1" applyBorder="1" applyAlignment="1" applyProtection="1">
      <alignment vertical="center"/>
      <protection/>
    </xf>
    <xf numFmtId="0" fontId="24" fillId="0" borderId="73" xfId="0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5" fillId="0" borderId="75" xfId="0" applyNumberFormat="1" applyFont="1" applyBorder="1" applyAlignment="1">
      <alignment/>
    </xf>
    <xf numFmtId="3" fontId="25" fillId="0" borderId="80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8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8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2" fillId="0" borderId="68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39" fillId="0" borderId="0" xfId="0" applyNumberFormat="1" applyFont="1" applyAlignment="1">
      <alignment/>
    </xf>
    <xf numFmtId="0" fontId="24" fillId="0" borderId="7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0" fontId="26" fillId="0" borderId="7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3" fontId="24" fillId="0" borderId="78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73" xfId="0" applyFont="1" applyBorder="1" applyAlignment="1">
      <alignment/>
    </xf>
    <xf numFmtId="3" fontId="25" fillId="0" borderId="73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3" fontId="25" fillId="0" borderId="87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21" fillId="0" borderId="0" xfId="0" applyFont="1" applyFill="1" applyBorder="1" applyAlignment="1">
      <alignment horizontal="center"/>
    </xf>
    <xf numFmtId="0" fontId="25" fillId="0" borderId="70" xfId="0" applyFont="1" applyBorder="1" applyAlignment="1">
      <alignment/>
    </xf>
    <xf numFmtId="3" fontId="25" fillId="0" borderId="88" xfId="0" applyNumberFormat="1" applyFont="1" applyBorder="1" applyAlignment="1">
      <alignment/>
    </xf>
    <xf numFmtId="0" fontId="25" fillId="0" borderId="66" xfId="0" applyFont="1" applyBorder="1" applyAlignment="1">
      <alignment/>
    </xf>
    <xf numFmtId="3" fontId="25" fillId="0" borderId="67" xfId="0" applyNumberFormat="1" applyFont="1" applyBorder="1" applyAlignment="1">
      <alignment/>
    </xf>
    <xf numFmtId="3" fontId="51" fillId="0" borderId="83" xfId="58" applyNumberFormat="1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8" fillId="0" borderId="90" xfId="0" applyFont="1" applyBorder="1" applyAlignment="1">
      <alignment horizontal="center"/>
    </xf>
    <xf numFmtId="0" fontId="37" fillId="0" borderId="37" xfId="0" applyFont="1" applyBorder="1" applyAlignment="1">
      <alignment horizontal="center" vertical="top" wrapText="1"/>
    </xf>
    <xf numFmtId="0" fontId="37" fillId="0" borderId="91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10" fillId="0" borderId="92" xfId="0" applyFont="1" applyBorder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49" fillId="0" borderId="93" xfId="58" applyNumberFormat="1" applyFont="1" applyFill="1" applyBorder="1" applyAlignment="1" applyProtection="1">
      <alignment vertical="center"/>
      <protection locked="0"/>
    </xf>
    <xf numFmtId="3" fontId="51" fillId="0" borderId="93" xfId="58" applyNumberFormat="1" applyFont="1" applyFill="1" applyBorder="1" applyAlignment="1" applyProtection="1">
      <alignment vertical="center"/>
      <protection/>
    </xf>
    <xf numFmtId="3" fontId="51" fillId="0" borderId="83" xfId="58" applyNumberFormat="1" applyFont="1" applyFill="1" applyBorder="1" applyProtection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4" xfId="0" applyNumberFormat="1" applyFont="1" applyFill="1" applyBorder="1" applyAlignment="1">
      <alignment horizontal="center"/>
    </xf>
    <xf numFmtId="3" fontId="3" fillId="0" borderId="95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 horizontal="center"/>
    </xf>
    <xf numFmtId="3" fontId="3" fillId="0" borderId="96" xfId="0" applyNumberFormat="1" applyFont="1" applyFill="1" applyBorder="1" applyAlignment="1">
      <alignment horizontal="center"/>
    </xf>
    <xf numFmtId="3" fontId="3" fillId="0" borderId="97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 vertical="top" wrapText="1"/>
    </xf>
    <xf numFmtId="0" fontId="37" fillId="0" borderId="98" xfId="0" applyFont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8" fontId="53" fillId="0" borderId="0" xfId="56" applyNumberFormat="1" applyFont="1" applyFill="1" applyBorder="1" applyAlignment="1" applyProtection="1">
      <alignment horizontal="center" vertical="center" wrapText="1"/>
      <protection/>
    </xf>
    <xf numFmtId="0" fontId="49" fillId="0" borderId="15" xfId="56" applyFont="1" applyFill="1" applyBorder="1" applyAlignment="1">
      <alignment horizontal="justify" vertical="center" wrapText="1"/>
      <protection/>
    </xf>
    <xf numFmtId="0" fontId="44" fillId="0" borderId="0" xfId="58" applyFont="1" applyFill="1" applyBorder="1" applyAlignment="1" applyProtection="1">
      <alignment horizontal="center" wrapText="1"/>
      <protection locked="0"/>
    </xf>
    <xf numFmtId="0" fontId="44" fillId="0" borderId="17" xfId="58" applyFont="1" applyFill="1" applyBorder="1" applyAlignment="1" applyProtection="1">
      <alignment horizontal="center" wrapText="1"/>
      <protection locked="0"/>
    </xf>
    <xf numFmtId="0" fontId="50" fillId="0" borderId="49" xfId="58" applyFont="1" applyFill="1" applyBorder="1" applyAlignment="1" applyProtection="1">
      <alignment horizontal="left" vertical="center" indent="1"/>
      <protection/>
    </xf>
    <xf numFmtId="0" fontId="50" fillId="0" borderId="20" xfId="58" applyFont="1" applyFill="1" applyBorder="1" applyAlignment="1" applyProtection="1">
      <alignment horizontal="left" vertical="center" indent="1"/>
      <protection/>
    </xf>
    <xf numFmtId="0" fontId="50" fillId="0" borderId="42" xfId="58" applyFont="1" applyFill="1" applyBorder="1" applyAlignment="1" applyProtection="1">
      <alignment horizontal="left" vertical="center" indent="1"/>
      <protection/>
    </xf>
    <xf numFmtId="0" fontId="50" fillId="0" borderId="44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4" fillId="0" borderId="0" xfId="58" applyFont="1" applyFill="1" applyAlignment="1" applyProtection="1">
      <alignment horizontal="center" vertical="center" wrapText="1"/>
      <protection/>
    </xf>
    <xf numFmtId="0" fontId="44" fillId="0" borderId="0" xfId="58" applyFont="1" applyFill="1" applyAlignment="1" applyProtection="1">
      <alignment horizontal="center" vertical="center"/>
      <protection/>
    </xf>
    <xf numFmtId="0" fontId="44" fillId="0" borderId="0" xfId="58" applyFont="1" applyFill="1" applyAlignment="1" applyProtection="1">
      <alignment horizontal="center" wrapText="1"/>
      <protection/>
    </xf>
    <xf numFmtId="0" fontId="44" fillId="0" borderId="0" xfId="58" applyFont="1" applyFill="1" applyAlignment="1" applyProtection="1">
      <alignment horizontal="center"/>
      <protection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int&#233;zm&#233;nyi%20sz&#246;veges%20k&#246;lts&#233;gvet&#233;sek%202014&#233;v\PH%20sz&#246;veges%20k&#246;lt.2014%20el&#337;terjesz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PH 2014"/>
      <sheetName val="PH 2013"/>
      <sheetName val="bér 2014"/>
      <sheetName val="közhasznúak"/>
      <sheetName val="Munka2"/>
    </sheetNames>
    <sheetDataSet>
      <sheetData sheetId="8">
        <row r="12">
          <cell r="H12">
            <v>1620</v>
          </cell>
        </row>
        <row r="17">
          <cell r="H17">
            <v>393.66</v>
          </cell>
        </row>
        <row r="49">
          <cell r="H49">
            <v>1412000</v>
          </cell>
        </row>
        <row r="55">
          <cell r="H55">
            <v>381240</v>
          </cell>
        </row>
        <row r="66">
          <cell r="H66">
            <v>2104960</v>
          </cell>
        </row>
        <row r="78">
          <cell r="H78">
            <v>507.492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view="pageBreakPreview" zoomScale="60" zoomScalePageLayoutView="0" workbookViewId="0" topLeftCell="A6">
      <selection activeCell="C58" sqref="C58"/>
    </sheetView>
  </sheetViews>
  <sheetFormatPr defaultColWidth="9.140625" defaultRowHeight="15" customHeight="1"/>
  <cols>
    <col min="1" max="1" width="5.00390625" style="45" customWidth="1"/>
    <col min="2" max="2" width="3.28125" style="45" customWidth="1"/>
    <col min="3" max="3" width="50.28125" style="92" customWidth="1"/>
    <col min="4" max="4" width="10.421875" style="510" hidden="1" customWidth="1"/>
    <col min="5" max="5" width="14.8515625" style="91" bestFit="1" customWidth="1"/>
    <col min="6" max="6" width="14.8515625" style="91" customWidth="1"/>
    <col min="7" max="9" width="15.00390625" style="91" customWidth="1"/>
    <col min="10" max="10" width="10.28125" style="100" bestFit="1" customWidth="1"/>
    <col min="11" max="11" width="16.57421875" style="91" bestFit="1" customWidth="1"/>
    <col min="12" max="12" width="13.140625" style="91" bestFit="1" customWidth="1"/>
    <col min="13" max="13" width="16.57421875" style="91" bestFit="1" customWidth="1"/>
    <col min="14" max="16" width="17.8515625" style="91" bestFit="1" customWidth="1"/>
    <col min="17" max="22" width="19.140625" style="91" customWidth="1"/>
    <col min="23" max="23" width="14.421875" style="91" bestFit="1" customWidth="1"/>
    <col min="24" max="24" width="22.28125" style="88" customWidth="1"/>
    <col min="25" max="25" width="19.00390625" style="88" customWidth="1"/>
    <col min="26" max="27" width="10.57421875" style="88" customWidth="1"/>
    <col min="28" max="35" width="14.421875" style="88" customWidth="1"/>
    <col min="36" max="36" width="14.421875" style="45" customWidth="1"/>
    <col min="37" max="37" width="14.57421875" style="45" customWidth="1"/>
    <col min="38" max="39" width="14.421875" style="45" customWidth="1"/>
    <col min="40" max="40" width="9.140625" style="45" customWidth="1"/>
    <col min="41" max="41" width="14.140625" style="45" customWidth="1"/>
    <col min="42" max="16384" width="9.140625" style="45" customWidth="1"/>
  </cols>
  <sheetData>
    <row r="1" spans="1:34" ht="15" customHeight="1">
      <c r="A1" s="5" t="s">
        <v>263</v>
      </c>
      <c r="C1" s="24"/>
      <c r="D1" s="509" t="s">
        <v>420</v>
      </c>
      <c r="E1" s="3" t="s">
        <v>376</v>
      </c>
      <c r="F1" s="3" t="s">
        <v>376</v>
      </c>
      <c r="G1" s="3"/>
      <c r="H1" s="3"/>
      <c r="I1" s="3"/>
      <c r="J1" s="8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15" customHeight="1">
      <c r="A2" s="89" t="s">
        <v>173</v>
      </c>
      <c r="C2" s="90"/>
      <c r="D2" s="509" t="s">
        <v>64</v>
      </c>
      <c r="E2" s="3" t="s">
        <v>64</v>
      </c>
      <c r="F2" s="3" t="s">
        <v>480</v>
      </c>
      <c r="G2" s="3"/>
      <c r="H2" s="3"/>
      <c r="I2" s="3"/>
      <c r="J2" s="8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89"/>
      <c r="C3" s="90"/>
      <c r="D3" s="509"/>
      <c r="E3" s="3"/>
      <c r="F3" s="3"/>
      <c r="G3" s="3"/>
      <c r="H3" s="3"/>
      <c r="I3" s="3"/>
      <c r="J3" s="8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88" customFormat="1" ht="15" customHeight="1">
      <c r="A4" s="2" t="s">
        <v>11</v>
      </c>
      <c r="B4" s="2" t="s">
        <v>12</v>
      </c>
      <c r="C4" s="19" t="s">
        <v>13</v>
      </c>
      <c r="D4" s="3" t="s">
        <v>14</v>
      </c>
      <c r="E4" s="469" t="s">
        <v>14</v>
      </c>
      <c r="F4" s="469" t="s">
        <v>15</v>
      </c>
      <c r="G4" s="3"/>
      <c r="H4" s="3"/>
      <c r="I4" s="3"/>
      <c r="J4" s="8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5:28" ht="15.75">
      <c r="E5" s="3"/>
      <c r="F5" s="3"/>
      <c r="G5" s="3"/>
      <c r="H5" s="3"/>
      <c r="I5" s="3"/>
      <c r="J5" s="87"/>
      <c r="K5" s="3"/>
      <c r="L5" s="3"/>
      <c r="M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</row>
    <row r="6" spans="2:40" s="5" customFormat="1" ht="15" customHeight="1">
      <c r="B6" s="5" t="s">
        <v>94</v>
      </c>
      <c r="C6" s="24"/>
      <c r="D6" s="36">
        <f>SUM(D7:D17)-D7-D11</f>
        <v>307125</v>
      </c>
      <c r="E6" s="7">
        <f>SUM(E7:E17)-E7-E11</f>
        <v>296199</v>
      </c>
      <c r="F6" s="7">
        <f>SUM(F7:F17)-F7-F11</f>
        <v>296199</v>
      </c>
      <c r="G6" s="7"/>
      <c r="H6" s="7"/>
      <c r="I6" s="7"/>
      <c r="J6" s="45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K6" s="45"/>
      <c r="AM6" s="45"/>
      <c r="AN6" s="45"/>
    </row>
    <row r="7" spans="3:35" ht="15" customHeight="1">
      <c r="C7" s="92" t="s">
        <v>95</v>
      </c>
      <c r="D7" s="508">
        <f>SUM(D8:D10)</f>
        <v>114297</v>
      </c>
      <c r="E7" s="91">
        <f>SUM(E8:E10)</f>
        <v>99471</v>
      </c>
      <c r="F7" s="91">
        <f>SUM(F8:F10)</f>
        <v>99471</v>
      </c>
      <c r="N7" s="3"/>
      <c r="AI7" s="2"/>
    </row>
    <row r="8" spans="3:35" ht="15" customHeight="1">
      <c r="C8" s="94" t="s">
        <v>96</v>
      </c>
      <c r="D8" s="511">
        <f>+3_mell!D30-2100-500</f>
        <v>111697</v>
      </c>
      <c r="E8" s="91">
        <f>+3_mell!D32-2100-500</f>
        <v>96871</v>
      </c>
      <c r="F8" s="91">
        <f>+3_mell!D33-2100-500</f>
        <v>96871</v>
      </c>
      <c r="N8" s="3"/>
      <c r="AI8" s="2"/>
    </row>
    <row r="9" spans="3:35" ht="15" customHeight="1">
      <c r="C9" s="94" t="s">
        <v>97</v>
      </c>
      <c r="D9" s="511">
        <v>2100</v>
      </c>
      <c r="E9" s="91">
        <v>2100</v>
      </c>
      <c r="F9" s="91">
        <f>+E9</f>
        <v>2100</v>
      </c>
      <c r="N9" s="3"/>
      <c r="AI9" s="2"/>
    </row>
    <row r="10" spans="3:35" ht="15" customHeight="1">
      <c r="C10" s="94" t="s">
        <v>98</v>
      </c>
      <c r="D10" s="511">
        <v>500</v>
      </c>
      <c r="E10" s="91">
        <v>500</v>
      </c>
      <c r="F10" s="91">
        <f>+E10</f>
        <v>500</v>
      </c>
      <c r="N10" s="3"/>
      <c r="AI10" s="2"/>
    </row>
    <row r="11" spans="3:35" ht="15" customHeight="1">
      <c r="C11" s="92" t="s">
        <v>99</v>
      </c>
      <c r="D11" s="508">
        <f>SUM(D12:D12)</f>
        <v>15214</v>
      </c>
      <c r="E11" s="91">
        <f>SUM(E12:E12)</f>
        <v>15214</v>
      </c>
      <c r="F11" s="91">
        <f>SUM(F12:F12)</f>
        <v>15214</v>
      </c>
      <c r="AI11" s="2"/>
    </row>
    <row r="12" spans="3:35" ht="15" customHeight="1">
      <c r="C12" s="94" t="s">
        <v>100</v>
      </c>
      <c r="D12" s="512">
        <v>15214</v>
      </c>
      <c r="E12" s="91">
        <v>15214</v>
      </c>
      <c r="F12" s="91">
        <f aca="true" t="shared" si="0" ref="F12:F17">+E12</f>
        <v>15214</v>
      </c>
      <c r="N12" s="95"/>
      <c r="O12" s="3"/>
      <c r="Y12" s="91"/>
      <c r="Z12" s="91"/>
      <c r="AI12" s="2"/>
    </row>
    <row r="13" spans="3:35" ht="15" customHeight="1">
      <c r="C13" s="92" t="s">
        <v>101</v>
      </c>
      <c r="D13" s="510">
        <v>125000</v>
      </c>
      <c r="E13" s="91">
        <v>125000</v>
      </c>
      <c r="F13" s="91">
        <f t="shared" si="0"/>
        <v>125000</v>
      </c>
      <c r="Y13" s="91"/>
      <c r="Z13" s="91"/>
      <c r="AI13" s="2"/>
    </row>
    <row r="14" spans="3:35" ht="15" customHeight="1">
      <c r="C14" s="92" t="s">
        <v>102</v>
      </c>
      <c r="D14" s="510">
        <v>3</v>
      </c>
      <c r="E14" s="91">
        <v>3</v>
      </c>
      <c r="F14" s="91">
        <f t="shared" si="0"/>
        <v>3</v>
      </c>
      <c r="N14" s="95"/>
      <c r="O14" s="3"/>
      <c r="AI14" s="2"/>
    </row>
    <row r="15" spans="3:35" ht="15" customHeight="1">
      <c r="C15" s="92" t="s">
        <v>103</v>
      </c>
      <c r="D15" s="510">
        <v>2561</v>
      </c>
      <c r="E15" s="91">
        <v>2561</v>
      </c>
      <c r="F15" s="91">
        <f t="shared" si="0"/>
        <v>2561</v>
      </c>
      <c r="AI15" s="2"/>
    </row>
    <row r="16" spans="3:35" ht="15" customHeight="1">
      <c r="C16" s="92" t="s">
        <v>104</v>
      </c>
      <c r="D16" s="510">
        <v>2500</v>
      </c>
      <c r="E16" s="91">
        <v>2500</v>
      </c>
      <c r="F16" s="91">
        <f t="shared" si="0"/>
        <v>2500</v>
      </c>
      <c r="AC16" s="45"/>
      <c r="AD16" s="45"/>
      <c r="AE16" s="45"/>
      <c r="AI16" s="2"/>
    </row>
    <row r="17" spans="3:35" ht="15" customHeight="1">
      <c r="C17" s="92" t="s">
        <v>421</v>
      </c>
      <c r="D17" s="510">
        <v>47550</v>
      </c>
      <c r="E17" s="91">
        <f>7000+35000+9450</f>
        <v>51450</v>
      </c>
      <c r="F17" s="91">
        <f t="shared" si="0"/>
        <v>51450</v>
      </c>
      <c r="AC17" s="45"/>
      <c r="AD17" s="45"/>
      <c r="AE17" s="45"/>
      <c r="AI17" s="2"/>
    </row>
    <row r="18" spans="29:35" ht="15" customHeight="1">
      <c r="AC18" s="45"/>
      <c r="AD18" s="45"/>
      <c r="AE18" s="45"/>
      <c r="AI18" s="2"/>
    </row>
    <row r="19" spans="2:38" s="5" customFormat="1" ht="15" customHeight="1">
      <c r="B19" s="5" t="s">
        <v>105</v>
      </c>
      <c r="C19" s="24"/>
      <c r="D19" s="36">
        <f>+D20+D21</f>
        <v>9964</v>
      </c>
      <c r="E19" s="7">
        <f>+E20+E21</f>
        <v>9964</v>
      </c>
      <c r="F19" s="7">
        <f>+F20+F21</f>
        <v>9964</v>
      </c>
      <c r="G19" s="7"/>
      <c r="H19" s="7"/>
      <c r="I19" s="7"/>
      <c r="J19" s="45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AJ19" s="45"/>
      <c r="AK19" s="45"/>
      <c r="AL19" s="45"/>
    </row>
    <row r="20" spans="3:35" ht="15" customHeight="1">
      <c r="C20" s="92" t="s">
        <v>106</v>
      </c>
      <c r="D20" s="510">
        <v>9814</v>
      </c>
      <c r="E20" s="48">
        <v>9814</v>
      </c>
      <c r="F20" s="48">
        <f>+E20</f>
        <v>9814</v>
      </c>
      <c r="G20" s="45"/>
      <c r="H20" s="45"/>
      <c r="I20" s="45"/>
      <c r="X20" s="91"/>
      <c r="Y20" s="91"/>
      <c r="AB20" s="91"/>
      <c r="AC20" s="91"/>
      <c r="AI20" s="5"/>
    </row>
    <row r="21" spans="3:35" ht="15" customHeight="1">
      <c r="C21" s="92" t="s">
        <v>107</v>
      </c>
      <c r="D21" s="510">
        <v>150</v>
      </c>
      <c r="E21" s="91">
        <v>150</v>
      </c>
      <c r="F21" s="91">
        <f>+E21</f>
        <v>150</v>
      </c>
      <c r="X21" s="91"/>
      <c r="Y21" s="91"/>
      <c r="AB21" s="91"/>
      <c r="AC21" s="91"/>
      <c r="AI21" s="5"/>
    </row>
    <row r="22" ht="15.75">
      <c r="AI22" s="5"/>
    </row>
    <row r="23" spans="2:38" s="5" customFormat="1" ht="15" customHeight="1">
      <c r="B23" s="5" t="s">
        <v>108</v>
      </c>
      <c r="C23" s="24"/>
      <c r="D23" s="36">
        <f>SUM(D24:D24)</f>
        <v>251962</v>
      </c>
      <c r="E23" s="7">
        <f>SUM(E24:E24)</f>
        <v>241074</v>
      </c>
      <c r="F23" s="7">
        <f>SUM(F24:F24)</f>
        <v>241074</v>
      </c>
      <c r="G23" s="7"/>
      <c r="H23" s="7"/>
      <c r="I23" s="7"/>
      <c r="J23" s="45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AC23" s="7"/>
      <c r="AK23" s="45"/>
      <c r="AL23" s="45"/>
    </row>
    <row r="24" spans="3:35" ht="15" customHeight="1">
      <c r="C24" s="92" t="s">
        <v>10</v>
      </c>
      <c r="D24" s="510">
        <v>251962</v>
      </c>
      <c r="E24" s="550">
        <f>240773+301</f>
        <v>241074</v>
      </c>
      <c r="F24" s="550">
        <f>+E24</f>
        <v>241074</v>
      </c>
      <c r="X24" s="91"/>
      <c r="Y24" s="91"/>
      <c r="Z24" s="91"/>
      <c r="AB24" s="91"/>
      <c r="AC24" s="91"/>
      <c r="AI24" s="2"/>
    </row>
    <row r="25" spans="24:35" ht="15.75">
      <c r="X25" s="91"/>
      <c r="Y25" s="91"/>
      <c r="Z25" s="91"/>
      <c r="AB25" s="91"/>
      <c r="AC25" s="91"/>
      <c r="AI25" s="2"/>
    </row>
    <row r="26" spans="2:29" ht="14.25" customHeight="1">
      <c r="B26" s="5" t="s">
        <v>109</v>
      </c>
      <c r="C26" s="24"/>
      <c r="D26" s="7">
        <f>+D28</f>
        <v>198097</v>
      </c>
      <c r="E26" s="7">
        <f>+E28</f>
        <v>150344</v>
      </c>
      <c r="F26" s="7">
        <f>+F28+F37</f>
        <v>176556</v>
      </c>
      <c r="G26" s="7"/>
      <c r="H26" s="7"/>
      <c r="I26" s="7"/>
      <c r="J26" s="45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8"/>
      <c r="Y26" s="5"/>
      <c r="Z26" s="5"/>
      <c r="AA26" s="5"/>
      <c r="AB26" s="5"/>
      <c r="AC26" s="5"/>
    </row>
    <row r="27" spans="2:29" ht="15.75">
      <c r="B27" s="5"/>
      <c r="C27" s="24"/>
      <c r="D27" s="509"/>
      <c r="E27" s="7"/>
      <c r="F27" s="7"/>
      <c r="G27" s="7"/>
      <c r="H27" s="7"/>
      <c r="I27" s="7"/>
      <c r="J27" s="45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8"/>
      <c r="Y27" s="5"/>
      <c r="Z27" s="5"/>
      <c r="AA27" s="5"/>
      <c r="AB27" s="5"/>
      <c r="AC27" s="5"/>
    </row>
    <row r="28" spans="2:29" ht="15" customHeight="1">
      <c r="B28" s="5"/>
      <c r="C28" s="99" t="s">
        <v>110</v>
      </c>
      <c r="D28" s="97">
        <f>SUM(D29:D34)</f>
        <v>198097</v>
      </c>
      <c r="E28" s="97">
        <f>SUM(E29:E35)</f>
        <v>150344</v>
      </c>
      <c r="F28" s="97">
        <f>SUM(F29:F35)</f>
        <v>150344</v>
      </c>
      <c r="G28" s="97"/>
      <c r="H28" s="97"/>
      <c r="I28" s="97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8"/>
    </row>
    <row r="29" spans="3:28" ht="15" customHeight="1">
      <c r="C29" s="92" t="s">
        <v>111</v>
      </c>
      <c r="D29" s="510">
        <v>34000</v>
      </c>
      <c r="E29" s="91">
        <f>+3_mell!F12</f>
        <v>32500</v>
      </c>
      <c r="F29" s="91">
        <f>+E29</f>
        <v>32500</v>
      </c>
      <c r="AB29" s="91"/>
    </row>
    <row r="30" spans="3:27" ht="15" customHeight="1">
      <c r="C30" s="92" t="s">
        <v>112</v>
      </c>
      <c r="D30" s="510">
        <v>146826</v>
      </c>
      <c r="E30" s="91">
        <v>94553</v>
      </c>
      <c r="F30" s="91">
        <f aca="true" t="shared" si="1" ref="F30:F35">+E30</f>
        <v>94553</v>
      </c>
      <c r="Q30" s="93"/>
      <c r="X30" s="91"/>
      <c r="Y30" s="91"/>
      <c r="Z30" s="91"/>
      <c r="AA30" s="91"/>
    </row>
    <row r="31" spans="3:6" ht="15" customHeight="1">
      <c r="C31" s="92" t="s">
        <v>113</v>
      </c>
      <c r="D31" s="510">
        <v>600</v>
      </c>
      <c r="E31" s="91">
        <v>600</v>
      </c>
      <c r="F31" s="91">
        <f t="shared" si="1"/>
        <v>600</v>
      </c>
    </row>
    <row r="32" spans="3:6" ht="15" customHeight="1">
      <c r="C32" s="92" t="s">
        <v>114</v>
      </c>
      <c r="D32" s="510">
        <v>3000</v>
      </c>
      <c r="E32" s="91">
        <v>4500</v>
      </c>
      <c r="F32" s="91">
        <f t="shared" si="1"/>
        <v>4500</v>
      </c>
    </row>
    <row r="33" spans="3:6" ht="15" customHeight="1">
      <c r="C33" s="92" t="s">
        <v>115</v>
      </c>
      <c r="D33" s="510">
        <v>8000</v>
      </c>
      <c r="E33" s="91">
        <v>8000</v>
      </c>
      <c r="F33" s="91">
        <f t="shared" si="1"/>
        <v>8000</v>
      </c>
    </row>
    <row r="34" spans="3:6" ht="15" customHeight="1">
      <c r="C34" s="92" t="s">
        <v>227</v>
      </c>
      <c r="D34" s="510">
        <v>5671</v>
      </c>
      <c r="E34" s="91">
        <f>6900-655</f>
        <v>6245</v>
      </c>
      <c r="F34" s="91">
        <f t="shared" si="1"/>
        <v>6245</v>
      </c>
    </row>
    <row r="35" spans="3:6" ht="15" customHeight="1">
      <c r="C35" s="92" t="s">
        <v>443</v>
      </c>
      <c r="E35" s="91">
        <f>3592+655-301</f>
        <v>3946</v>
      </c>
      <c r="F35" s="91">
        <f t="shared" si="1"/>
        <v>3946</v>
      </c>
    </row>
    <row r="36" spans="3:6" ht="15" customHeight="1">
      <c r="C36" s="45"/>
      <c r="F36" s="45"/>
    </row>
    <row r="37" spans="3:6" ht="15" customHeight="1">
      <c r="C37" s="702" t="s">
        <v>485</v>
      </c>
      <c r="F37" s="469">
        <f>+F38</f>
        <v>26212</v>
      </c>
    </row>
    <row r="38" spans="3:6" ht="15" customHeight="1">
      <c r="C38" s="92" t="s">
        <v>484</v>
      </c>
      <c r="F38" s="91">
        <v>26212</v>
      </c>
    </row>
    <row r="40" spans="2:36" ht="15" customHeight="1">
      <c r="B40" s="6" t="s">
        <v>131</v>
      </c>
      <c r="C40" s="5" t="s">
        <v>489</v>
      </c>
      <c r="D40" s="3">
        <f>SUM(D41:D41)</f>
        <v>150</v>
      </c>
      <c r="E40" s="3">
        <f>SUM(E41:E41)</f>
        <v>150</v>
      </c>
      <c r="F40" s="3">
        <f>SUM(F41:F41)</f>
        <v>150</v>
      </c>
      <c r="G40" s="3"/>
      <c r="H40" s="3"/>
      <c r="I40" s="3"/>
      <c r="J40" s="8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5"/>
    </row>
    <row r="41" spans="2:36" ht="15" customHeight="1">
      <c r="B41" s="5"/>
      <c r="C41" s="92" t="s">
        <v>116</v>
      </c>
      <c r="D41" s="510">
        <v>150</v>
      </c>
      <c r="E41" s="91">
        <v>150</v>
      </c>
      <c r="F41" s="91">
        <f>+E41</f>
        <v>150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5"/>
    </row>
    <row r="42" spans="2:36" ht="15" customHeight="1">
      <c r="B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5"/>
    </row>
    <row r="43" spans="2:36" ht="15" customHeight="1">
      <c r="B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5"/>
    </row>
    <row r="44" spans="1:36" ht="15" customHeight="1">
      <c r="A44" s="5"/>
      <c r="B44" s="5" t="s">
        <v>117</v>
      </c>
      <c r="D44" s="469">
        <f>+D40+D26+D23+D19+D6</f>
        <v>767298</v>
      </c>
      <c r="E44" s="469">
        <f>+E40+E26+E23+E19+E6</f>
        <v>697731</v>
      </c>
      <c r="F44" s="469">
        <f>+F40+F26+F23+F19+F6</f>
        <v>723943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5"/>
    </row>
    <row r="45" spans="2:36" ht="15" customHeight="1">
      <c r="B45" s="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5"/>
    </row>
    <row r="46" spans="3:35" s="5" customFormat="1" ht="15.75">
      <c r="C46" s="24"/>
      <c r="D46" s="509"/>
      <c r="E46" s="48"/>
      <c r="F46" s="48"/>
      <c r="G46" s="48"/>
      <c r="H46" s="48"/>
      <c r="I46" s="48"/>
      <c r="J46" s="456"/>
      <c r="K46" s="7"/>
      <c r="L46" s="7"/>
      <c r="M46" s="7"/>
      <c r="N46" s="7"/>
      <c r="O46" s="7"/>
      <c r="P46" s="7"/>
      <c r="Q46" s="48"/>
      <c r="R46" s="48"/>
      <c r="S46" s="48"/>
      <c r="T46" s="48"/>
      <c r="U46" s="48"/>
      <c r="V46" s="48"/>
      <c r="W46" s="48"/>
      <c r="X46" s="45"/>
      <c r="Y46" s="45"/>
      <c r="Z46" s="45"/>
      <c r="AA46" s="45"/>
      <c r="AB46" s="48"/>
      <c r="AD46" s="45"/>
      <c r="AE46" s="45"/>
      <c r="AG46" s="88"/>
      <c r="AH46" s="88"/>
      <c r="AI46" s="88"/>
    </row>
    <row r="47" spans="1:35" s="5" customFormat="1" ht="15" customHeight="1">
      <c r="A47" s="6"/>
      <c r="B47" s="6" t="s">
        <v>118</v>
      </c>
      <c r="C47" s="25"/>
      <c r="D47" s="454">
        <f>+D44</f>
        <v>767298</v>
      </c>
      <c r="E47" s="454">
        <f>+E44</f>
        <v>697731</v>
      </c>
      <c r="F47" s="454">
        <f>+F44</f>
        <v>723943</v>
      </c>
      <c r="G47" s="48"/>
      <c r="H47" s="48"/>
      <c r="I47" s="48"/>
      <c r="J47" s="456"/>
      <c r="K47" s="7"/>
      <c r="L47" s="7"/>
      <c r="M47" s="7"/>
      <c r="N47" s="7"/>
      <c r="O47" s="7"/>
      <c r="P47" s="7"/>
      <c r="Q47" s="48"/>
      <c r="R47" s="48"/>
      <c r="S47" s="48"/>
      <c r="T47" s="48"/>
      <c r="U47" s="48"/>
      <c r="V47" s="48"/>
      <c r="W47" s="48"/>
      <c r="X47" s="45"/>
      <c r="Y47" s="45"/>
      <c r="Z47" s="45"/>
      <c r="AA47" s="45"/>
      <c r="AB47" s="48"/>
      <c r="AD47" s="45"/>
      <c r="AE47" s="45"/>
      <c r="AG47" s="88"/>
      <c r="AH47" s="88"/>
      <c r="AI47" s="88"/>
    </row>
    <row r="48" spans="2:6" ht="15" customHeight="1">
      <c r="B48" s="45" t="s">
        <v>119</v>
      </c>
      <c r="D48" s="510">
        <f>+2_mell!D33</f>
        <v>0</v>
      </c>
      <c r="E48" s="91">
        <f>+2_mell!E33</f>
        <v>697731</v>
      </c>
      <c r="F48" s="91">
        <f>+2_mell!F33</f>
        <v>723943</v>
      </c>
    </row>
    <row r="49" spans="2:35" s="5" customFormat="1" ht="15" customHeight="1">
      <c r="B49" s="45"/>
      <c r="C49" s="92"/>
      <c r="D49" s="510"/>
      <c r="E49" s="48"/>
      <c r="F49" s="48"/>
      <c r="G49" s="48"/>
      <c r="H49" s="48"/>
      <c r="I49" s="48"/>
      <c r="J49" s="45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5"/>
      <c r="Y49" s="45"/>
      <c r="Z49" s="45"/>
      <c r="AA49" s="45"/>
      <c r="AB49" s="45"/>
      <c r="AC49" s="45"/>
      <c r="AD49" s="45"/>
      <c r="AE49" s="45"/>
      <c r="AF49" s="88"/>
      <c r="AG49" s="88"/>
      <c r="AH49" s="88"/>
      <c r="AI49" s="88"/>
    </row>
    <row r="50" spans="1:35" ht="15" customHeight="1">
      <c r="A50" s="5"/>
      <c r="D50" s="91">
        <f>+D47-D48</f>
        <v>767298</v>
      </c>
      <c r="E50" s="91">
        <f>+E47-E48</f>
        <v>0</v>
      </c>
      <c r="F50" s="91">
        <f>+F47-F48</f>
        <v>0</v>
      </c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2" spans="1:35" ht="15" customHeight="1">
      <c r="A52" s="5"/>
      <c r="B52" s="5"/>
      <c r="W52" s="48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5:34" ht="15" customHeight="1">
      <c r="E53" s="101"/>
      <c r="F53" s="101"/>
      <c r="G53" s="101"/>
      <c r="H53" s="101"/>
      <c r="I53" s="101"/>
      <c r="J53" s="458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  <c r="Y53" s="102"/>
      <c r="Z53" s="102"/>
      <c r="AA53" s="102"/>
      <c r="AB53" s="45"/>
      <c r="AC53" s="45"/>
      <c r="AD53" s="45"/>
      <c r="AE53" s="45"/>
      <c r="AF53" s="102"/>
      <c r="AG53" s="102"/>
      <c r="AH53" s="102"/>
    </row>
    <row r="54" spans="5:34" ht="15" customHeight="1">
      <c r="E54" s="48"/>
      <c r="F54" s="48"/>
      <c r="G54" s="48"/>
      <c r="H54" s="48"/>
      <c r="I54" s="48"/>
      <c r="J54" s="45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5"/>
      <c r="Y54" s="45"/>
      <c r="Z54" s="45"/>
      <c r="AA54" s="45"/>
      <c r="AB54" s="45"/>
      <c r="AC54" s="45"/>
      <c r="AD54" s="45"/>
      <c r="AE54" s="45"/>
      <c r="AF54" s="102"/>
      <c r="AG54" s="102"/>
      <c r="AH54" s="102"/>
    </row>
    <row r="55" spans="5:31" ht="15" customHeight="1">
      <c r="E55" s="101"/>
      <c r="F55" s="101"/>
      <c r="G55" s="101"/>
      <c r="H55" s="101"/>
      <c r="I55" s="101"/>
      <c r="J55" s="458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2"/>
      <c r="Y55" s="102"/>
      <c r="Z55" s="102"/>
      <c r="AA55" s="102"/>
      <c r="AB55" s="102"/>
      <c r="AC55" s="102"/>
      <c r="AD55" s="102"/>
      <c r="AE55" s="102"/>
    </row>
    <row r="56" ht="15" customHeight="1">
      <c r="B56" s="102"/>
    </row>
    <row r="57" spans="2:35" ht="15" customHeight="1">
      <c r="B57" s="102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24:35" ht="15" customHeight="1">
      <c r="X58" s="100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ht="15" customHeight="1">
      <c r="AK59" s="5"/>
    </row>
    <row r="60" spans="24:35" ht="15" customHeight="1">
      <c r="X60" s="100"/>
      <c r="Y60" s="100"/>
      <c r="Z60" s="100"/>
      <c r="AA60" s="100"/>
      <c r="AB60" s="100"/>
      <c r="AC60" s="100"/>
      <c r="AD60" s="100"/>
      <c r="AE60" s="100"/>
      <c r="AF60" s="103"/>
      <c r="AG60" s="103"/>
      <c r="AH60" s="103"/>
      <c r="AI60" s="103"/>
    </row>
    <row r="63" spans="24:34" ht="15" customHeight="1"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</row>
    <row r="77" ht="15" customHeight="1">
      <c r="C77" s="104" t="s">
        <v>120</v>
      </c>
    </row>
    <row r="78" ht="15" customHeight="1">
      <c r="C78" s="104"/>
    </row>
    <row r="82" ht="15" customHeight="1">
      <c r="C82" s="105"/>
    </row>
    <row r="83" ht="15" customHeight="1">
      <c r="C83" s="105"/>
    </row>
    <row r="84" ht="15" customHeight="1">
      <c r="C84" s="105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2/2014.(I.24.) Önkormányzati költségvetési rendelethez ( 2 )&amp;R&amp;D</oddHeader>
    <oddFooter>&amp;L( 2 ) a 3/2014.(II.11.) önkormányzati rendelettel módosított szöveg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753" t="s">
        <v>379</v>
      </c>
      <c r="B1" s="753"/>
      <c r="C1" s="753"/>
      <c r="D1" s="753"/>
      <c r="E1" s="753"/>
      <c r="F1" s="753"/>
      <c r="G1" s="753"/>
    </row>
    <row r="2" spans="1:7" ht="15.75">
      <c r="A2" s="86" t="s">
        <v>11</v>
      </c>
      <c r="B2" s="449" t="s">
        <v>359</v>
      </c>
      <c r="C2" s="449" t="s">
        <v>13</v>
      </c>
      <c r="D2" s="449" t="s">
        <v>14</v>
      </c>
      <c r="E2" s="449" t="s">
        <v>378</v>
      </c>
      <c r="F2" s="705" t="s">
        <v>16</v>
      </c>
      <c r="G2" s="705" t="s">
        <v>17</v>
      </c>
    </row>
    <row r="3" spans="1:7" ht="16.5" thickBot="1">
      <c r="A3" t="s">
        <v>20</v>
      </c>
      <c r="B3" s="118" t="s">
        <v>150</v>
      </c>
      <c r="C3" s="118"/>
      <c r="D3" s="118"/>
      <c r="E3" s="118" t="s">
        <v>151</v>
      </c>
      <c r="F3" s="119"/>
      <c r="G3" s="119"/>
    </row>
    <row r="4" spans="1:7" ht="15.75">
      <c r="A4" t="s">
        <v>21</v>
      </c>
      <c r="B4" s="120" t="s">
        <v>152</v>
      </c>
      <c r="C4" s="121" t="s">
        <v>376</v>
      </c>
      <c r="D4" s="121" t="s">
        <v>376</v>
      </c>
      <c r="E4" s="122" t="s">
        <v>152</v>
      </c>
      <c r="F4" s="85" t="s">
        <v>376</v>
      </c>
      <c r="G4" s="123" t="s">
        <v>376</v>
      </c>
    </row>
    <row r="5" spans="1:7" ht="15.75">
      <c r="A5" t="s">
        <v>22</v>
      </c>
      <c r="B5" s="121"/>
      <c r="C5" s="121" t="s">
        <v>64</v>
      </c>
      <c r="D5" s="121" t="s">
        <v>480</v>
      </c>
      <c r="E5" s="122"/>
      <c r="F5" s="123" t="s">
        <v>64</v>
      </c>
      <c r="G5" s="123" t="s">
        <v>480</v>
      </c>
    </row>
    <row r="6" spans="2:5" ht="15.75">
      <c r="B6" s="124"/>
      <c r="C6" s="124"/>
      <c r="D6" s="124"/>
      <c r="E6" s="125"/>
    </row>
    <row r="7" spans="1:9" ht="15.75">
      <c r="A7" t="s">
        <v>23</v>
      </c>
      <c r="B7" s="124" t="str">
        <f>+'[1]felh bev'!A35</f>
        <v>Felhalmozási bevételek összesen</v>
      </c>
      <c r="C7" s="126">
        <f>+8_mell!C18</f>
        <v>51600</v>
      </c>
      <c r="D7" s="129">
        <f>+8_mell!D18</f>
        <v>77812</v>
      </c>
      <c r="E7" s="125" t="s">
        <v>153</v>
      </c>
      <c r="F7" s="107">
        <f>+7_mell!C13</f>
        <v>22241</v>
      </c>
      <c r="G7" s="108">
        <f>+7_mell!D13</f>
        <v>47553</v>
      </c>
      <c r="I7" s="107"/>
    </row>
    <row r="8" spans="1:9" ht="15.75">
      <c r="A8" t="s">
        <v>24</v>
      </c>
      <c r="B8" s="124"/>
      <c r="C8" s="126"/>
      <c r="D8" s="126"/>
      <c r="E8" s="125" t="s">
        <v>154</v>
      </c>
      <c r="F8">
        <f>+2_mell!E23</f>
        <v>13637</v>
      </c>
      <c r="G8" s="86">
        <f>+7_mell!D19</f>
        <v>13637</v>
      </c>
      <c r="I8" s="107"/>
    </row>
    <row r="9" spans="2:7" ht="15.75">
      <c r="B9" s="124"/>
      <c r="C9" s="126"/>
      <c r="D9" s="126"/>
      <c r="E9" s="125"/>
      <c r="G9" s="86"/>
    </row>
    <row r="10" spans="1:7" ht="15.75">
      <c r="A10" t="s">
        <v>25</v>
      </c>
      <c r="B10" s="124"/>
      <c r="C10" s="126"/>
      <c r="D10" s="126"/>
      <c r="E10" s="125" t="s">
        <v>66</v>
      </c>
      <c r="F10" s="107">
        <f>+5_mell!C21</f>
        <v>3000</v>
      </c>
      <c r="G10" s="108">
        <f>+5_mell!D19</f>
        <v>3000</v>
      </c>
    </row>
    <row r="11" spans="2:7" ht="15.75">
      <c r="B11" s="124"/>
      <c r="C11" s="126"/>
      <c r="D11" s="126"/>
      <c r="E11" s="125"/>
      <c r="G11" s="86"/>
    </row>
    <row r="12" spans="2:7" ht="15.75">
      <c r="B12" s="124"/>
      <c r="C12" s="126"/>
      <c r="D12" s="126"/>
      <c r="E12" s="125"/>
      <c r="G12" s="86"/>
    </row>
    <row r="13" spans="1:7" ht="15.75">
      <c r="A13" t="s">
        <v>26</v>
      </c>
      <c r="B13" s="124"/>
      <c r="C13" s="126"/>
      <c r="D13" s="126"/>
      <c r="E13" s="127" t="s">
        <v>336</v>
      </c>
      <c r="F13" s="107">
        <v>1200</v>
      </c>
      <c r="G13" s="108">
        <f>+F13</f>
        <v>1200</v>
      </c>
    </row>
    <row r="14" spans="1:7" ht="15.75">
      <c r="A14" t="s">
        <v>27</v>
      </c>
      <c r="B14" s="124"/>
      <c r="C14" s="126"/>
      <c r="D14" s="126"/>
      <c r="E14" s="125" t="s">
        <v>155</v>
      </c>
      <c r="F14" s="107">
        <v>1867</v>
      </c>
      <c r="G14" s="108">
        <f>+F14</f>
        <v>1867</v>
      </c>
    </row>
    <row r="15" spans="1:7" ht="15.75">
      <c r="A15" t="s">
        <v>28</v>
      </c>
      <c r="B15" s="124"/>
      <c r="C15" s="126"/>
      <c r="D15" s="126"/>
      <c r="E15" s="127" t="s">
        <v>450</v>
      </c>
      <c r="F15">
        <v>9450</v>
      </c>
      <c r="G15" s="108">
        <f>+F15</f>
        <v>9450</v>
      </c>
    </row>
    <row r="16" spans="2:6" ht="15.75">
      <c r="B16" s="124"/>
      <c r="C16" s="126"/>
      <c r="D16" s="126"/>
      <c r="E16" s="125"/>
      <c r="F16" s="107"/>
    </row>
    <row r="17" spans="2:5" ht="15.75">
      <c r="B17" s="124"/>
      <c r="C17" s="126"/>
      <c r="D17" s="126"/>
      <c r="E17" s="125"/>
    </row>
    <row r="18" spans="2:6" ht="15.75">
      <c r="B18" s="124"/>
      <c r="C18" s="126"/>
      <c r="D18" s="126"/>
      <c r="E18" s="125"/>
      <c r="F18" s="107"/>
    </row>
    <row r="19" spans="2:5" ht="15.75">
      <c r="B19" s="124"/>
      <c r="C19" s="126"/>
      <c r="D19" s="126"/>
      <c r="E19" s="128"/>
    </row>
    <row r="20" spans="2:5" ht="15.75">
      <c r="B20" s="124"/>
      <c r="C20" s="126"/>
      <c r="D20" s="126"/>
      <c r="E20" s="128"/>
    </row>
    <row r="21" spans="2:5" ht="15.75">
      <c r="B21" s="124"/>
      <c r="C21" s="126"/>
      <c r="D21" s="126"/>
      <c r="E21" s="128"/>
    </row>
    <row r="22" spans="2:5" ht="15.75">
      <c r="B22" s="124"/>
      <c r="C22" s="126"/>
      <c r="D22" s="126"/>
      <c r="E22" s="128"/>
    </row>
    <row r="23" spans="1:7" ht="15.75">
      <c r="A23" t="s">
        <v>29</v>
      </c>
      <c r="B23" s="120" t="s">
        <v>149</v>
      </c>
      <c r="C23" s="129">
        <f>SUM(C7:C22)</f>
        <v>51600</v>
      </c>
      <c r="D23" s="129">
        <f>SUM(D7:D22)</f>
        <v>77812</v>
      </c>
      <c r="E23" s="130" t="s">
        <v>156</v>
      </c>
      <c r="F23" s="131">
        <f>SUM(F7:F22)</f>
        <v>51395</v>
      </c>
      <c r="G23" s="131">
        <f>SUM(G7:G22)</f>
        <v>76707</v>
      </c>
    </row>
    <row r="24" spans="1:5" ht="15.75">
      <c r="A24" t="s">
        <v>30</v>
      </c>
      <c r="B24" s="132" t="s">
        <v>157</v>
      </c>
      <c r="C24" s="133">
        <f>+C23-F23</f>
        <v>205</v>
      </c>
      <c r="D24" s="133">
        <f>+D23-G23</f>
        <v>1105</v>
      </c>
      <c r="E24" s="130"/>
    </row>
    <row r="26" spans="1:4" ht="12.75">
      <c r="A26" t="s">
        <v>30</v>
      </c>
      <c r="B26" t="s">
        <v>158</v>
      </c>
      <c r="C26" s="134">
        <f>+C24</f>
        <v>205</v>
      </c>
      <c r="D26" s="13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2/2014.(I.24.) Önkormányzati költségvetési rendelethez ( 8 )&amp;R&amp;D</oddHeader>
    <oddFooter>&amp;L( 8 ) a 3/2014.(II.11.) önkormányzati rendelettel módosított szöveg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workbookViewId="0" topLeftCell="A1">
      <selection activeCell="G60" sqref="G60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107" bestFit="1" customWidth="1"/>
    <col min="5" max="5" width="15.8515625" style="107" customWidth="1"/>
    <col min="6" max="7" width="15.8515625" style="0" customWidth="1"/>
    <col min="8" max="8" width="15.8515625" style="0" bestFit="1" customWidth="1"/>
  </cols>
  <sheetData>
    <row r="1" spans="4:8" ht="12.75" customHeight="1">
      <c r="D1" s="642" t="s">
        <v>375</v>
      </c>
      <c r="E1"/>
      <c r="F1" s="107"/>
      <c r="G1" s="107"/>
      <c r="H1" s="107"/>
    </row>
    <row r="2" spans="1:8" ht="12.75" customHeight="1">
      <c r="A2" t="s">
        <v>464</v>
      </c>
      <c r="B2" t="s">
        <v>57</v>
      </c>
      <c r="D2" s="108"/>
      <c r="F2" s="480"/>
      <c r="G2" s="480"/>
      <c r="H2" s="480"/>
    </row>
    <row r="3" spans="1:4" ht="12.75">
      <c r="A3" t="s">
        <v>147</v>
      </c>
      <c r="B3" s="106" t="s">
        <v>422</v>
      </c>
      <c r="C3" t="s">
        <v>382</v>
      </c>
      <c r="D3" s="108">
        <f>+D7+D8+D18+D20+D24+D25+D37+D38</f>
        <v>241073596</v>
      </c>
    </row>
    <row r="4" ht="12.75" customHeight="1">
      <c r="A4" t="s">
        <v>383</v>
      </c>
    </row>
    <row r="5" ht="12.75" customHeight="1">
      <c r="A5" t="s">
        <v>384</v>
      </c>
    </row>
    <row r="6" spans="1:7" ht="12.75" customHeight="1">
      <c r="A6" t="s">
        <v>385</v>
      </c>
      <c r="B6" t="s">
        <v>123</v>
      </c>
      <c r="C6" s="481">
        <v>20.41</v>
      </c>
      <c r="D6" s="513">
        <v>93477800</v>
      </c>
      <c r="E6" s="513"/>
      <c r="F6" s="481"/>
      <c r="G6" s="481"/>
    </row>
    <row r="7" spans="1:7" ht="12.75" customHeight="1">
      <c r="A7" t="s">
        <v>386</v>
      </c>
      <c r="B7" t="s">
        <v>123</v>
      </c>
      <c r="C7" s="482">
        <v>0</v>
      </c>
      <c r="D7" s="514">
        <v>93477800</v>
      </c>
      <c r="E7" s="514"/>
      <c r="F7" s="483"/>
      <c r="G7" s="483"/>
    </row>
    <row r="8" spans="1:8" ht="12.75" customHeight="1">
      <c r="A8" t="s">
        <v>387</v>
      </c>
      <c r="B8" t="s">
        <v>123</v>
      </c>
      <c r="C8" s="482">
        <v>0</v>
      </c>
      <c r="D8" s="514">
        <v>55853688</v>
      </c>
      <c r="E8" s="514"/>
      <c r="F8" s="483"/>
      <c r="G8" s="483"/>
      <c r="H8" s="484"/>
    </row>
    <row r="9" spans="1:7" ht="12.75" customHeight="1">
      <c r="A9" t="s">
        <v>388</v>
      </c>
      <c r="B9" t="s">
        <v>123</v>
      </c>
      <c r="C9" s="482">
        <v>0</v>
      </c>
      <c r="D9" s="513">
        <v>55853688</v>
      </c>
      <c r="E9" s="513"/>
      <c r="F9" s="482"/>
      <c r="G9" s="482"/>
    </row>
    <row r="10" spans="1:7" ht="12.75" customHeight="1">
      <c r="A10" t="s">
        <v>389</v>
      </c>
      <c r="B10" t="s">
        <v>123</v>
      </c>
      <c r="C10" s="482">
        <v>0</v>
      </c>
      <c r="D10" s="513">
        <v>18963920</v>
      </c>
      <c r="E10" s="513"/>
      <c r="F10" s="482"/>
      <c r="G10" s="482"/>
    </row>
    <row r="11" spans="1:7" ht="12.75" customHeight="1">
      <c r="A11" t="s">
        <v>390</v>
      </c>
      <c r="B11" t="s">
        <v>123</v>
      </c>
      <c r="C11" s="482">
        <v>0</v>
      </c>
      <c r="D11" s="515">
        <v>18963920</v>
      </c>
      <c r="E11" s="515"/>
      <c r="F11" s="485"/>
      <c r="G11" s="485"/>
    </row>
    <row r="12" spans="1:7" ht="12.75" customHeight="1">
      <c r="A12" t="s">
        <v>124</v>
      </c>
      <c r="B12" t="s">
        <v>123</v>
      </c>
      <c r="C12" s="482">
        <v>0</v>
      </c>
      <c r="D12" s="513">
        <v>20985120</v>
      </c>
      <c r="E12" s="513"/>
      <c r="F12" s="482"/>
      <c r="G12" s="482"/>
    </row>
    <row r="13" spans="1:7" ht="12.75" customHeight="1">
      <c r="A13" t="s">
        <v>391</v>
      </c>
      <c r="B13" t="s">
        <v>123</v>
      </c>
      <c r="C13" s="482">
        <v>0</v>
      </c>
      <c r="D13" s="515">
        <v>20985120</v>
      </c>
      <c r="E13" s="515"/>
      <c r="F13" s="485"/>
      <c r="G13" s="485"/>
    </row>
    <row r="14" spans="1:7" ht="12.75" customHeight="1">
      <c r="A14" t="s">
        <v>125</v>
      </c>
      <c r="B14" t="s">
        <v>123</v>
      </c>
      <c r="C14" s="482">
        <v>0</v>
      </c>
      <c r="D14" s="513">
        <v>100000</v>
      </c>
      <c r="E14" s="513"/>
      <c r="F14" s="482"/>
      <c r="G14" s="482"/>
    </row>
    <row r="15" spans="1:7" ht="12.75" customHeight="1">
      <c r="A15" t="s">
        <v>392</v>
      </c>
      <c r="B15" t="s">
        <v>123</v>
      </c>
      <c r="C15" s="482">
        <v>0</v>
      </c>
      <c r="D15" s="515">
        <v>100000</v>
      </c>
      <c r="E15" s="515"/>
      <c r="F15" s="485"/>
      <c r="G15" s="485"/>
    </row>
    <row r="16" spans="1:7" ht="12.75" customHeight="1">
      <c r="A16" t="s">
        <v>126</v>
      </c>
      <c r="B16" t="s">
        <v>123</v>
      </c>
      <c r="C16" s="482">
        <v>0</v>
      </c>
      <c r="D16" s="513">
        <v>15804648</v>
      </c>
      <c r="E16" s="513"/>
      <c r="F16" s="482"/>
      <c r="G16" s="482"/>
    </row>
    <row r="17" spans="1:7" ht="12.75" customHeight="1">
      <c r="A17" t="s">
        <v>393</v>
      </c>
      <c r="B17" t="s">
        <v>123</v>
      </c>
      <c r="C17" s="482">
        <v>0</v>
      </c>
      <c r="D17" s="515">
        <v>15804648</v>
      </c>
      <c r="E17" s="515"/>
      <c r="F17" s="485"/>
      <c r="G17" s="485"/>
    </row>
    <row r="18" spans="1:7" ht="12.75" customHeight="1">
      <c r="A18" t="s">
        <v>394</v>
      </c>
      <c r="B18" t="s">
        <v>123</v>
      </c>
      <c r="C18" s="482">
        <v>0</v>
      </c>
      <c r="D18" s="514">
        <v>16229700</v>
      </c>
      <c r="E18" s="514"/>
      <c r="F18" s="483"/>
      <c r="G18" s="483"/>
    </row>
    <row r="19" spans="1:7" ht="12.75" customHeight="1">
      <c r="A19" t="s">
        <v>395</v>
      </c>
      <c r="B19" t="s">
        <v>123</v>
      </c>
      <c r="C19" s="482">
        <v>0</v>
      </c>
      <c r="D19" s="513">
        <v>16229700</v>
      </c>
      <c r="E19" s="513"/>
      <c r="F19" s="482"/>
      <c r="G19" s="482"/>
    </row>
    <row r="20" spans="1:7" ht="12.75" customHeight="1">
      <c r="A20" t="s">
        <v>396</v>
      </c>
      <c r="B20" t="s">
        <v>397</v>
      </c>
      <c r="C20" s="482">
        <v>131</v>
      </c>
      <c r="D20" s="514">
        <v>13100</v>
      </c>
      <c r="E20" s="514"/>
      <c r="F20" s="483"/>
      <c r="G20" s="483"/>
    </row>
    <row r="21" spans="1:7" ht="12.75" customHeight="1">
      <c r="A21" t="s">
        <v>398</v>
      </c>
      <c r="B21" t="s">
        <v>123</v>
      </c>
      <c r="C21" s="482">
        <v>0</v>
      </c>
      <c r="D21" s="513">
        <v>20651160</v>
      </c>
      <c r="E21" s="513"/>
      <c r="F21" s="482"/>
      <c r="G21" s="482"/>
    </row>
    <row r="22" ht="12.75" customHeight="1">
      <c r="A22" t="s">
        <v>399</v>
      </c>
    </row>
    <row r="23" spans="1:7" ht="12.75" customHeight="1">
      <c r="A23" t="s">
        <v>400</v>
      </c>
      <c r="B23" t="s">
        <v>123</v>
      </c>
      <c r="C23" s="482">
        <v>0</v>
      </c>
      <c r="D23" s="513">
        <v>57411388</v>
      </c>
      <c r="E23" s="513"/>
      <c r="F23" s="482"/>
      <c r="G23" s="482"/>
    </row>
    <row r="24" spans="1:7" ht="12.75" customHeight="1">
      <c r="A24" t="s">
        <v>401</v>
      </c>
      <c r="B24" t="s">
        <v>123</v>
      </c>
      <c r="C24" s="482">
        <v>0</v>
      </c>
      <c r="D24" s="514">
        <v>36760228</v>
      </c>
      <c r="E24" s="514"/>
      <c r="F24" s="483"/>
      <c r="G24" s="483"/>
    </row>
    <row r="25" spans="1:4" ht="12.75" customHeight="1">
      <c r="A25" t="s">
        <v>402</v>
      </c>
      <c r="D25" s="680">
        <f>+D27+D29+D31+D32+D34+D36</f>
        <v>31607690</v>
      </c>
    </row>
    <row r="26" ht="12.75" customHeight="1">
      <c r="A26" t="s">
        <v>403</v>
      </c>
    </row>
    <row r="27" spans="1:8" ht="12.75" customHeight="1">
      <c r="A27" t="s">
        <v>404</v>
      </c>
      <c r="B27" t="s">
        <v>123</v>
      </c>
      <c r="C27" s="486">
        <v>1.2022</v>
      </c>
      <c r="D27" s="513">
        <v>2374345</v>
      </c>
      <c r="E27" s="513"/>
      <c r="F27" s="486"/>
      <c r="G27" s="486"/>
      <c r="H27" s="480"/>
    </row>
    <row r="28" ht="12.75" customHeight="1">
      <c r="A28" t="s">
        <v>405</v>
      </c>
    </row>
    <row r="29" spans="1:7" ht="12.75" customHeight="1">
      <c r="A29" t="s">
        <v>406</v>
      </c>
      <c r="B29" t="s">
        <v>123</v>
      </c>
      <c r="C29" s="486">
        <v>1.2022</v>
      </c>
      <c r="D29" s="513">
        <v>2374345</v>
      </c>
      <c r="E29" s="513"/>
      <c r="F29" s="486"/>
      <c r="G29" s="486"/>
    </row>
    <row r="30" spans="1:7" ht="12.75" customHeight="1">
      <c r="A30" t="s">
        <v>407</v>
      </c>
      <c r="B30" t="s">
        <v>408</v>
      </c>
      <c r="C30" s="482">
        <v>0</v>
      </c>
      <c r="D30" s="513">
        <v>0</v>
      </c>
      <c r="E30" s="513"/>
      <c r="F30" s="482"/>
      <c r="G30" s="482"/>
    </row>
    <row r="31" spans="1:7" ht="12.75" customHeight="1">
      <c r="A31" t="s">
        <v>409</v>
      </c>
      <c r="B31" t="s">
        <v>123</v>
      </c>
      <c r="C31" s="482">
        <v>75</v>
      </c>
      <c r="D31" s="513">
        <v>4152000</v>
      </c>
      <c r="E31" s="513"/>
      <c r="F31" s="482"/>
      <c r="G31" s="482"/>
    </row>
    <row r="32" spans="1:7" ht="12.75" customHeight="1">
      <c r="A32" t="s">
        <v>410</v>
      </c>
      <c r="B32" t="s">
        <v>123</v>
      </c>
      <c r="C32" s="482">
        <v>39</v>
      </c>
      <c r="D32" s="513">
        <v>5655000</v>
      </c>
      <c r="E32" s="513"/>
      <c r="F32" s="482"/>
      <c r="G32" s="482"/>
    </row>
    <row r="33" ht="12.75" customHeight="1">
      <c r="A33" t="s">
        <v>411</v>
      </c>
    </row>
    <row r="34" spans="1:7" ht="12.75" customHeight="1">
      <c r="A34" t="s">
        <v>412</v>
      </c>
      <c r="B34" t="s">
        <v>123</v>
      </c>
      <c r="C34" s="482">
        <v>28</v>
      </c>
      <c r="D34" s="513">
        <v>3052000</v>
      </c>
      <c r="E34" s="513"/>
      <c r="F34" s="482"/>
      <c r="G34" s="482"/>
    </row>
    <row r="35" ht="12.75" customHeight="1">
      <c r="A35" t="s">
        <v>413</v>
      </c>
    </row>
    <row r="36" spans="1:7" ht="12.75" customHeight="1">
      <c r="A36" t="s">
        <v>414</v>
      </c>
      <c r="B36" t="s">
        <v>123</v>
      </c>
      <c r="C36" s="482">
        <v>28</v>
      </c>
      <c r="D36" s="513">
        <v>14000000</v>
      </c>
      <c r="E36" s="513"/>
      <c r="F36" s="482"/>
      <c r="G36" s="482"/>
    </row>
    <row r="37" spans="1:4" ht="12.75">
      <c r="A37" t="s">
        <v>478</v>
      </c>
      <c r="B37">
        <v>1140</v>
      </c>
      <c r="C37">
        <v>6011</v>
      </c>
      <c r="D37" s="107">
        <f>+C37*B37</f>
        <v>6852540</v>
      </c>
    </row>
    <row r="38" spans="1:4" ht="12.75">
      <c r="A38" t="s">
        <v>479</v>
      </c>
      <c r="D38" s="107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2/2014.(I.24.) Önkormányzati költségvetési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64"/>
  <sheetViews>
    <sheetView zoomScalePageLayoutView="0" workbookViewId="0" topLeftCell="A1">
      <selection activeCell="I24" sqref="I24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  <col min="12" max="13" width="9.28125" style="0" bestFit="1" customWidth="1"/>
    <col min="14" max="14" width="11.28125" style="0" bestFit="1" customWidth="1"/>
    <col min="17" max="17" width="11.7109375" style="0" bestFit="1" customWidth="1"/>
  </cols>
  <sheetData>
    <row r="2" spans="1:11" ht="18.75" customHeight="1">
      <c r="A2" s="723" t="s">
        <v>462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2:11" ht="18.75" customHeight="1">
      <c r="B3" s="183"/>
      <c r="C3" s="183"/>
      <c r="D3" s="183"/>
      <c r="E3" s="183"/>
      <c r="F3" s="183"/>
      <c r="G3" s="183"/>
      <c r="H3" s="183"/>
      <c r="I3" s="183"/>
      <c r="J3" s="183"/>
      <c r="K3" s="85" t="s">
        <v>210</v>
      </c>
    </row>
    <row r="4" spans="1:11" ht="18.75" customHeight="1" thickBot="1">
      <c r="A4" t="s">
        <v>11</v>
      </c>
      <c r="B4" s="183" t="s">
        <v>12</v>
      </c>
      <c r="C4" s="183" t="s">
        <v>13</v>
      </c>
      <c r="D4" s="183" t="s">
        <v>14</v>
      </c>
      <c r="E4" s="183" t="s">
        <v>15</v>
      </c>
      <c r="F4" s="183" t="s">
        <v>16</v>
      </c>
      <c r="G4" s="183" t="s">
        <v>17</v>
      </c>
      <c r="H4" s="183" t="s">
        <v>18</v>
      </c>
      <c r="I4" s="183" t="s">
        <v>59</v>
      </c>
      <c r="J4" s="183" t="s">
        <v>19</v>
      </c>
      <c r="K4" s="183" t="s">
        <v>360</v>
      </c>
    </row>
    <row r="5" spans="1:11" ht="18.75" customHeight="1">
      <c r="A5" t="s">
        <v>20</v>
      </c>
      <c r="B5" s="724" t="s">
        <v>211</v>
      </c>
      <c r="C5" s="724" t="s">
        <v>212</v>
      </c>
      <c r="D5" s="727" t="s">
        <v>213</v>
      </c>
      <c r="E5" s="724" t="s">
        <v>214</v>
      </c>
      <c r="F5" s="724" t="s">
        <v>215</v>
      </c>
      <c r="G5" s="717" t="s">
        <v>216</v>
      </c>
      <c r="H5" s="717"/>
      <c r="I5" s="717"/>
      <c r="J5" s="717"/>
      <c r="K5" s="724" t="s">
        <v>5</v>
      </c>
    </row>
    <row r="6" spans="2:15" ht="18.75" customHeight="1">
      <c r="B6" s="725"/>
      <c r="C6" s="725"/>
      <c r="D6" s="715"/>
      <c r="E6" s="725"/>
      <c r="F6" s="725"/>
      <c r="G6" s="718" t="s">
        <v>217</v>
      </c>
      <c r="H6" s="754" t="s">
        <v>218</v>
      </c>
      <c r="I6" s="754" t="s">
        <v>66</v>
      </c>
      <c r="J6" s="720" t="s">
        <v>219</v>
      </c>
      <c r="K6" s="725"/>
      <c r="N6" s="107"/>
      <c r="O6" s="107"/>
    </row>
    <row r="7" spans="2:11" ht="51" customHeight="1" thickBot="1">
      <c r="B7" s="726"/>
      <c r="C7" s="726"/>
      <c r="D7" s="716"/>
      <c r="E7" s="726"/>
      <c r="F7" s="726"/>
      <c r="G7" s="719"/>
      <c r="H7" s="755"/>
      <c r="I7" s="755"/>
      <c r="J7" s="721"/>
      <c r="K7" s="726"/>
    </row>
    <row r="8" spans="1:17" ht="18.75" customHeight="1">
      <c r="A8" t="s">
        <v>21</v>
      </c>
      <c r="B8" s="185" t="s">
        <v>68</v>
      </c>
      <c r="C8" s="186"/>
      <c r="D8" s="187"/>
      <c r="E8" s="188"/>
      <c r="F8" s="186"/>
      <c r="G8" s="189"/>
      <c r="H8" s="190"/>
      <c r="I8" s="190"/>
      <c r="J8" s="191"/>
      <c r="K8" s="192"/>
      <c r="Q8">
        <f>SUM(N8:P8)</f>
        <v>0</v>
      </c>
    </row>
    <row r="9" spans="1:17" ht="29.25" customHeight="1">
      <c r="A9" t="s">
        <v>22</v>
      </c>
      <c r="B9" s="193" t="s">
        <v>267</v>
      </c>
      <c r="C9" s="269">
        <f>+4_mell!D30-1560-3364</f>
        <v>99516</v>
      </c>
      <c r="D9" s="267">
        <f>+4_mell!E30-421-908</f>
        <v>26594</v>
      </c>
      <c r="E9" s="268">
        <f>+4_mell!F30</f>
        <v>35344</v>
      </c>
      <c r="F9" s="195"/>
      <c r="G9" s="196">
        <f>+4_mell!I30</f>
        <v>113225</v>
      </c>
      <c r="H9" s="197"/>
      <c r="I9" s="197"/>
      <c r="J9" s="198"/>
      <c r="K9" s="199">
        <f>SUM(C9:J9)</f>
        <v>274679</v>
      </c>
      <c r="M9" s="181"/>
      <c r="N9" s="197"/>
      <c r="O9" s="107"/>
      <c r="P9" s="107"/>
      <c r="Q9" s="107">
        <f>+Q8-K11</f>
        <v>-280932</v>
      </c>
    </row>
    <row r="10" spans="1:14" ht="18.75" customHeight="1" thickBot="1">
      <c r="A10" t="s">
        <v>23</v>
      </c>
      <c r="B10" s="201" t="s">
        <v>220</v>
      </c>
      <c r="C10" s="202">
        <f>1560+3364</f>
        <v>4924</v>
      </c>
      <c r="D10" s="203">
        <f>421+908</f>
        <v>1329</v>
      </c>
      <c r="E10" s="202"/>
      <c r="F10" s="204"/>
      <c r="G10" s="205"/>
      <c r="H10" s="206"/>
      <c r="I10" s="206"/>
      <c r="J10" s="207"/>
      <c r="K10" s="208">
        <f>+J10+F10+E10+D10+C10</f>
        <v>6253</v>
      </c>
      <c r="L10" s="200"/>
      <c r="M10" s="107"/>
      <c r="N10" s="107"/>
    </row>
    <row r="11" spans="1:12" ht="18.75" customHeight="1" thickBot="1">
      <c r="A11" t="s">
        <v>24</v>
      </c>
      <c r="B11" s="209" t="s">
        <v>221</v>
      </c>
      <c r="C11" s="210">
        <f>SUM(C9:C10)</f>
        <v>104440</v>
      </c>
      <c r="D11" s="210">
        <f aca="true" t="shared" si="0" ref="D11:J11">SUM(D9:D10)</f>
        <v>27923</v>
      </c>
      <c r="E11" s="210">
        <f t="shared" si="0"/>
        <v>35344</v>
      </c>
      <c r="F11" s="210">
        <f t="shared" si="0"/>
        <v>0</v>
      </c>
      <c r="G11" s="210">
        <f t="shared" si="0"/>
        <v>113225</v>
      </c>
      <c r="H11" s="210">
        <f t="shared" si="0"/>
        <v>0</v>
      </c>
      <c r="I11" s="210">
        <f t="shared" si="0"/>
        <v>0</v>
      </c>
      <c r="J11" s="210">
        <f t="shared" si="0"/>
        <v>0</v>
      </c>
      <c r="K11" s="210">
        <f>SUM(K9:K10)</f>
        <v>280932</v>
      </c>
      <c r="L11" s="200"/>
    </row>
    <row r="12" spans="1:11" ht="18.75" customHeight="1">
      <c r="A12" t="s">
        <v>25</v>
      </c>
      <c r="B12" s="185" t="s">
        <v>222</v>
      </c>
      <c r="C12" s="192"/>
      <c r="D12" s="214"/>
      <c r="E12" s="192"/>
      <c r="F12" s="215"/>
      <c r="G12" s="216"/>
      <c r="H12" s="217"/>
      <c r="I12" s="217"/>
      <c r="J12" s="191"/>
      <c r="K12" s="192"/>
    </row>
    <row r="13" spans="1:16" ht="18.75" customHeight="1">
      <c r="A13" t="s">
        <v>26</v>
      </c>
      <c r="B13" s="193" t="s">
        <v>223</v>
      </c>
      <c r="C13" s="195">
        <f>+'[4]ÖK 2014'!$H$49/1000</f>
        <v>1412</v>
      </c>
      <c r="D13" s="194">
        <f>+'[4]ÖK 2014'!$H$55/1000</f>
        <v>381.24</v>
      </c>
      <c r="E13" s="195">
        <f>+'[4]ÖK 2014'!$H$66/1000</f>
        <v>2104.96</v>
      </c>
      <c r="F13" s="218"/>
      <c r="G13" s="219"/>
      <c r="H13" s="220"/>
      <c r="I13" s="220"/>
      <c r="J13" s="198"/>
      <c r="K13" s="199">
        <f>SUM(C13:J13)</f>
        <v>3898.2</v>
      </c>
      <c r="L13" s="200"/>
      <c r="M13" s="181"/>
      <c r="N13" s="107"/>
      <c r="P13" s="107"/>
    </row>
    <row r="14" spans="1:11" ht="18.75" customHeight="1">
      <c r="A14" t="s">
        <v>27</v>
      </c>
      <c r="B14" s="193" t="s">
        <v>224</v>
      </c>
      <c r="C14" s="195"/>
      <c r="D14" s="194"/>
      <c r="E14" s="195"/>
      <c r="F14" s="195"/>
      <c r="G14" s="196"/>
      <c r="H14" s="197"/>
      <c r="I14" s="197"/>
      <c r="J14" s="198"/>
      <c r="K14" s="199">
        <f aca="true" t="shared" si="1" ref="K14:K20">SUM(C14:J14)</f>
        <v>0</v>
      </c>
    </row>
    <row r="15" spans="1:11" ht="18.75" customHeight="1">
      <c r="A15" t="s">
        <v>28</v>
      </c>
      <c r="B15" s="193" t="s">
        <v>217</v>
      </c>
      <c r="C15" s="195"/>
      <c r="D15" s="194"/>
      <c r="E15" s="195"/>
      <c r="F15" s="195"/>
      <c r="G15" s="196">
        <f>+4_mell!I21</f>
        <v>5114</v>
      </c>
      <c r="H15" s="197"/>
      <c r="I15" s="197"/>
      <c r="J15" s="198"/>
      <c r="K15" s="199">
        <f t="shared" si="1"/>
        <v>5114</v>
      </c>
    </row>
    <row r="16" spans="1:11" ht="15">
      <c r="A16" t="s">
        <v>29</v>
      </c>
      <c r="B16" s="193" t="s">
        <v>225</v>
      </c>
      <c r="C16" s="195"/>
      <c r="D16" s="194"/>
      <c r="E16" s="195"/>
      <c r="F16" s="218"/>
      <c r="G16" s="219"/>
      <c r="H16" s="197">
        <f>+4_mell!H21</f>
        <v>26169</v>
      </c>
      <c r="I16" s="197">
        <f>+5_mell!C19</f>
        <v>3000</v>
      </c>
      <c r="J16" s="198"/>
      <c r="K16" s="199">
        <f t="shared" si="1"/>
        <v>29169</v>
      </c>
    </row>
    <row r="17" spans="1:11" ht="15">
      <c r="A17" t="s">
        <v>30</v>
      </c>
      <c r="B17" s="193" t="s">
        <v>268</v>
      </c>
      <c r="C17" s="195"/>
      <c r="D17" s="194"/>
      <c r="E17" s="195">
        <f>+'[4]ÖK 2014'!$H$78</f>
        <v>507.492</v>
      </c>
      <c r="F17" s="218"/>
      <c r="G17" s="219"/>
      <c r="H17" s="197"/>
      <c r="I17" s="197"/>
      <c r="J17" s="198"/>
      <c r="K17" s="199">
        <f t="shared" si="1"/>
        <v>507.492</v>
      </c>
    </row>
    <row r="18" spans="1:11" ht="18.75" customHeight="1">
      <c r="A18" t="s">
        <v>31</v>
      </c>
      <c r="B18" s="193" t="s">
        <v>461</v>
      </c>
      <c r="C18" s="223">
        <f>+'[4]ÖK 2014'!$H$12</f>
        <v>1620</v>
      </c>
      <c r="D18" s="516">
        <f>+'[4]ÖK 2014'!$H$17</f>
        <v>393.66</v>
      </c>
      <c r="E18" s="223"/>
      <c r="F18" s="223"/>
      <c r="G18" s="224"/>
      <c r="H18" s="225"/>
      <c r="I18" s="635"/>
      <c r="J18" s="226"/>
      <c r="K18" s="199">
        <f t="shared" si="1"/>
        <v>2013.66</v>
      </c>
    </row>
    <row r="19" spans="1:11" ht="18.75" customHeight="1">
      <c r="A19" t="s">
        <v>32</v>
      </c>
      <c r="B19" s="193" t="s">
        <v>475</v>
      </c>
      <c r="C19" s="223"/>
      <c r="D19" s="516"/>
      <c r="E19" s="223"/>
      <c r="F19" s="223">
        <f>+7_mell!D21</f>
        <v>61190</v>
      </c>
      <c r="G19" s="224"/>
      <c r="H19" s="225"/>
      <c r="I19" s="635"/>
      <c r="J19" s="226"/>
      <c r="K19" s="199">
        <f t="shared" si="1"/>
        <v>61190</v>
      </c>
    </row>
    <row r="20" spans="1:11" ht="18.75" customHeight="1">
      <c r="A20" t="s">
        <v>33</v>
      </c>
      <c r="B20" s="193" t="s">
        <v>459</v>
      </c>
      <c r="C20" s="221"/>
      <c r="D20" s="222"/>
      <c r="E20" s="221">
        <f>+9_mell!F15</f>
        <v>9450</v>
      </c>
      <c r="F20" s="221"/>
      <c r="G20" s="224"/>
      <c r="H20" s="225"/>
      <c r="I20" s="225"/>
      <c r="J20" s="226"/>
      <c r="K20" s="199">
        <f t="shared" si="1"/>
        <v>9450</v>
      </c>
    </row>
    <row r="21" spans="1:11" ht="18.75" customHeight="1">
      <c r="A21" t="s">
        <v>34</v>
      </c>
      <c r="B21" s="193" t="s">
        <v>460</v>
      </c>
      <c r="C21" s="195"/>
      <c r="D21" s="194"/>
      <c r="E21" s="195">
        <f>+9_mell!F14+9_mell!F13</f>
        <v>3067</v>
      </c>
      <c r="F21" s="195"/>
      <c r="G21" s="196"/>
      <c r="H21" s="197"/>
      <c r="I21" s="197"/>
      <c r="J21" s="641"/>
      <c r="K21" s="199">
        <f>SUM(C21:J21)</f>
        <v>3067</v>
      </c>
    </row>
    <row r="22" spans="1:11" ht="18.75" customHeight="1" thickBot="1">
      <c r="A22" t="s">
        <v>35</v>
      </c>
      <c r="B22" s="636" t="s">
        <v>219</v>
      </c>
      <c r="C22" s="637"/>
      <c r="D22" s="228"/>
      <c r="E22" s="637"/>
      <c r="F22" s="637"/>
      <c r="G22" s="638"/>
      <c r="H22" s="639"/>
      <c r="I22" s="639"/>
      <c r="J22" s="640">
        <f>+3_mell!J7+3_mell!J12+3_mell!J17+3_mell!J27</f>
        <v>477163</v>
      </c>
      <c r="K22" s="199">
        <f>SUM(C22:J22)</f>
        <v>477163</v>
      </c>
    </row>
    <row r="23" spans="1:14" ht="18.75" customHeight="1" thickBot="1">
      <c r="A23" t="s">
        <v>36</v>
      </c>
      <c r="B23" s="209" t="s">
        <v>226</v>
      </c>
      <c r="C23" s="210">
        <f>SUM(C13:C21)</f>
        <v>3032</v>
      </c>
      <c r="D23" s="211">
        <f aca="true" t="shared" si="2" ref="D23:I23">SUM(D13:D21)</f>
        <v>774.9000000000001</v>
      </c>
      <c r="E23" s="210">
        <f t="shared" si="2"/>
        <v>15129.452000000001</v>
      </c>
      <c r="F23" s="210">
        <f t="shared" si="2"/>
        <v>61190</v>
      </c>
      <c r="G23" s="212">
        <f t="shared" si="2"/>
        <v>5114</v>
      </c>
      <c r="H23" s="213">
        <f t="shared" si="2"/>
        <v>26169</v>
      </c>
      <c r="I23" s="213">
        <f t="shared" si="2"/>
        <v>3000</v>
      </c>
      <c r="J23" s="213">
        <f>SUM(J13:J22)</f>
        <v>477163</v>
      </c>
      <c r="K23" s="210">
        <f>SUM(K13:K22)</f>
        <v>591572.352</v>
      </c>
      <c r="L23" s="107"/>
      <c r="M23" s="107"/>
      <c r="N23" s="107"/>
    </row>
    <row r="24" spans="2:14" ht="18.75" customHeight="1">
      <c r="B24" s="227"/>
      <c r="C24" s="228"/>
      <c r="D24" s="228"/>
      <c r="E24" s="228"/>
      <c r="F24" s="107"/>
      <c r="G24" s="228"/>
      <c r="H24" s="228"/>
      <c r="I24" s="228"/>
      <c r="J24" s="228"/>
      <c r="K24" s="228"/>
      <c r="L24" s="181"/>
      <c r="M24" s="107"/>
      <c r="N24" s="107"/>
    </row>
    <row r="25" spans="2:14" ht="18.75" customHeight="1">
      <c r="B25" s="227"/>
      <c r="C25" s="228"/>
      <c r="D25" s="228"/>
      <c r="E25" s="228"/>
      <c r="F25" s="228"/>
      <c r="G25" s="228"/>
      <c r="H25" s="228"/>
      <c r="I25" s="228"/>
      <c r="J25" s="228"/>
      <c r="K25" s="229"/>
      <c r="L25" s="181"/>
      <c r="N25" s="107"/>
    </row>
    <row r="26" spans="2:12" ht="18.75" customHeight="1">
      <c r="B26" s="227"/>
      <c r="C26" s="228"/>
      <c r="D26" s="228"/>
      <c r="E26" s="228"/>
      <c r="F26" s="228"/>
      <c r="G26" s="228"/>
      <c r="H26" s="228"/>
      <c r="I26" s="228"/>
      <c r="J26" s="228"/>
      <c r="K26" s="229"/>
      <c r="L26" s="181"/>
    </row>
    <row r="27" spans="2:12" ht="18.7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9"/>
      <c r="L27" s="181"/>
    </row>
    <row r="28" spans="2:12" ht="18.75" customHeight="1">
      <c r="B28" s="227"/>
      <c r="C28" s="228"/>
      <c r="D28" s="228"/>
      <c r="E28" s="228"/>
      <c r="F28" s="228"/>
      <c r="G28" s="228"/>
      <c r="H28" s="228"/>
      <c r="I28" s="228"/>
      <c r="J28" s="228"/>
      <c r="K28" s="229"/>
      <c r="L28" s="181"/>
    </row>
    <row r="29" spans="2:12" ht="18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9"/>
      <c r="L29" s="181"/>
    </row>
    <row r="30" spans="2:12" ht="18.7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9"/>
      <c r="L30" s="181"/>
    </row>
    <row r="31" spans="2:12" ht="18.75" customHeight="1">
      <c r="B31" s="227"/>
      <c r="C31" s="228"/>
      <c r="D31" s="228"/>
      <c r="E31" s="228"/>
      <c r="F31" s="228"/>
      <c r="G31" s="228"/>
      <c r="H31" s="228"/>
      <c r="I31" s="228"/>
      <c r="J31" s="228"/>
      <c r="K31" s="229"/>
      <c r="L31" s="181"/>
    </row>
    <row r="32" spans="2:12" ht="18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9"/>
      <c r="L32" s="181"/>
    </row>
    <row r="33" spans="2:12" ht="30.75" customHeight="1">
      <c r="B33" s="227"/>
      <c r="C33" s="228"/>
      <c r="D33" s="228"/>
      <c r="E33" s="228"/>
      <c r="F33" s="228"/>
      <c r="G33" s="228"/>
      <c r="H33" s="228"/>
      <c r="I33" s="228"/>
      <c r="J33" s="228"/>
      <c r="K33" s="229"/>
      <c r="L33" s="181"/>
    </row>
    <row r="34" spans="2:12" ht="18.7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9"/>
      <c r="L34" s="181"/>
    </row>
    <row r="35" spans="2:12" ht="18.75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9"/>
      <c r="L35" s="181"/>
    </row>
    <row r="36" spans="2:12" ht="18.75" customHeight="1">
      <c r="B36" s="230"/>
      <c r="C36" s="231"/>
      <c r="D36" s="231"/>
      <c r="E36" s="228"/>
      <c r="F36" s="228"/>
      <c r="G36" s="228"/>
      <c r="H36" s="228"/>
      <c r="I36" s="228"/>
      <c r="J36" s="228"/>
      <c r="K36" s="229"/>
      <c r="L36" s="181"/>
    </row>
    <row r="37" spans="2:12" ht="18.75" customHeight="1">
      <c r="B37" s="230"/>
      <c r="C37" s="231"/>
      <c r="D37" s="231"/>
      <c r="E37" s="228"/>
      <c r="F37" s="228"/>
      <c r="G37" s="228"/>
      <c r="H37" s="228"/>
      <c r="I37" s="228"/>
      <c r="J37" s="228"/>
      <c r="K37" s="229"/>
      <c r="L37" s="181"/>
    </row>
    <row r="38" spans="2:12" ht="18.75" customHeight="1">
      <c r="B38" s="232"/>
      <c r="C38" s="228"/>
      <c r="D38" s="228"/>
      <c r="E38" s="228"/>
      <c r="F38" s="228"/>
      <c r="G38" s="228"/>
      <c r="H38" s="228"/>
      <c r="I38" s="228"/>
      <c r="J38" s="228"/>
      <c r="K38" s="229"/>
      <c r="L38" s="181"/>
    </row>
    <row r="39" spans="2:12" ht="18.75" customHeight="1">
      <c r="B39" s="227"/>
      <c r="C39" s="228"/>
      <c r="D39" s="228"/>
      <c r="E39" s="228"/>
      <c r="F39" s="228"/>
      <c r="G39" s="228"/>
      <c r="H39" s="228"/>
      <c r="I39" s="228"/>
      <c r="J39" s="228"/>
      <c r="K39" s="229"/>
      <c r="L39" s="181"/>
    </row>
    <row r="40" spans="2:12" ht="18.75" customHeight="1">
      <c r="B40" s="227"/>
      <c r="C40" s="228"/>
      <c r="D40" s="228"/>
      <c r="E40" s="228"/>
      <c r="F40" s="228"/>
      <c r="G40" s="228"/>
      <c r="H40" s="228"/>
      <c r="I40" s="228"/>
      <c r="J40" s="228"/>
      <c r="K40" s="229"/>
      <c r="L40" s="181"/>
    </row>
    <row r="41" spans="2:12" ht="18.7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2:12" ht="18.75" customHeight="1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</row>
    <row r="56" spans="2:11" ht="18.75" customHeight="1">
      <c r="B56" s="722"/>
      <c r="C56" s="722"/>
      <c r="D56" s="722"/>
      <c r="E56" s="722"/>
      <c r="F56" s="722"/>
      <c r="G56" s="722"/>
      <c r="H56" s="722"/>
      <c r="I56" s="722"/>
      <c r="J56" s="722"/>
      <c r="K56" s="722"/>
    </row>
    <row r="57" spans="2:11" ht="18.75" customHeight="1">
      <c r="B57" s="234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2:11" ht="18.75" customHeight="1">
      <c r="B58" s="234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2:11" ht="18.75" customHeight="1">
      <c r="B59" s="234"/>
      <c r="C59" s="181"/>
      <c r="D59" s="181"/>
      <c r="E59" s="181"/>
      <c r="F59" s="181"/>
      <c r="G59" s="181"/>
      <c r="H59" s="181"/>
      <c r="I59" s="181"/>
      <c r="J59" s="181"/>
      <c r="K59" s="181"/>
    </row>
    <row r="61" ht="18.75" customHeight="1">
      <c r="B61" s="233"/>
    </row>
    <row r="63" ht="18.75" customHeight="1">
      <c r="B63" s="233"/>
    </row>
    <row r="64" ht="18.75" customHeight="1">
      <c r="B64" s="233"/>
    </row>
  </sheetData>
  <sheetProtection/>
  <mergeCells count="13">
    <mergeCell ref="A2:K2"/>
    <mergeCell ref="B5:B7"/>
    <mergeCell ref="C5:C7"/>
    <mergeCell ref="D5:D7"/>
    <mergeCell ref="E5:E7"/>
    <mergeCell ref="F5:F7"/>
    <mergeCell ref="G5:J5"/>
    <mergeCell ref="K5:K7"/>
    <mergeCell ref="G6:G7"/>
    <mergeCell ref="H6:H7"/>
    <mergeCell ref="I6:I7"/>
    <mergeCell ref="J6:J7"/>
    <mergeCell ref="B56:K5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  <headerFooter alignWithMargins="0">
    <oddHeader>&amp;L11. melléklet a 2014. évi 2/2014.(I.24.) Önkormányzati költségvetési rendelethez ( 9 )&amp;R&amp;D</oddHeader>
    <oddFooter>&amp;L( 9 ) a 3/2014.(II.11.) önkormányzati rendelettel módosított szöveg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A78"/>
  <sheetViews>
    <sheetView view="pageBreakPreview" zoomScale="60" zoomScalePageLayoutView="0" workbookViewId="0" topLeftCell="A41">
      <selection activeCell="W77" sqref="W77"/>
    </sheetView>
  </sheetViews>
  <sheetFormatPr defaultColWidth="9.140625" defaultRowHeight="12.75"/>
  <cols>
    <col min="1" max="1" width="0.2890625" style="235" customWidth="1"/>
    <col min="2" max="2" width="19.28125" style="235" customWidth="1"/>
    <col min="3" max="3" width="9.7109375" style="235" bestFit="1" customWidth="1"/>
    <col min="4" max="4" width="10.140625" style="235" bestFit="1" customWidth="1"/>
    <col min="5" max="5" width="8.28125" style="235" bestFit="1" customWidth="1"/>
    <col min="6" max="6" width="9.57421875" style="235" bestFit="1" customWidth="1"/>
    <col min="7" max="7" width="8.421875" style="235" customWidth="1"/>
    <col min="8" max="8" width="6.421875" style="235" customWidth="1"/>
    <col min="9" max="9" width="8.140625" style="235" bestFit="1" customWidth="1"/>
    <col min="10" max="10" width="7.7109375" style="235" customWidth="1"/>
    <col min="11" max="11" width="9.57421875" style="235" customWidth="1"/>
    <col min="12" max="12" width="8.8515625" style="235" bestFit="1" customWidth="1"/>
    <col min="13" max="14" width="7.8515625" style="235" customWidth="1"/>
    <col min="15" max="15" width="10.7109375" style="235" customWidth="1"/>
    <col min="16" max="16" width="9.28125" style="235" bestFit="1" customWidth="1"/>
    <col min="17" max="19" width="8.421875" style="235" customWidth="1"/>
    <col min="20" max="20" width="10.7109375" style="235" customWidth="1"/>
    <col min="21" max="21" width="7.421875" style="235" customWidth="1"/>
    <col min="22" max="23" width="10.00390625" style="235" customWidth="1"/>
    <col min="24" max="25" width="11.8515625" style="235" customWidth="1"/>
    <col min="26" max="26" width="12.140625" style="235" customWidth="1"/>
    <col min="27" max="16384" width="9.140625" style="235" customWidth="1"/>
  </cols>
  <sheetData>
    <row r="2" spans="2:14" ht="12.75">
      <c r="B2" s="576" t="s">
        <v>447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ht="13.5" thickBot="1">
      <c r="Y3" s="235">
        <v>4000</v>
      </c>
    </row>
    <row r="4" spans="2:25" ht="13.5" thickBot="1">
      <c r="B4" s="281" t="s">
        <v>293</v>
      </c>
      <c r="C4" s="759" t="s">
        <v>171</v>
      </c>
      <c r="D4" s="759"/>
      <c r="E4" s="759"/>
      <c r="F4" s="759"/>
      <c r="G4" s="759"/>
      <c r="H4" s="759"/>
      <c r="I4" s="759"/>
      <c r="J4" s="759"/>
      <c r="K4" s="760"/>
      <c r="L4" s="761" t="s">
        <v>294</v>
      </c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Y4" s="235">
        <v>-101</v>
      </c>
    </row>
    <row r="5" spans="2:25" ht="13.5" thickBot="1">
      <c r="B5" s="359"/>
      <c r="C5" s="358"/>
      <c r="D5" s="358"/>
      <c r="E5" s="358"/>
      <c r="F5" s="358"/>
      <c r="G5" s="358"/>
      <c r="H5" s="358"/>
      <c r="I5" s="358"/>
      <c r="J5" s="358"/>
      <c r="K5" s="359"/>
      <c r="L5" s="711"/>
      <c r="M5" s="712"/>
      <c r="N5" s="713"/>
      <c r="O5" s="714"/>
      <c r="P5" s="756" t="s">
        <v>278</v>
      </c>
      <c r="Q5" s="757"/>
      <c r="R5" s="757"/>
      <c r="S5" s="757"/>
      <c r="T5" s="757"/>
      <c r="U5" s="757"/>
      <c r="V5" s="758"/>
      <c r="W5" s="373"/>
      <c r="Y5" s="235">
        <v>-800</v>
      </c>
    </row>
    <row r="6" spans="2:25" s="272" customFormat="1" ht="77.25" thickBot="1">
      <c r="B6" s="369" t="s">
        <v>230</v>
      </c>
      <c r="C6" s="577" t="s">
        <v>52</v>
      </c>
      <c r="D6" s="577" t="s">
        <v>231</v>
      </c>
      <c r="E6" s="577" t="s">
        <v>232</v>
      </c>
      <c r="F6" s="577" t="s">
        <v>57</v>
      </c>
      <c r="G6" s="370" t="s">
        <v>274</v>
      </c>
      <c r="H6" s="370" t="s">
        <v>275</v>
      </c>
      <c r="I6" s="370" t="s">
        <v>58</v>
      </c>
      <c r="J6" s="370" t="s">
        <v>9</v>
      </c>
      <c r="K6" s="578" t="s">
        <v>276</v>
      </c>
      <c r="L6" s="583" t="s">
        <v>247</v>
      </c>
      <c r="M6" s="583" t="s">
        <v>246</v>
      </c>
      <c r="N6" s="345" t="s">
        <v>490</v>
      </c>
      <c r="O6" s="389" t="s">
        <v>245</v>
      </c>
      <c r="P6" s="533" t="s">
        <v>262</v>
      </c>
      <c r="Q6" s="371" t="s">
        <v>448</v>
      </c>
      <c r="R6" s="371" t="s">
        <v>287</v>
      </c>
      <c r="S6" s="372" t="s">
        <v>288</v>
      </c>
      <c r="T6" s="371" t="s">
        <v>290</v>
      </c>
      <c r="U6" s="372" t="s">
        <v>291</v>
      </c>
      <c r="V6" s="380" t="s">
        <v>289</v>
      </c>
      <c r="W6" s="369" t="s">
        <v>292</v>
      </c>
      <c r="Y6" s="272">
        <v>-500</v>
      </c>
    </row>
    <row r="7" spans="2:25" s="272" customFormat="1" ht="12.75">
      <c r="B7" s="360"/>
      <c r="C7" s="579"/>
      <c r="D7" s="579"/>
      <c r="E7" s="579"/>
      <c r="F7" s="579"/>
      <c r="G7" s="345"/>
      <c r="H7" s="345"/>
      <c r="I7" s="345"/>
      <c r="J7" s="345"/>
      <c r="K7" s="580"/>
      <c r="L7" s="579"/>
      <c r="M7" s="579"/>
      <c r="N7" s="579"/>
      <c r="O7" s="345"/>
      <c r="P7" s="581"/>
      <c r="Q7" s="346"/>
      <c r="R7" s="346"/>
      <c r="S7" s="346"/>
      <c r="T7" s="346"/>
      <c r="U7" s="346"/>
      <c r="V7" s="355"/>
      <c r="W7" s="374"/>
      <c r="Y7" s="272">
        <v>-1500</v>
      </c>
    </row>
    <row r="8" spans="2:25" ht="12.75">
      <c r="B8" s="361" t="s">
        <v>279</v>
      </c>
      <c r="C8" s="350">
        <v>266</v>
      </c>
      <c r="D8" s="350">
        <v>72</v>
      </c>
      <c r="E8" s="350">
        <v>17983</v>
      </c>
      <c r="F8" s="240">
        <f>SUM(C8:E8)</f>
        <v>18321</v>
      </c>
      <c r="G8" s="240"/>
      <c r="H8" s="240"/>
      <c r="I8" s="240"/>
      <c r="J8" s="240"/>
      <c r="K8" s="365">
        <f>SUM(F8:J8)</f>
        <v>18321</v>
      </c>
      <c r="L8" s="582">
        <v>7493</v>
      </c>
      <c r="M8" s="343"/>
      <c r="N8" s="343"/>
      <c r="O8" s="343"/>
      <c r="P8" s="381">
        <v>4152</v>
      </c>
      <c r="Q8" s="343"/>
      <c r="R8" s="343">
        <v>6676</v>
      </c>
      <c r="S8" s="343"/>
      <c r="T8" s="343"/>
      <c r="U8" s="343"/>
      <c r="V8" s="344"/>
      <c r="W8" s="365">
        <f>SUM(L8:V8)</f>
        <v>18321</v>
      </c>
      <c r="X8" s="236"/>
      <c r="Y8" s="235">
        <v>-500</v>
      </c>
    </row>
    <row r="9" spans="2:25" ht="12.75">
      <c r="B9" s="361" t="s">
        <v>233</v>
      </c>
      <c r="C9" s="350">
        <v>3259</v>
      </c>
      <c r="D9" s="350">
        <v>880</v>
      </c>
      <c r="E9" s="350">
        <v>2761</v>
      </c>
      <c r="F9" s="240">
        <f>SUM(C9:E9)</f>
        <v>6900</v>
      </c>
      <c r="G9" s="240"/>
      <c r="H9" s="240"/>
      <c r="I9" s="240"/>
      <c r="J9" s="240"/>
      <c r="K9" s="365">
        <f aca="true" t="shared" si="0" ref="K9:K21">SUM(F9:J9)</f>
        <v>6900</v>
      </c>
      <c r="L9" s="343"/>
      <c r="M9" s="343"/>
      <c r="N9" s="343"/>
      <c r="O9" s="350"/>
      <c r="P9" s="349"/>
      <c r="Q9" s="343"/>
      <c r="R9" s="343">
        <v>6900</v>
      </c>
      <c r="S9" s="343"/>
      <c r="T9" s="343"/>
      <c r="U9" s="343"/>
      <c r="V9" s="344"/>
      <c r="W9" s="365">
        <f aca="true" t="shared" si="1" ref="W9:W21">SUM(L9:V9)</f>
        <v>6900</v>
      </c>
      <c r="X9" s="236"/>
      <c r="Y9" s="235">
        <v>-350</v>
      </c>
    </row>
    <row r="10" spans="2:25" ht="12.75">
      <c r="B10" s="361" t="s">
        <v>234</v>
      </c>
      <c r="C10" s="350">
        <v>4551</v>
      </c>
      <c r="D10" s="350">
        <v>1066</v>
      </c>
      <c r="E10" s="350">
        <v>2383</v>
      </c>
      <c r="F10" s="240">
        <f aca="true" t="shared" si="2" ref="F10:F21">SUM(C10:E10)</f>
        <v>8000</v>
      </c>
      <c r="G10" s="240"/>
      <c r="H10" s="240"/>
      <c r="I10" s="240"/>
      <c r="J10" s="240"/>
      <c r="K10" s="365">
        <f t="shared" si="0"/>
        <v>8000</v>
      </c>
      <c r="L10" s="343"/>
      <c r="M10" s="343"/>
      <c r="N10" s="343"/>
      <c r="O10" s="352"/>
      <c r="P10" s="349"/>
      <c r="Q10" s="343"/>
      <c r="R10" s="343">
        <v>8000</v>
      </c>
      <c r="S10" s="343"/>
      <c r="T10" s="343"/>
      <c r="U10" s="343"/>
      <c r="V10" s="344"/>
      <c r="W10" s="365">
        <f t="shared" si="1"/>
        <v>8000</v>
      </c>
      <c r="X10" s="236"/>
      <c r="Y10" s="235">
        <v>-249</v>
      </c>
    </row>
    <row r="11" spans="2:24" ht="12.75">
      <c r="B11" s="361" t="s">
        <v>235</v>
      </c>
      <c r="C11" s="350">
        <v>3240</v>
      </c>
      <c r="D11" s="350">
        <v>875</v>
      </c>
      <c r="E11" s="350">
        <v>676</v>
      </c>
      <c r="F11" s="240">
        <f t="shared" si="2"/>
        <v>4791</v>
      </c>
      <c r="G11" s="240"/>
      <c r="H11" s="240"/>
      <c r="I11" s="240"/>
      <c r="J11" s="240"/>
      <c r="K11" s="365">
        <f t="shared" si="0"/>
        <v>4791</v>
      </c>
      <c r="L11" s="350">
        <v>1310</v>
      </c>
      <c r="M11" s="343"/>
      <c r="N11" s="343"/>
      <c r="O11" s="352"/>
      <c r="P11" s="381">
        <v>3052</v>
      </c>
      <c r="Q11" s="343"/>
      <c r="R11" s="343">
        <v>429</v>
      </c>
      <c r="S11" s="343"/>
      <c r="T11" s="343"/>
      <c r="U11" s="343"/>
      <c r="V11" s="344"/>
      <c r="W11" s="365">
        <f t="shared" si="1"/>
        <v>4791</v>
      </c>
      <c r="X11" s="236"/>
    </row>
    <row r="12" spans="2:25" ht="12.75">
      <c r="B12" s="361" t="s">
        <v>236</v>
      </c>
      <c r="C12" s="350">
        <v>10590</v>
      </c>
      <c r="D12" s="350">
        <v>2859</v>
      </c>
      <c r="E12" s="350">
        <v>1634</v>
      </c>
      <c r="F12" s="240">
        <f>SUM(C12:E12)</f>
        <v>15083</v>
      </c>
      <c r="G12" s="240"/>
      <c r="H12" s="240"/>
      <c r="I12" s="240"/>
      <c r="J12" s="240"/>
      <c r="K12" s="365">
        <f t="shared" si="0"/>
        <v>15083</v>
      </c>
      <c r="L12" s="350"/>
      <c r="M12" s="343"/>
      <c r="N12" s="343"/>
      <c r="O12" s="352"/>
      <c r="P12" s="381">
        <v>14000</v>
      </c>
      <c r="Q12" s="343"/>
      <c r="R12" s="343">
        <v>1083</v>
      </c>
      <c r="S12" s="343"/>
      <c r="T12" s="343"/>
      <c r="U12" s="343"/>
      <c r="V12" s="344"/>
      <c r="W12" s="365">
        <f t="shared" si="1"/>
        <v>15083</v>
      </c>
      <c r="X12" s="236"/>
      <c r="Y12" s="235">
        <f>SUM(Y3:Y11)</f>
        <v>0</v>
      </c>
    </row>
    <row r="13" spans="2:24" ht="12.75">
      <c r="B13" s="361" t="s">
        <v>237</v>
      </c>
      <c r="C13" s="350">
        <v>2954</v>
      </c>
      <c r="D13" s="350">
        <v>798</v>
      </c>
      <c r="E13" s="350">
        <v>144</v>
      </c>
      <c r="F13" s="240">
        <f t="shared" si="2"/>
        <v>3896</v>
      </c>
      <c r="G13" s="240"/>
      <c r="H13" s="240"/>
      <c r="I13" s="240"/>
      <c r="J13" s="240"/>
      <c r="K13" s="365">
        <f t="shared" si="0"/>
        <v>3896</v>
      </c>
      <c r="L13" s="343"/>
      <c r="M13" s="343"/>
      <c r="N13" s="343"/>
      <c r="O13" s="352"/>
      <c r="P13" s="381">
        <v>2374</v>
      </c>
      <c r="Q13" s="343"/>
      <c r="R13" s="343">
        <v>1522</v>
      </c>
      <c r="S13" s="343"/>
      <c r="T13" s="343"/>
      <c r="U13" s="343"/>
      <c r="V13" s="344"/>
      <c r="W13" s="365">
        <f t="shared" si="1"/>
        <v>3896</v>
      </c>
      <c r="X13" s="236"/>
    </row>
    <row r="14" spans="2:24" ht="12.75">
      <c r="B14" s="361" t="s">
        <v>238</v>
      </c>
      <c r="C14" s="350">
        <v>8117</v>
      </c>
      <c r="D14" s="350">
        <v>2192</v>
      </c>
      <c r="E14" s="350">
        <v>2026</v>
      </c>
      <c r="F14" s="240">
        <f t="shared" si="2"/>
        <v>12335</v>
      </c>
      <c r="G14" s="240"/>
      <c r="H14" s="240"/>
      <c r="I14" s="240"/>
      <c r="J14" s="240"/>
      <c r="K14" s="365">
        <f t="shared" si="0"/>
        <v>12335</v>
      </c>
      <c r="L14" s="343"/>
      <c r="M14" s="343"/>
      <c r="N14" s="343"/>
      <c r="O14" s="352"/>
      <c r="P14" s="381">
        <v>2374</v>
      </c>
      <c r="Q14" s="343"/>
      <c r="R14" s="343">
        <v>504</v>
      </c>
      <c r="S14" s="343"/>
      <c r="T14" s="343">
        <v>9457</v>
      </c>
      <c r="U14" s="343"/>
      <c r="V14" s="344"/>
      <c r="W14" s="365">
        <f t="shared" si="1"/>
        <v>12335</v>
      </c>
      <c r="X14" s="236"/>
    </row>
    <row r="15" spans="2:24" ht="12.75">
      <c r="B15" s="361" t="s">
        <v>239</v>
      </c>
      <c r="C15" s="350">
        <v>7497</v>
      </c>
      <c r="D15" s="350">
        <v>2024</v>
      </c>
      <c r="E15" s="350">
        <v>584</v>
      </c>
      <c r="F15" s="240">
        <f>SUM(C15:E15)</f>
        <v>10105</v>
      </c>
      <c r="G15" s="240"/>
      <c r="H15" s="240"/>
      <c r="I15" s="240"/>
      <c r="J15" s="240"/>
      <c r="K15" s="365">
        <f t="shared" si="0"/>
        <v>10105</v>
      </c>
      <c r="L15" s="350">
        <v>100</v>
      </c>
      <c r="M15" s="343"/>
      <c r="N15" s="343"/>
      <c r="O15" s="352"/>
      <c r="P15" s="381">
        <v>5655</v>
      </c>
      <c r="Q15" s="343"/>
      <c r="R15" s="343">
        <v>4350</v>
      </c>
      <c r="S15" s="343"/>
      <c r="T15" s="343"/>
      <c r="U15" s="343"/>
      <c r="V15" s="344"/>
      <c r="W15" s="365">
        <f t="shared" si="1"/>
        <v>10105</v>
      </c>
      <c r="X15" s="236"/>
    </row>
    <row r="16" spans="2:24" ht="12.75">
      <c r="B16" s="361" t="s">
        <v>240</v>
      </c>
      <c r="C16" s="350">
        <v>8217</v>
      </c>
      <c r="D16" s="350">
        <v>2219</v>
      </c>
      <c r="E16" s="350">
        <v>6496</v>
      </c>
      <c r="F16" s="240">
        <f t="shared" si="2"/>
        <v>16932</v>
      </c>
      <c r="G16" s="240"/>
      <c r="H16" s="240"/>
      <c r="I16" s="240"/>
      <c r="J16" s="240"/>
      <c r="K16" s="365">
        <f t="shared" si="0"/>
        <v>16932</v>
      </c>
      <c r="L16" s="343"/>
      <c r="M16" s="350">
        <v>9800</v>
      </c>
      <c r="N16" s="350"/>
      <c r="O16" s="352"/>
      <c r="P16" s="349"/>
      <c r="Q16" s="343"/>
      <c r="R16" s="343">
        <v>7132</v>
      </c>
      <c r="S16" s="343"/>
      <c r="T16" s="343"/>
      <c r="U16" s="343"/>
      <c r="V16" s="344"/>
      <c r="W16" s="365">
        <f t="shared" si="1"/>
        <v>16932</v>
      </c>
      <c r="X16" s="236"/>
    </row>
    <row r="17" spans="2:24" ht="12.75">
      <c r="B17" s="361" t="s">
        <v>241</v>
      </c>
      <c r="C17" s="350">
        <v>7797</v>
      </c>
      <c r="D17" s="350">
        <v>2105</v>
      </c>
      <c r="E17" s="350">
        <v>1113</v>
      </c>
      <c r="F17" s="240">
        <f t="shared" si="2"/>
        <v>11015</v>
      </c>
      <c r="G17" s="240"/>
      <c r="H17" s="240"/>
      <c r="I17" s="240"/>
      <c r="J17" s="240"/>
      <c r="K17" s="365">
        <f t="shared" si="0"/>
        <v>11015</v>
      </c>
      <c r="L17" s="343"/>
      <c r="M17" s="350">
        <v>10900</v>
      </c>
      <c r="N17" s="350"/>
      <c r="O17" s="352"/>
      <c r="P17" s="349"/>
      <c r="Q17" s="343"/>
      <c r="R17" s="343">
        <v>115</v>
      </c>
      <c r="S17" s="343"/>
      <c r="T17" s="343"/>
      <c r="U17" s="343"/>
      <c r="V17" s="344"/>
      <c r="W17" s="365">
        <f t="shared" si="1"/>
        <v>11015</v>
      </c>
      <c r="X17" s="236"/>
    </row>
    <row r="18" spans="2:24" ht="12.75">
      <c r="B18" s="361" t="s">
        <v>242</v>
      </c>
      <c r="C18" s="350"/>
      <c r="D18" s="350"/>
      <c r="E18" s="350">
        <v>489</v>
      </c>
      <c r="F18" s="240">
        <f t="shared" si="2"/>
        <v>489</v>
      </c>
      <c r="G18" s="240"/>
      <c r="H18" s="240"/>
      <c r="I18" s="240"/>
      <c r="J18" s="240"/>
      <c r="K18" s="365">
        <f t="shared" si="0"/>
        <v>489</v>
      </c>
      <c r="L18" s="343"/>
      <c r="M18" s="350">
        <v>489</v>
      </c>
      <c r="N18" s="350"/>
      <c r="O18" s="352"/>
      <c r="P18" s="349"/>
      <c r="Q18" s="343"/>
      <c r="R18" s="343"/>
      <c r="S18" s="343"/>
      <c r="T18" s="343"/>
      <c r="U18" s="343"/>
      <c r="V18" s="344"/>
      <c r="W18" s="365">
        <f t="shared" si="1"/>
        <v>489</v>
      </c>
      <c r="X18" s="236"/>
    </row>
    <row r="19" spans="2:24" ht="12.75">
      <c r="B19" s="361" t="s">
        <v>243</v>
      </c>
      <c r="C19" s="350">
        <v>1742</v>
      </c>
      <c r="D19" s="350">
        <v>470</v>
      </c>
      <c r="E19" s="350">
        <v>863</v>
      </c>
      <c r="F19" s="240">
        <f>SUM(C19:E19)</f>
        <v>3075</v>
      </c>
      <c r="G19" s="240"/>
      <c r="H19" s="240"/>
      <c r="I19" s="240"/>
      <c r="J19" s="240"/>
      <c r="K19" s="365">
        <f t="shared" si="0"/>
        <v>3075</v>
      </c>
      <c r="L19" s="343"/>
      <c r="M19" s="350">
        <v>2040</v>
      </c>
      <c r="N19" s="350"/>
      <c r="O19" s="352"/>
      <c r="P19" s="349"/>
      <c r="Q19" s="343"/>
      <c r="R19" s="343">
        <v>1035</v>
      </c>
      <c r="S19" s="343"/>
      <c r="T19" s="343"/>
      <c r="U19" s="343"/>
      <c r="V19" s="344"/>
      <c r="W19" s="365">
        <f t="shared" si="1"/>
        <v>3075</v>
      </c>
      <c r="X19" s="236"/>
    </row>
    <row r="20" spans="2:24" ht="12.75">
      <c r="B20" s="361" t="s">
        <v>354</v>
      </c>
      <c r="C20" s="350">
        <v>2684</v>
      </c>
      <c r="D20" s="350">
        <v>725</v>
      </c>
      <c r="E20" s="350">
        <v>3512</v>
      </c>
      <c r="F20" s="240">
        <f t="shared" si="2"/>
        <v>6921</v>
      </c>
      <c r="G20" s="240"/>
      <c r="H20" s="240"/>
      <c r="I20" s="240"/>
      <c r="J20" s="240"/>
      <c r="K20" s="365">
        <f t="shared" si="0"/>
        <v>6921</v>
      </c>
      <c r="L20" s="343"/>
      <c r="M20" s="350">
        <v>1620</v>
      </c>
      <c r="N20" s="350"/>
      <c r="O20" s="352"/>
      <c r="P20" s="349"/>
      <c r="Q20" s="343"/>
      <c r="R20" s="343">
        <v>5301</v>
      </c>
      <c r="S20" s="343"/>
      <c r="T20" s="343"/>
      <c r="U20" s="343"/>
      <c r="V20" s="344"/>
      <c r="W20" s="365">
        <f t="shared" si="1"/>
        <v>6921</v>
      </c>
      <c r="X20" s="236"/>
    </row>
    <row r="21" spans="2:24" ht="12.75">
      <c r="B21" s="361" t="s">
        <v>244</v>
      </c>
      <c r="C21" s="350">
        <v>5588</v>
      </c>
      <c r="D21" s="350">
        <v>1509</v>
      </c>
      <c r="E21" s="350">
        <v>1308</v>
      </c>
      <c r="F21" s="240">
        <f t="shared" si="2"/>
        <v>8405</v>
      </c>
      <c r="G21" s="240"/>
      <c r="H21" s="240"/>
      <c r="I21" s="240"/>
      <c r="J21" s="240"/>
      <c r="K21" s="365">
        <f t="shared" si="0"/>
        <v>8405</v>
      </c>
      <c r="L21" s="343"/>
      <c r="M21" s="350">
        <v>7651</v>
      </c>
      <c r="N21" s="350"/>
      <c r="O21" s="352"/>
      <c r="P21" s="349"/>
      <c r="Q21" s="343"/>
      <c r="R21" s="343">
        <v>754</v>
      </c>
      <c r="S21" s="343"/>
      <c r="T21" s="343"/>
      <c r="U21" s="343"/>
      <c r="V21" s="344"/>
      <c r="W21" s="365">
        <f t="shared" si="1"/>
        <v>8405</v>
      </c>
      <c r="X21" s="236"/>
    </row>
    <row r="22" spans="2:24" s="272" customFormat="1" ht="12.75">
      <c r="B22" s="362" t="s">
        <v>269</v>
      </c>
      <c r="C22" s="353">
        <f aca="true" t="shared" si="3" ref="C22:T22">SUM(C8:C21)</f>
        <v>66502</v>
      </c>
      <c r="D22" s="353">
        <f t="shared" si="3"/>
        <v>17794</v>
      </c>
      <c r="E22" s="353">
        <f t="shared" si="3"/>
        <v>41972</v>
      </c>
      <c r="F22" s="353">
        <f t="shared" si="3"/>
        <v>126268</v>
      </c>
      <c r="G22" s="353">
        <f t="shared" si="3"/>
        <v>0</v>
      </c>
      <c r="H22" s="353">
        <f t="shared" si="3"/>
        <v>0</v>
      </c>
      <c r="I22" s="353">
        <f t="shared" si="3"/>
        <v>0</v>
      </c>
      <c r="J22" s="353">
        <f t="shared" si="3"/>
        <v>0</v>
      </c>
      <c r="K22" s="366">
        <f t="shared" si="3"/>
        <v>126268</v>
      </c>
      <c r="L22" s="353">
        <f t="shared" si="3"/>
        <v>8903</v>
      </c>
      <c r="M22" s="353">
        <f t="shared" si="3"/>
        <v>32500</v>
      </c>
      <c r="N22" s="353"/>
      <c r="O22" s="353">
        <f t="shared" si="3"/>
        <v>0</v>
      </c>
      <c r="P22" s="382">
        <f t="shared" si="3"/>
        <v>31607</v>
      </c>
      <c r="Q22" s="353">
        <f t="shared" si="3"/>
        <v>0</v>
      </c>
      <c r="R22" s="353">
        <f t="shared" si="3"/>
        <v>43801</v>
      </c>
      <c r="S22" s="353">
        <f t="shared" si="3"/>
        <v>0</v>
      </c>
      <c r="T22" s="353">
        <f t="shared" si="3"/>
        <v>9457</v>
      </c>
      <c r="U22" s="353"/>
      <c r="V22" s="354">
        <f>SUM(V8:V21)</f>
        <v>0</v>
      </c>
      <c r="W22" s="366">
        <f>SUM(W8:W21)</f>
        <v>126268</v>
      </c>
      <c r="X22" s="271"/>
    </row>
    <row r="23" spans="2:27" ht="12.75">
      <c r="B23" s="361"/>
      <c r="C23" s="350">
        <f>+4_mell!D11</f>
        <v>66502</v>
      </c>
      <c r="D23" s="350">
        <f>+4_mell!E11</f>
        <v>17794</v>
      </c>
      <c r="E23" s="350">
        <f>+4_mell!F11</f>
        <v>41972</v>
      </c>
      <c r="F23" s="350"/>
      <c r="G23" s="350"/>
      <c r="H23" s="350"/>
      <c r="I23" s="350"/>
      <c r="J23" s="350"/>
      <c r="K23" s="367">
        <f>+4_mell!M11</f>
        <v>126268</v>
      </c>
      <c r="L23" s="350">
        <f>+3_mell!D10</f>
        <v>19283</v>
      </c>
      <c r="M23" s="350">
        <f>+1_mell!E29</f>
        <v>32500</v>
      </c>
      <c r="N23" s="350"/>
      <c r="O23" s="350">
        <f>+1_mell!E33+1_mell!E34</f>
        <v>14245</v>
      </c>
      <c r="P23" s="349"/>
      <c r="Q23" s="352"/>
      <c r="R23" s="352"/>
      <c r="S23" s="352"/>
      <c r="T23" s="343"/>
      <c r="U23" s="343"/>
      <c r="V23" s="344"/>
      <c r="W23" s="361"/>
      <c r="AA23" s="237"/>
    </row>
    <row r="24" spans="2:27" ht="12.75">
      <c r="B24" s="361"/>
      <c r="C24" s="350">
        <f>+C23-C22</f>
        <v>0</v>
      </c>
      <c r="D24" s="350">
        <f>+D23-D22</f>
        <v>0</v>
      </c>
      <c r="E24" s="350">
        <f>+E23-E22</f>
        <v>0</v>
      </c>
      <c r="F24" s="350"/>
      <c r="G24" s="350"/>
      <c r="H24" s="350"/>
      <c r="I24" s="350"/>
      <c r="J24" s="350"/>
      <c r="K24" s="367"/>
      <c r="L24" s="350"/>
      <c r="M24" s="350"/>
      <c r="N24" s="350"/>
      <c r="O24" s="350"/>
      <c r="P24" s="349"/>
      <c r="Q24" s="352"/>
      <c r="R24" s="352"/>
      <c r="S24" s="352"/>
      <c r="T24" s="343"/>
      <c r="U24" s="343"/>
      <c r="V24" s="344"/>
      <c r="W24" s="361"/>
      <c r="AA24" s="237"/>
    </row>
    <row r="25" spans="2:27" ht="38.25" customHeight="1">
      <c r="B25" s="363" t="str">
        <f>+4_mell!B16</f>
        <v>Városi Művelődési Központ és Könyvtár</v>
      </c>
      <c r="C25" s="579"/>
      <c r="D25" s="579"/>
      <c r="E25" s="579"/>
      <c r="F25" s="579"/>
      <c r="G25" s="345"/>
      <c r="H25" s="345"/>
      <c r="I25" s="345"/>
      <c r="J25" s="345"/>
      <c r="K25" s="580"/>
      <c r="L25" s="579"/>
      <c r="M25" s="579"/>
      <c r="N25" s="579"/>
      <c r="O25" s="345"/>
      <c r="P25" s="581"/>
      <c r="Q25" s="346"/>
      <c r="R25" s="346"/>
      <c r="S25" s="346"/>
      <c r="T25" s="346"/>
      <c r="U25" s="346"/>
      <c r="V25" s="355"/>
      <c r="W25" s="375"/>
      <c r="X25" s="272"/>
      <c r="AA25" s="237"/>
    </row>
    <row r="26" spans="2:27" ht="12.75">
      <c r="B26" s="364" t="s">
        <v>281</v>
      </c>
      <c r="C26" s="343">
        <v>4033</v>
      </c>
      <c r="D26" s="343">
        <v>1089</v>
      </c>
      <c r="E26" s="343">
        <v>1990</v>
      </c>
      <c r="F26" s="356">
        <f>SUM(C26:E26)</f>
        <v>7112</v>
      </c>
      <c r="G26" s="350"/>
      <c r="H26" s="350"/>
      <c r="I26" s="350"/>
      <c r="J26" s="350"/>
      <c r="K26" s="367">
        <f>SUM(F26:J26)</f>
        <v>7112</v>
      </c>
      <c r="L26" s="350">
        <v>1500</v>
      </c>
      <c r="M26" s="350"/>
      <c r="N26" s="350"/>
      <c r="O26" s="350"/>
      <c r="P26" s="381">
        <v>6853</v>
      </c>
      <c r="Q26" s="352"/>
      <c r="R26" s="352"/>
      <c r="S26" s="352"/>
      <c r="T26" s="343"/>
      <c r="U26" s="343"/>
      <c r="V26" s="344">
        <f>-1219-22</f>
        <v>-1241</v>
      </c>
      <c r="W26" s="365">
        <f>SUM(L26:V26)</f>
        <v>7112</v>
      </c>
      <c r="X26" s="236"/>
      <c r="AA26" s="237"/>
    </row>
    <row r="27" spans="2:27" ht="12.75">
      <c r="B27" s="364" t="s">
        <v>282</v>
      </c>
      <c r="C27" s="343"/>
      <c r="D27" s="343"/>
      <c r="E27" s="343">
        <v>786</v>
      </c>
      <c r="F27" s="356">
        <f>SUM(C27:E27)</f>
        <v>786</v>
      </c>
      <c r="G27" s="350"/>
      <c r="H27" s="350"/>
      <c r="I27" s="350"/>
      <c r="J27" s="350"/>
      <c r="K27" s="367">
        <f>SUM(F27:J27)</f>
        <v>786</v>
      </c>
      <c r="L27" s="350"/>
      <c r="M27" s="350"/>
      <c r="N27" s="350"/>
      <c r="O27" s="350"/>
      <c r="P27" s="349"/>
      <c r="Q27" s="352"/>
      <c r="R27" s="352">
        <v>786</v>
      </c>
      <c r="S27" s="352"/>
      <c r="T27" s="343"/>
      <c r="U27" s="343"/>
      <c r="V27" s="344"/>
      <c r="W27" s="365">
        <f>SUM(L27:V27)</f>
        <v>786</v>
      </c>
      <c r="X27" s="236"/>
      <c r="AA27" s="237"/>
    </row>
    <row r="28" spans="2:27" ht="12.75">
      <c r="B28" s="364" t="s">
        <v>283</v>
      </c>
      <c r="C28" s="343">
        <v>5376</v>
      </c>
      <c r="D28" s="343">
        <v>1450</v>
      </c>
      <c r="E28" s="343">
        <f>1148+700</f>
        <v>1848</v>
      </c>
      <c r="F28" s="356">
        <f>SUM(C28:E28)</f>
        <v>8674</v>
      </c>
      <c r="G28" s="350"/>
      <c r="H28" s="350"/>
      <c r="I28" s="350"/>
      <c r="J28" s="350"/>
      <c r="K28" s="367">
        <f>SUM(F28:J28)</f>
        <v>8674</v>
      </c>
      <c r="L28" s="350"/>
      <c r="M28" s="350"/>
      <c r="N28" s="350"/>
      <c r="O28" s="350"/>
      <c r="P28" s="381"/>
      <c r="Q28" s="352"/>
      <c r="R28" s="352">
        <f>7974-1219+700-22</f>
        <v>7433</v>
      </c>
      <c r="S28" s="352"/>
      <c r="T28" s="343"/>
      <c r="U28" s="343"/>
      <c r="V28" s="344">
        <f>1219+22</f>
        <v>1241</v>
      </c>
      <c r="W28" s="365">
        <f>SUM(L28:V28)</f>
        <v>8674</v>
      </c>
      <c r="X28" s="236"/>
      <c r="AA28" s="237"/>
    </row>
    <row r="29" spans="2:27" ht="12.75">
      <c r="B29" s="364" t="s">
        <v>284</v>
      </c>
      <c r="C29" s="343"/>
      <c r="D29" s="343"/>
      <c r="E29" s="343">
        <v>1710</v>
      </c>
      <c r="F29" s="356">
        <f>SUM(C29:E29)</f>
        <v>1710</v>
      </c>
      <c r="G29" s="350"/>
      <c r="H29" s="350"/>
      <c r="I29" s="350"/>
      <c r="J29" s="350"/>
      <c r="K29" s="367">
        <f>SUM(F29:J29)</f>
        <v>1710</v>
      </c>
      <c r="L29" s="350"/>
      <c r="M29" s="350"/>
      <c r="N29" s="350"/>
      <c r="O29" s="350"/>
      <c r="P29" s="349"/>
      <c r="Q29" s="352"/>
      <c r="R29" s="352">
        <v>1710</v>
      </c>
      <c r="S29" s="352"/>
      <c r="T29" s="343"/>
      <c r="U29" s="343"/>
      <c r="V29" s="344"/>
      <c r="W29" s="365">
        <f>SUM(L29:V29)</f>
        <v>1710</v>
      </c>
      <c r="X29" s="236"/>
      <c r="AA29" s="237"/>
    </row>
    <row r="30" spans="2:27" ht="13.5" thickBot="1">
      <c r="B30" s="364" t="s">
        <v>285</v>
      </c>
      <c r="C30" s="343"/>
      <c r="D30" s="343"/>
      <c r="E30" s="343">
        <v>3236</v>
      </c>
      <c r="F30" s="356">
        <f>SUM(C30:E30)</f>
        <v>3236</v>
      </c>
      <c r="G30" s="350"/>
      <c r="H30" s="350"/>
      <c r="I30" s="350"/>
      <c r="J30" s="350"/>
      <c r="K30" s="367">
        <f>SUM(F30:J30)</f>
        <v>3236</v>
      </c>
      <c r="L30" s="350">
        <v>700</v>
      </c>
      <c r="M30" s="350"/>
      <c r="N30" s="350"/>
      <c r="O30" s="350"/>
      <c r="P30" s="349"/>
      <c r="Q30" s="352"/>
      <c r="R30" s="352">
        <v>2536</v>
      </c>
      <c r="S30" s="352"/>
      <c r="T30" s="343"/>
      <c r="U30" s="343"/>
      <c r="V30" s="344"/>
      <c r="W30" s="365">
        <f>SUM(L30:V30)</f>
        <v>3236</v>
      </c>
      <c r="X30" s="236"/>
      <c r="AA30" s="237"/>
    </row>
    <row r="31" spans="2:27" s="273" customFormat="1" ht="13.5" thickBot="1">
      <c r="B31" s="376" t="s">
        <v>269</v>
      </c>
      <c r="C31" s="377">
        <f aca="true" t="shared" si="4" ref="C31:L31">SUM(C26:C30)</f>
        <v>9409</v>
      </c>
      <c r="D31" s="377">
        <f t="shared" si="4"/>
        <v>2539</v>
      </c>
      <c r="E31" s="377">
        <f t="shared" si="4"/>
        <v>9570</v>
      </c>
      <c r="F31" s="379">
        <f t="shared" si="4"/>
        <v>21518</v>
      </c>
      <c r="G31" s="377">
        <f t="shared" si="4"/>
        <v>0</v>
      </c>
      <c r="H31" s="377">
        <f t="shared" si="4"/>
        <v>0</v>
      </c>
      <c r="I31" s="377">
        <f t="shared" si="4"/>
        <v>0</v>
      </c>
      <c r="J31" s="377">
        <f t="shared" si="4"/>
        <v>0</v>
      </c>
      <c r="K31" s="378">
        <f t="shared" si="4"/>
        <v>21518</v>
      </c>
      <c r="L31" s="379">
        <f t="shared" si="4"/>
        <v>2200</v>
      </c>
      <c r="M31" s="379">
        <f aca="true" t="shared" si="5" ref="M31:V31">SUM(M26:M30)</f>
        <v>0</v>
      </c>
      <c r="N31" s="379"/>
      <c r="O31" s="379">
        <f t="shared" si="5"/>
        <v>0</v>
      </c>
      <c r="P31" s="383">
        <f t="shared" si="5"/>
        <v>6853</v>
      </c>
      <c r="Q31" s="379">
        <f t="shared" si="5"/>
        <v>0</v>
      </c>
      <c r="R31" s="379">
        <f t="shared" si="5"/>
        <v>12465</v>
      </c>
      <c r="S31" s="379">
        <f t="shared" si="5"/>
        <v>0</v>
      </c>
      <c r="T31" s="379">
        <f t="shared" si="5"/>
        <v>0</v>
      </c>
      <c r="U31" s="379"/>
      <c r="V31" s="384">
        <f t="shared" si="5"/>
        <v>0</v>
      </c>
      <c r="W31" s="378">
        <f>SUM(W26:W30)</f>
        <v>21518</v>
      </c>
      <c r="AA31" s="280"/>
    </row>
    <row r="32" spans="3:27" ht="13.5" customHeight="1">
      <c r="C32" s="235">
        <f>+4_mell!D16</f>
        <v>9409</v>
      </c>
      <c r="D32" s="235">
        <f>+4_mell!E16</f>
        <v>2539</v>
      </c>
      <c r="E32" s="235">
        <f>+4_mell!F16</f>
        <v>9570</v>
      </c>
      <c r="F32" s="236">
        <f>SUM(C32:E32)</f>
        <v>21518</v>
      </c>
      <c r="G32" s="236"/>
      <c r="H32" s="236"/>
      <c r="I32" s="236"/>
      <c r="J32" s="236"/>
      <c r="K32" s="236">
        <f>+4_mell!M16</f>
        <v>21518</v>
      </c>
      <c r="L32" s="236">
        <f>+3_mell!D15</f>
        <v>1290</v>
      </c>
      <c r="M32" s="236"/>
      <c r="N32" s="236"/>
      <c r="O32" s="236"/>
      <c r="Q32" s="237">
        <f>+3_mell!J15</f>
        <v>17458</v>
      </c>
      <c r="R32" s="237">
        <f>SUM(P31:R31)</f>
        <v>19318</v>
      </c>
      <c r="S32" s="237"/>
      <c r="AA32" s="237"/>
    </row>
    <row r="33" spans="6:27" ht="9.75" customHeight="1" thickBot="1"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Q33" s="237"/>
      <c r="R33" s="237"/>
      <c r="S33" s="237"/>
      <c r="AA33" s="237"/>
    </row>
    <row r="34" spans="2:23" ht="13.5" thickBot="1">
      <c r="B34" s="281" t="s">
        <v>293</v>
      </c>
      <c r="C34" s="761" t="s">
        <v>171</v>
      </c>
      <c r="D34" s="759"/>
      <c r="E34" s="759"/>
      <c r="F34" s="759"/>
      <c r="G34" s="759"/>
      <c r="H34" s="759"/>
      <c r="I34" s="759"/>
      <c r="J34" s="759"/>
      <c r="K34" s="760"/>
      <c r="L34" s="761" t="s">
        <v>294</v>
      </c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60"/>
    </row>
    <row r="35" spans="2:23" ht="13.5" thickBot="1">
      <c r="B35" s="359"/>
      <c r="C35" s="358"/>
      <c r="D35" s="358"/>
      <c r="E35" s="358"/>
      <c r="F35" s="358"/>
      <c r="G35" s="358"/>
      <c r="H35" s="358"/>
      <c r="I35" s="358"/>
      <c r="J35" s="358"/>
      <c r="K35" s="359"/>
      <c r="L35" s="357"/>
      <c r="M35" s="358"/>
      <c r="N35" s="358"/>
      <c r="O35" s="387"/>
      <c r="P35" s="762" t="s">
        <v>278</v>
      </c>
      <c r="Q35" s="763"/>
      <c r="R35" s="763"/>
      <c r="S35" s="763"/>
      <c r="T35" s="763"/>
      <c r="U35" s="763"/>
      <c r="V35" s="764"/>
      <c r="W35" s="388"/>
    </row>
    <row r="36" spans="2:23" s="272" customFormat="1" ht="77.25" thickBot="1">
      <c r="B36" s="368" t="s">
        <v>270</v>
      </c>
      <c r="C36" s="583" t="s">
        <v>52</v>
      </c>
      <c r="D36" s="583" t="s">
        <v>231</v>
      </c>
      <c r="E36" s="583" t="s">
        <v>232</v>
      </c>
      <c r="F36" s="583" t="s">
        <v>57</v>
      </c>
      <c r="G36" s="389" t="s">
        <v>274</v>
      </c>
      <c r="H36" s="389" t="s">
        <v>275</v>
      </c>
      <c r="I36" s="389" t="s">
        <v>58</v>
      </c>
      <c r="J36" s="389" t="s">
        <v>9</v>
      </c>
      <c r="K36" s="584" t="s">
        <v>276</v>
      </c>
      <c r="L36" s="585" t="s">
        <v>247</v>
      </c>
      <c r="M36" s="583" t="s">
        <v>246</v>
      </c>
      <c r="N36" s="389" t="s">
        <v>490</v>
      </c>
      <c r="O36" s="389" t="s">
        <v>245</v>
      </c>
      <c r="P36" s="585" t="s">
        <v>262</v>
      </c>
      <c r="Q36" s="390" t="s">
        <v>286</v>
      </c>
      <c r="R36" s="390" t="s">
        <v>287</v>
      </c>
      <c r="S36" s="391" t="s">
        <v>288</v>
      </c>
      <c r="T36" s="390" t="s">
        <v>290</v>
      </c>
      <c r="U36" s="391" t="s">
        <v>291</v>
      </c>
      <c r="V36" s="392" t="s">
        <v>289</v>
      </c>
      <c r="W36" s="393" t="s">
        <v>292</v>
      </c>
    </row>
    <row r="37" spans="2:27" s="272" customFormat="1" ht="12" customHeight="1">
      <c r="B37" s="375"/>
      <c r="C37" s="579"/>
      <c r="D37" s="579"/>
      <c r="E37" s="579"/>
      <c r="F37" s="579"/>
      <c r="G37" s="345"/>
      <c r="H37" s="345"/>
      <c r="I37" s="345"/>
      <c r="J37" s="345"/>
      <c r="K37" s="580"/>
      <c r="L37" s="581"/>
      <c r="M37" s="579"/>
      <c r="N37" s="579"/>
      <c r="O37" s="345"/>
      <c r="P37" s="581"/>
      <c r="Q37" s="346"/>
      <c r="R37" s="346"/>
      <c r="S37" s="346"/>
      <c r="T37" s="346"/>
      <c r="U37" s="346"/>
      <c r="V37" s="355"/>
      <c r="W37" s="348"/>
      <c r="AA37" s="274"/>
    </row>
    <row r="38" spans="2:24" ht="25.5">
      <c r="B38" s="586" t="s">
        <v>250</v>
      </c>
      <c r="C38" s="239"/>
      <c r="D38" s="239"/>
      <c r="E38" s="239">
        <v>898</v>
      </c>
      <c r="F38" s="587">
        <f>SUM(C38:E38)</f>
        <v>898</v>
      </c>
      <c r="G38" s="587"/>
      <c r="H38" s="587"/>
      <c r="I38" s="587"/>
      <c r="J38" s="587"/>
      <c r="K38" s="588">
        <f>SUM(F38:J38)</f>
        <v>898</v>
      </c>
      <c r="L38" s="349"/>
      <c r="M38" s="343"/>
      <c r="N38" s="343"/>
      <c r="O38" s="343"/>
      <c r="P38" s="349"/>
      <c r="Q38" s="343"/>
      <c r="R38" s="343">
        <v>898</v>
      </c>
      <c r="S38" s="343"/>
      <c r="T38" s="343"/>
      <c r="U38" s="343"/>
      <c r="V38" s="344">
        <v>0</v>
      </c>
      <c r="W38" s="351">
        <f>SUM(L38:V38)</f>
        <v>898</v>
      </c>
      <c r="X38" s="236"/>
    </row>
    <row r="39" spans="2:24" ht="51">
      <c r="B39" s="589" t="s">
        <v>251</v>
      </c>
      <c r="C39" s="239"/>
      <c r="D39" s="239"/>
      <c r="E39" s="239">
        <f>28+900</f>
        <v>928</v>
      </c>
      <c r="F39" s="587">
        <f aca="true" t="shared" si="6" ref="F39:F49">SUM(C39:E39)</f>
        <v>928</v>
      </c>
      <c r="G39" s="587"/>
      <c r="H39" s="587"/>
      <c r="I39" s="587"/>
      <c r="J39" s="587"/>
      <c r="K39" s="588">
        <f aca="true" t="shared" si="7" ref="K39:K49">SUM(F39:J39)</f>
        <v>928</v>
      </c>
      <c r="L39" s="349"/>
      <c r="M39" s="343"/>
      <c r="N39" s="343"/>
      <c r="O39" s="343"/>
      <c r="P39" s="349">
        <v>13</v>
      </c>
      <c r="Q39" s="343">
        <v>900</v>
      </c>
      <c r="R39" s="343">
        <v>15</v>
      </c>
      <c r="S39" s="343"/>
      <c r="T39" s="343"/>
      <c r="U39" s="343"/>
      <c r="V39" s="344">
        <v>0</v>
      </c>
      <c r="W39" s="351">
        <f aca="true" t="shared" si="8" ref="W39:W49">SUM(L39:V39)</f>
        <v>928</v>
      </c>
      <c r="X39" s="236"/>
    </row>
    <row r="40" spans="2:24" ht="51">
      <c r="B40" s="590" t="s">
        <v>252</v>
      </c>
      <c r="C40" s="239"/>
      <c r="D40" s="239"/>
      <c r="E40" s="239">
        <v>802</v>
      </c>
      <c r="F40" s="587">
        <f t="shared" si="6"/>
        <v>802</v>
      </c>
      <c r="G40" s="587"/>
      <c r="H40" s="587"/>
      <c r="I40" s="587"/>
      <c r="J40" s="587"/>
      <c r="K40" s="588">
        <f t="shared" si="7"/>
        <v>802</v>
      </c>
      <c r="L40" s="349"/>
      <c r="M40" s="343"/>
      <c r="N40" s="343"/>
      <c r="O40" s="343"/>
      <c r="P40" s="381">
        <v>15804</v>
      </c>
      <c r="Q40" s="343"/>
      <c r="R40" s="343"/>
      <c r="S40" s="343"/>
      <c r="T40" s="343"/>
      <c r="U40" s="343"/>
      <c r="V40" s="344">
        <v>-15002</v>
      </c>
      <c r="W40" s="351">
        <f t="shared" si="8"/>
        <v>802</v>
      </c>
      <c r="X40" s="236"/>
    </row>
    <row r="41" spans="2:24" ht="19.5" customHeight="1">
      <c r="B41" s="385" t="s">
        <v>253</v>
      </c>
      <c r="C41" s="239">
        <v>16044</v>
      </c>
      <c r="D41" s="239">
        <v>4332</v>
      </c>
      <c r="E41" s="239">
        <v>64350</v>
      </c>
      <c r="F41" s="587">
        <f t="shared" si="6"/>
        <v>84726</v>
      </c>
      <c r="G41" s="587"/>
      <c r="H41" s="587"/>
      <c r="I41" s="587"/>
      <c r="J41" s="587"/>
      <c r="K41" s="588">
        <f t="shared" si="7"/>
        <v>84726</v>
      </c>
      <c r="L41" s="591">
        <v>68271</v>
      </c>
      <c r="M41" s="343"/>
      <c r="N41" s="343"/>
      <c r="O41" s="343"/>
      <c r="P41" s="349"/>
      <c r="Q41" s="343"/>
      <c r="R41" s="343">
        <f>16455-15002</f>
        <v>1453</v>
      </c>
      <c r="S41" s="343"/>
      <c r="T41" s="343"/>
      <c r="U41" s="343"/>
      <c r="V41" s="344">
        <v>15002</v>
      </c>
      <c r="W41" s="351">
        <f t="shared" si="8"/>
        <v>84726</v>
      </c>
      <c r="X41" s="236"/>
    </row>
    <row r="42" spans="2:24" ht="38.25">
      <c r="B42" s="589" t="s">
        <v>254</v>
      </c>
      <c r="C42" s="239"/>
      <c r="D42" s="239"/>
      <c r="E42" s="239">
        <v>2807</v>
      </c>
      <c r="F42" s="587">
        <f t="shared" si="6"/>
        <v>2807</v>
      </c>
      <c r="G42" s="587"/>
      <c r="H42" s="587"/>
      <c r="I42" s="587"/>
      <c r="J42" s="587"/>
      <c r="K42" s="588">
        <f t="shared" si="7"/>
        <v>2807</v>
      </c>
      <c r="L42" s="349">
        <v>4210</v>
      </c>
      <c r="M42" s="343"/>
      <c r="N42" s="343"/>
      <c r="O42" s="343"/>
      <c r="P42" s="349"/>
      <c r="Q42" s="343"/>
      <c r="R42" s="343"/>
      <c r="S42" s="343"/>
      <c r="T42" s="343"/>
      <c r="U42" s="343"/>
      <c r="V42" s="344">
        <v>-1403</v>
      </c>
      <c r="W42" s="351">
        <f t="shared" si="8"/>
        <v>2807</v>
      </c>
      <c r="X42" s="236"/>
    </row>
    <row r="43" spans="2:24" ht="38.25">
      <c r="B43" s="590" t="s">
        <v>255</v>
      </c>
      <c r="C43" s="239"/>
      <c r="D43" s="239"/>
      <c r="E43" s="239">
        <v>2713</v>
      </c>
      <c r="F43" s="587">
        <f t="shared" si="6"/>
        <v>2713</v>
      </c>
      <c r="G43" s="587"/>
      <c r="H43" s="587"/>
      <c r="I43" s="587"/>
      <c r="J43" s="587"/>
      <c r="K43" s="588">
        <f t="shared" si="7"/>
        <v>2713</v>
      </c>
      <c r="L43" s="349">
        <v>10747</v>
      </c>
      <c r="M43" s="343"/>
      <c r="N43" s="343"/>
      <c r="O43" s="343"/>
      <c r="P43" s="349"/>
      <c r="Q43" s="343"/>
      <c r="R43" s="343"/>
      <c r="S43" s="343"/>
      <c r="T43" s="343"/>
      <c r="U43" s="343"/>
      <c r="V43" s="344">
        <v>-8034</v>
      </c>
      <c r="W43" s="351">
        <f t="shared" si="8"/>
        <v>2713</v>
      </c>
      <c r="X43" s="236"/>
    </row>
    <row r="44" spans="2:24" ht="25.5">
      <c r="B44" s="590" t="s">
        <v>256</v>
      </c>
      <c r="C44" s="239"/>
      <c r="D44" s="239"/>
      <c r="E44" s="239">
        <v>3048</v>
      </c>
      <c r="F44" s="587">
        <f t="shared" si="6"/>
        <v>3048</v>
      </c>
      <c r="G44" s="587"/>
      <c r="H44" s="587"/>
      <c r="I44" s="587"/>
      <c r="J44" s="587"/>
      <c r="K44" s="588">
        <f t="shared" si="7"/>
        <v>3048</v>
      </c>
      <c r="L44" s="349"/>
      <c r="M44" s="343"/>
      <c r="N44" s="343"/>
      <c r="O44" s="343"/>
      <c r="P44" s="349"/>
      <c r="Q44" s="343"/>
      <c r="R44" s="343">
        <f>3048-1403</f>
        <v>1645</v>
      </c>
      <c r="S44" s="343"/>
      <c r="T44" s="343"/>
      <c r="U44" s="343"/>
      <c r="V44" s="344">
        <v>1403</v>
      </c>
      <c r="W44" s="351">
        <f t="shared" si="8"/>
        <v>3048</v>
      </c>
      <c r="X44" s="236"/>
    </row>
    <row r="45" spans="2:24" ht="38.25">
      <c r="B45" s="590" t="s">
        <v>257</v>
      </c>
      <c r="C45" s="239">
        <v>22976</v>
      </c>
      <c r="D45" s="239">
        <v>6219</v>
      </c>
      <c r="E45" s="239">
        <v>15794</v>
      </c>
      <c r="F45" s="587">
        <f t="shared" si="6"/>
        <v>44989</v>
      </c>
      <c r="G45" s="587"/>
      <c r="H45" s="587"/>
      <c r="I45" s="587"/>
      <c r="J45" s="587"/>
      <c r="K45" s="588">
        <f t="shared" si="7"/>
        <v>44989</v>
      </c>
      <c r="L45" s="349"/>
      <c r="M45" s="343"/>
      <c r="N45" s="343"/>
      <c r="O45" s="343"/>
      <c r="P45" s="381">
        <f>55854-36902+16243</f>
        <v>35195</v>
      </c>
      <c r="Q45" s="343"/>
      <c r="R45" s="343">
        <f>9794-3513</f>
        <v>6281</v>
      </c>
      <c r="S45" s="343"/>
      <c r="T45" s="343"/>
      <c r="U45" s="343"/>
      <c r="V45" s="344">
        <v>3513</v>
      </c>
      <c r="W45" s="351">
        <f t="shared" si="8"/>
        <v>44989</v>
      </c>
      <c r="X45" s="236"/>
    </row>
    <row r="46" spans="2:24" ht="12.75">
      <c r="B46" s="385" t="s">
        <v>258</v>
      </c>
      <c r="C46" s="239"/>
      <c r="D46" s="239"/>
      <c r="E46" s="239">
        <v>31284</v>
      </c>
      <c r="F46" s="587">
        <f t="shared" si="6"/>
        <v>31284</v>
      </c>
      <c r="G46" s="587"/>
      <c r="H46" s="587"/>
      <c r="I46" s="587"/>
      <c r="J46" s="587"/>
      <c r="K46" s="588">
        <f t="shared" si="7"/>
        <v>31284</v>
      </c>
      <c r="L46" s="349"/>
      <c r="M46" s="343"/>
      <c r="N46" s="343"/>
      <c r="O46" s="343"/>
      <c r="P46" s="381">
        <v>20985</v>
      </c>
      <c r="Q46" s="343"/>
      <c r="R46" s="343">
        <f>10299-8033</f>
        <v>2266</v>
      </c>
      <c r="S46" s="343"/>
      <c r="T46" s="343"/>
      <c r="U46" s="343"/>
      <c r="V46" s="344">
        <v>8033</v>
      </c>
      <c r="W46" s="351">
        <f t="shared" si="8"/>
        <v>31284</v>
      </c>
      <c r="X46" s="236"/>
    </row>
    <row r="47" spans="2:24" ht="38.25">
      <c r="B47" s="590" t="s">
        <v>259</v>
      </c>
      <c r="C47" s="239"/>
      <c r="D47" s="239"/>
      <c r="E47" s="239">
        <v>19</v>
      </c>
      <c r="F47" s="587">
        <f t="shared" si="6"/>
        <v>19</v>
      </c>
      <c r="G47" s="587"/>
      <c r="H47" s="587"/>
      <c r="I47" s="587"/>
      <c r="J47" s="587"/>
      <c r="K47" s="588">
        <f t="shared" si="7"/>
        <v>19</v>
      </c>
      <c r="L47" s="591">
        <v>2159</v>
      </c>
      <c r="M47" s="343"/>
      <c r="N47" s="343"/>
      <c r="O47" s="343"/>
      <c r="P47" s="349"/>
      <c r="Q47" s="343"/>
      <c r="R47" s="343"/>
      <c r="S47" s="343"/>
      <c r="T47" s="343"/>
      <c r="U47" s="343"/>
      <c r="V47" s="344">
        <v>-2140</v>
      </c>
      <c r="W47" s="351">
        <f t="shared" si="8"/>
        <v>19</v>
      </c>
      <c r="X47" s="236"/>
    </row>
    <row r="48" spans="2:24" ht="38.25">
      <c r="B48" s="590" t="s">
        <v>260</v>
      </c>
      <c r="C48" s="239">
        <v>3077</v>
      </c>
      <c r="D48" s="239">
        <v>825</v>
      </c>
      <c r="E48" s="239">
        <v>4389</v>
      </c>
      <c r="F48" s="587">
        <f t="shared" si="6"/>
        <v>8291</v>
      </c>
      <c r="G48" s="587"/>
      <c r="H48" s="587"/>
      <c r="I48" s="587"/>
      <c r="J48" s="587"/>
      <c r="K48" s="588">
        <f t="shared" si="7"/>
        <v>8291</v>
      </c>
      <c r="L48" s="349"/>
      <c r="M48" s="343"/>
      <c r="N48" s="343"/>
      <c r="O48" s="343"/>
      <c r="P48" s="349"/>
      <c r="Q48" s="343"/>
      <c r="R48" s="343">
        <v>8291</v>
      </c>
      <c r="S48" s="343"/>
      <c r="T48" s="343"/>
      <c r="U48" s="343"/>
      <c r="V48" s="344"/>
      <c r="W48" s="351">
        <f t="shared" si="8"/>
        <v>8291</v>
      </c>
      <c r="X48" s="236"/>
    </row>
    <row r="49" spans="2:24" ht="26.25" thickBot="1">
      <c r="B49" s="590" t="s">
        <v>261</v>
      </c>
      <c r="C49" s="239"/>
      <c r="D49" s="239"/>
      <c r="E49" s="239">
        <v>311</v>
      </c>
      <c r="F49" s="587">
        <f t="shared" si="6"/>
        <v>311</v>
      </c>
      <c r="G49" s="587"/>
      <c r="H49" s="587"/>
      <c r="I49" s="587"/>
      <c r="J49" s="587"/>
      <c r="K49" s="588">
        <f t="shared" si="7"/>
        <v>311</v>
      </c>
      <c r="L49" s="349">
        <v>381</v>
      </c>
      <c r="M49" s="343"/>
      <c r="N49" s="343"/>
      <c r="O49" s="343"/>
      <c r="P49" s="381">
        <v>100</v>
      </c>
      <c r="Q49" s="343"/>
      <c r="R49" s="343"/>
      <c r="S49" s="343"/>
      <c r="T49" s="343"/>
      <c r="U49" s="343"/>
      <c r="V49" s="344">
        <v>-170</v>
      </c>
      <c r="W49" s="351">
        <f t="shared" si="8"/>
        <v>311</v>
      </c>
      <c r="X49" s="236"/>
    </row>
    <row r="50" spans="2:24" ht="13.5" thickBot="1">
      <c r="B50" s="592" t="s">
        <v>249</v>
      </c>
      <c r="C50" s="593">
        <f aca="true" t="shared" si="9" ref="C50:L50">SUM(C38:C49)</f>
        <v>42097</v>
      </c>
      <c r="D50" s="593">
        <f t="shared" si="9"/>
        <v>11376</v>
      </c>
      <c r="E50" s="593">
        <f t="shared" si="9"/>
        <v>127343</v>
      </c>
      <c r="F50" s="593">
        <f t="shared" si="9"/>
        <v>180816</v>
      </c>
      <c r="G50" s="593">
        <f t="shared" si="9"/>
        <v>0</v>
      </c>
      <c r="H50" s="593">
        <f t="shared" si="9"/>
        <v>0</v>
      </c>
      <c r="I50" s="593">
        <f t="shared" si="9"/>
        <v>0</v>
      </c>
      <c r="J50" s="593">
        <f t="shared" si="9"/>
        <v>0</v>
      </c>
      <c r="K50" s="594">
        <f t="shared" si="9"/>
        <v>180816</v>
      </c>
      <c r="L50" s="595">
        <f t="shared" si="9"/>
        <v>85768</v>
      </c>
      <c r="M50" s="593">
        <f aca="true" t="shared" si="10" ref="M50:U50">SUM(M38:M49)</f>
        <v>0</v>
      </c>
      <c r="N50" s="593"/>
      <c r="O50" s="593">
        <f t="shared" si="10"/>
        <v>0</v>
      </c>
      <c r="P50" s="595">
        <f t="shared" si="10"/>
        <v>72097</v>
      </c>
      <c r="Q50" s="593">
        <f t="shared" si="10"/>
        <v>900</v>
      </c>
      <c r="R50" s="593">
        <f t="shared" si="10"/>
        <v>20849</v>
      </c>
      <c r="S50" s="593">
        <f t="shared" si="10"/>
        <v>0</v>
      </c>
      <c r="T50" s="593">
        <f t="shared" si="10"/>
        <v>0</v>
      </c>
      <c r="U50" s="593">
        <f t="shared" si="10"/>
        <v>0</v>
      </c>
      <c r="V50" s="596">
        <f>SUM(V38:V49)</f>
        <v>1202</v>
      </c>
      <c r="W50" s="596">
        <f>SUM(W38:W49)</f>
        <v>180816</v>
      </c>
      <c r="X50" s="597"/>
    </row>
    <row r="51" spans="2:18" ht="17.25" customHeight="1" thickBot="1">
      <c r="B51" s="277"/>
      <c r="C51" s="277">
        <f>+4_mell!D6</f>
        <v>42097</v>
      </c>
      <c r="D51" s="277">
        <f>+4_mell!E6</f>
        <v>11376</v>
      </c>
      <c r="E51" s="238">
        <f>+4_mell!F7</f>
        <v>127343</v>
      </c>
      <c r="F51" s="277">
        <f>SUM(C50:E50)</f>
        <v>180816</v>
      </c>
      <c r="G51" s="277"/>
      <c r="H51" s="277"/>
      <c r="I51" s="277"/>
      <c r="J51" s="277"/>
      <c r="K51" s="277">
        <f>+4_mell!M6</f>
        <v>179916</v>
      </c>
      <c r="L51" s="235">
        <f>+3_mell!D5</f>
        <v>87890</v>
      </c>
      <c r="R51" s="238"/>
    </row>
    <row r="52" spans="2:11" ht="13.5" hidden="1" thickBot="1">
      <c r="B52" s="277"/>
      <c r="C52" s="277"/>
      <c r="D52" s="277"/>
      <c r="E52" s="238">
        <f>+E51-E50</f>
        <v>0</v>
      </c>
      <c r="F52" s="277"/>
      <c r="G52" s="277"/>
      <c r="H52" s="277"/>
      <c r="I52" s="277"/>
      <c r="J52" s="277"/>
      <c r="K52" s="277"/>
    </row>
    <row r="53" spans="2:23" ht="13.5" thickBot="1">
      <c r="B53" s="281" t="s">
        <v>293</v>
      </c>
      <c r="C53" s="761" t="s">
        <v>171</v>
      </c>
      <c r="D53" s="759"/>
      <c r="E53" s="759"/>
      <c r="F53" s="759"/>
      <c r="G53" s="759"/>
      <c r="H53" s="759"/>
      <c r="I53" s="759"/>
      <c r="J53" s="759"/>
      <c r="K53" s="760"/>
      <c r="L53" s="759" t="s">
        <v>294</v>
      </c>
      <c r="M53" s="759"/>
      <c r="N53" s="759"/>
      <c r="O53" s="759"/>
      <c r="P53" s="759"/>
      <c r="Q53" s="759"/>
      <c r="R53" s="759"/>
      <c r="S53" s="759"/>
      <c r="T53" s="759"/>
      <c r="U53" s="759"/>
      <c r="V53" s="759"/>
      <c r="W53" s="760"/>
    </row>
    <row r="54" spans="2:23" ht="13.5" thickBot="1">
      <c r="B54" s="359"/>
      <c r="C54" s="357"/>
      <c r="D54" s="358"/>
      <c r="E54" s="358"/>
      <c r="F54" s="358"/>
      <c r="G54" s="358"/>
      <c r="H54" s="358"/>
      <c r="I54" s="358"/>
      <c r="J54" s="358"/>
      <c r="K54" s="401"/>
      <c r="L54" s="358"/>
      <c r="M54" s="358"/>
      <c r="N54" s="576"/>
      <c r="O54" s="343"/>
      <c r="P54" s="762" t="s">
        <v>278</v>
      </c>
      <c r="Q54" s="763"/>
      <c r="R54" s="763"/>
      <c r="S54" s="763"/>
      <c r="T54" s="763"/>
      <c r="U54" s="763"/>
      <c r="V54" s="764"/>
      <c r="W54" s="373"/>
    </row>
    <row r="55" spans="2:23" s="272" customFormat="1" ht="76.5">
      <c r="B55" s="598" t="s">
        <v>68</v>
      </c>
      <c r="C55" s="581" t="s">
        <v>52</v>
      </c>
      <c r="D55" s="579" t="s">
        <v>231</v>
      </c>
      <c r="E55" s="579" t="s">
        <v>232</v>
      </c>
      <c r="F55" s="579" t="s">
        <v>57</v>
      </c>
      <c r="G55" s="345" t="s">
        <v>274</v>
      </c>
      <c r="H55" s="345" t="s">
        <v>275</v>
      </c>
      <c r="I55" s="345" t="s">
        <v>58</v>
      </c>
      <c r="J55" s="345" t="s">
        <v>9</v>
      </c>
      <c r="K55" s="599" t="s">
        <v>276</v>
      </c>
      <c r="L55" s="579" t="s">
        <v>247</v>
      </c>
      <c r="M55" s="579" t="s">
        <v>246</v>
      </c>
      <c r="N55" s="345" t="s">
        <v>490</v>
      </c>
      <c r="O55" s="345" t="s">
        <v>245</v>
      </c>
      <c r="P55" s="581" t="s">
        <v>262</v>
      </c>
      <c r="Q55" s="346" t="s">
        <v>286</v>
      </c>
      <c r="R55" s="346" t="s">
        <v>287</v>
      </c>
      <c r="S55" s="347" t="s">
        <v>288</v>
      </c>
      <c r="T55" s="346" t="s">
        <v>290</v>
      </c>
      <c r="U55" s="347" t="s">
        <v>291</v>
      </c>
      <c r="V55" s="386" t="s">
        <v>289</v>
      </c>
      <c r="W55" s="360" t="s">
        <v>292</v>
      </c>
    </row>
    <row r="56" spans="2:23" ht="12.75">
      <c r="B56" s="405"/>
      <c r="C56" s="402"/>
      <c r="D56" s="395"/>
      <c r="E56" s="600"/>
      <c r="F56" s="395"/>
      <c r="G56" s="395"/>
      <c r="H56" s="395"/>
      <c r="I56" s="395"/>
      <c r="J56" s="395"/>
      <c r="K56" s="396"/>
      <c r="L56" s="343"/>
      <c r="M56" s="343"/>
      <c r="N56" s="343"/>
      <c r="O56" s="343"/>
      <c r="P56" s="349"/>
      <c r="Q56" s="343"/>
      <c r="R56" s="343"/>
      <c r="S56" s="343"/>
      <c r="T56" s="343"/>
      <c r="U56" s="343"/>
      <c r="V56" s="344"/>
      <c r="W56" s="403"/>
    </row>
    <row r="57" spans="2:23" ht="12.75">
      <c r="B57" s="361"/>
      <c r="C57" s="581"/>
      <c r="D57" s="579"/>
      <c r="E57" s="579"/>
      <c r="F57" s="579"/>
      <c r="G57" s="345"/>
      <c r="H57" s="345"/>
      <c r="I57" s="345"/>
      <c r="J57" s="345"/>
      <c r="K57" s="599"/>
      <c r="L57" s="579"/>
      <c r="M57" s="579"/>
      <c r="N57" s="579"/>
      <c r="O57" s="345"/>
      <c r="P57" s="581"/>
      <c r="Q57" s="346"/>
      <c r="R57" s="346"/>
      <c r="S57" s="346"/>
      <c r="T57" s="346"/>
      <c r="U57" s="346"/>
      <c r="V57" s="386"/>
      <c r="W57" s="403"/>
    </row>
    <row r="58" spans="2:24" ht="25.5">
      <c r="B58" s="590" t="s">
        <v>271</v>
      </c>
      <c r="C58" s="601">
        <f>+4_mell!D30</f>
        <v>104440</v>
      </c>
      <c r="D58" s="600">
        <f>+4_mell!E30</f>
        <v>27923</v>
      </c>
      <c r="E58" s="600">
        <f>+4_mell!F30</f>
        <v>35344</v>
      </c>
      <c r="F58" s="600">
        <f>SUM(C58:E58)</f>
        <v>167707</v>
      </c>
      <c r="G58" s="600"/>
      <c r="H58" s="600"/>
      <c r="J58" s="600"/>
      <c r="K58" s="602">
        <f>SUM(F58:J58)</f>
        <v>167707</v>
      </c>
      <c r="L58" s="600">
        <f>+3_mell!D27</f>
        <v>2100</v>
      </c>
      <c r="M58" s="343"/>
      <c r="N58" s="343"/>
      <c r="O58" s="350"/>
      <c r="P58" s="381">
        <f>93478+279</f>
        <v>93757</v>
      </c>
      <c r="Q58" s="350">
        <v>4272</v>
      </c>
      <c r="R58" s="350">
        <f>67857-279</f>
        <v>67578</v>
      </c>
      <c r="S58" s="350"/>
      <c r="T58" s="343"/>
      <c r="U58" s="343"/>
      <c r="V58" s="406"/>
      <c r="W58" s="404">
        <f>SUM(L58:V58)</f>
        <v>167707</v>
      </c>
      <c r="X58" s="238"/>
    </row>
    <row r="59" spans="2:24" ht="12.75">
      <c r="B59" s="590" t="s">
        <v>280</v>
      </c>
      <c r="C59" s="601"/>
      <c r="D59" s="600"/>
      <c r="E59" s="600"/>
      <c r="F59" s="600">
        <f>SUM(C59:E59)</f>
        <v>0</v>
      </c>
      <c r="G59" s="600"/>
      <c r="H59" s="600"/>
      <c r="I59" s="600">
        <f>+4_mell!I30</f>
        <v>113225</v>
      </c>
      <c r="J59" s="600"/>
      <c r="K59" s="602">
        <f>SUM(F59:J59)</f>
        <v>113225</v>
      </c>
      <c r="L59" s="600"/>
      <c r="M59" s="343"/>
      <c r="N59" s="343"/>
      <c r="O59" s="350">
        <f>101903-25438</f>
        <v>76465</v>
      </c>
      <c r="P59" s="381">
        <v>36760</v>
      </c>
      <c r="Q59" s="350"/>
      <c r="R59" s="350"/>
      <c r="S59" s="350"/>
      <c r="T59" s="343"/>
      <c r="U59" s="343"/>
      <c r="V59" s="344"/>
      <c r="W59" s="404">
        <f>SUM(L59:V59)</f>
        <v>113225</v>
      </c>
      <c r="X59" s="238"/>
    </row>
    <row r="60" spans="2:24" s="273" customFormat="1" ht="12.75">
      <c r="B60" s="405" t="s">
        <v>277</v>
      </c>
      <c r="C60" s="402">
        <f>SUM(C58:C59)</f>
        <v>104440</v>
      </c>
      <c r="D60" s="395">
        <f aca="true" t="shared" si="11" ref="D60:K60">SUM(D58:D59)</f>
        <v>27923</v>
      </c>
      <c r="E60" s="395">
        <f t="shared" si="11"/>
        <v>35344</v>
      </c>
      <c r="F60" s="395">
        <f t="shared" si="11"/>
        <v>167707</v>
      </c>
      <c r="G60" s="395">
        <f t="shared" si="11"/>
        <v>0</v>
      </c>
      <c r="H60" s="395">
        <f t="shared" si="11"/>
        <v>0</v>
      </c>
      <c r="I60" s="395">
        <f>SUM(I59:I59)</f>
        <v>113225</v>
      </c>
      <c r="J60" s="395">
        <f t="shared" si="11"/>
        <v>0</v>
      </c>
      <c r="K60" s="396">
        <f t="shared" si="11"/>
        <v>280932</v>
      </c>
      <c r="L60" s="395">
        <f>SUM(L58:L59)</f>
        <v>2100</v>
      </c>
      <c r="M60" s="395">
        <f aca="true" t="shared" si="12" ref="M60:W60">SUM(M58:M59)</f>
        <v>0</v>
      </c>
      <c r="N60" s="395"/>
      <c r="O60" s="395">
        <f t="shared" si="12"/>
        <v>76465</v>
      </c>
      <c r="P60" s="402">
        <f t="shared" si="12"/>
        <v>130517</v>
      </c>
      <c r="Q60" s="395">
        <f t="shared" si="12"/>
        <v>4272</v>
      </c>
      <c r="R60" s="395">
        <f t="shared" si="12"/>
        <v>67578</v>
      </c>
      <c r="S60" s="395">
        <f t="shared" si="12"/>
        <v>0</v>
      </c>
      <c r="T60" s="395">
        <f t="shared" si="12"/>
        <v>0</v>
      </c>
      <c r="U60" s="395">
        <f t="shared" si="12"/>
        <v>0</v>
      </c>
      <c r="V60" s="396">
        <f t="shared" si="12"/>
        <v>0</v>
      </c>
      <c r="W60" s="405">
        <f t="shared" si="12"/>
        <v>280932</v>
      </c>
      <c r="X60" s="277"/>
    </row>
    <row r="61" spans="2:23" s="273" customFormat="1" ht="12.75">
      <c r="B61" s="405"/>
      <c r="C61" s="402">
        <f>+4_mell!D30</f>
        <v>104440</v>
      </c>
      <c r="D61" s="395">
        <f>+4_mell!E30</f>
        <v>27923</v>
      </c>
      <c r="E61" s="395">
        <f>+4_mell!F30</f>
        <v>35344</v>
      </c>
      <c r="F61" s="395">
        <f>SUM(C61:E61)</f>
        <v>167707</v>
      </c>
      <c r="G61" s="395"/>
      <c r="H61" s="395"/>
      <c r="I61" s="395">
        <f>+4_mell!I30</f>
        <v>113225</v>
      </c>
      <c r="J61" s="395"/>
      <c r="K61" s="396">
        <f>+4_mell!M30</f>
        <v>280932</v>
      </c>
      <c r="L61" s="395">
        <f>+3_mell!D27</f>
        <v>2100</v>
      </c>
      <c r="M61" s="395"/>
      <c r="N61" s="395"/>
      <c r="O61" s="395">
        <f>+3_mell!F27</f>
        <v>0</v>
      </c>
      <c r="P61" s="402"/>
      <c r="Q61" s="395"/>
      <c r="R61" s="395"/>
      <c r="S61" s="395"/>
      <c r="T61" s="395"/>
      <c r="U61" s="395"/>
      <c r="V61" s="396"/>
      <c r="W61" s="374"/>
    </row>
    <row r="62" spans="2:23" s="273" customFormat="1" ht="12.75">
      <c r="B62" s="374"/>
      <c r="C62" s="402"/>
      <c r="D62" s="395"/>
      <c r="E62" s="395"/>
      <c r="F62" s="395"/>
      <c r="G62" s="395"/>
      <c r="H62" s="395"/>
      <c r="I62" s="395"/>
      <c r="J62" s="395"/>
      <c r="K62" s="396"/>
      <c r="L62" s="395"/>
      <c r="M62" s="395"/>
      <c r="N62" s="395"/>
      <c r="O62" s="395"/>
      <c r="P62" s="402"/>
      <c r="Q62" s="395"/>
      <c r="R62" s="395"/>
      <c r="S62" s="395"/>
      <c r="T62" s="395"/>
      <c r="U62" s="395"/>
      <c r="V62" s="396"/>
      <c r="W62" s="374"/>
    </row>
    <row r="63" spans="2:23" ht="25.5">
      <c r="B63" s="598" t="s">
        <v>41</v>
      </c>
      <c r="C63" s="581"/>
      <c r="D63" s="579"/>
      <c r="E63" s="579"/>
      <c r="F63" s="579"/>
      <c r="G63" s="345"/>
      <c r="H63" s="345"/>
      <c r="I63" s="345"/>
      <c r="J63" s="345"/>
      <c r="K63" s="599"/>
      <c r="L63" s="579"/>
      <c r="M63" s="579"/>
      <c r="N63" s="579"/>
      <c r="O63" s="345"/>
      <c r="P63" s="581"/>
      <c r="Q63" s="346"/>
      <c r="R63" s="346"/>
      <c r="S63" s="346"/>
      <c r="T63" s="346"/>
      <c r="U63" s="346"/>
      <c r="V63" s="386"/>
      <c r="W63" s="403"/>
    </row>
    <row r="64" spans="2:24" ht="25.5">
      <c r="B64" s="400" t="s">
        <v>41</v>
      </c>
      <c r="C64" s="349">
        <v>1620</v>
      </c>
      <c r="D64" s="343">
        <v>394</v>
      </c>
      <c r="E64" s="350">
        <f>+9_mell!F13+9_mell!F14+9_mell!F15</f>
        <v>12517</v>
      </c>
      <c r="F64" s="398">
        <f>SUM(C64:E64)</f>
        <v>14531</v>
      </c>
      <c r="G64" s="240">
        <f>+4_mell!H21</f>
        <v>26169</v>
      </c>
      <c r="H64" s="240">
        <f>+4_mell!K21</f>
        <v>3000</v>
      </c>
      <c r="I64" s="240">
        <f>+4_mell!I21</f>
        <v>5114</v>
      </c>
      <c r="J64" s="240">
        <f>+4_mell!L22</f>
        <v>61190</v>
      </c>
      <c r="K64" s="394">
        <f>SUM(F64:J64)</f>
        <v>110004</v>
      </c>
      <c r="L64" s="343">
        <f>+3_mell!D22</f>
        <v>500</v>
      </c>
      <c r="M64" s="343"/>
      <c r="N64" s="350">
        <f>+3_mell!H23</f>
        <v>26212</v>
      </c>
      <c r="O64" s="350">
        <f>35754+826-301</f>
        <v>36279</v>
      </c>
      <c r="P64" s="381"/>
      <c r="Q64" s="350">
        <f>+8_mell!C18-8_mell!C7-4272-900</f>
        <v>46278</v>
      </c>
      <c r="R64" s="350">
        <f>1810-826-700+301</f>
        <v>585</v>
      </c>
      <c r="S64" s="350"/>
      <c r="T64" s="343"/>
      <c r="U64" s="343">
        <v>150</v>
      </c>
      <c r="V64" s="344">
        <v>0</v>
      </c>
      <c r="W64" s="404">
        <f>SUM(L64:V64)</f>
        <v>110004</v>
      </c>
      <c r="X64" s="238"/>
    </row>
    <row r="65" spans="2:24" ht="12.75">
      <c r="B65" s="361" t="s">
        <v>272</v>
      </c>
      <c r="C65" s="349">
        <v>1412</v>
      </c>
      <c r="D65" s="343">
        <v>381</v>
      </c>
      <c r="E65" s="343">
        <v>2105</v>
      </c>
      <c r="F65" s="398">
        <f>SUM(C65:E65)</f>
        <v>3898</v>
      </c>
      <c r="G65" s="398"/>
      <c r="H65" s="398"/>
      <c r="I65" s="398"/>
      <c r="J65" s="398"/>
      <c r="K65" s="394">
        <f>SUM(F65:J65)</f>
        <v>3898</v>
      </c>
      <c r="L65" s="343"/>
      <c r="M65" s="343"/>
      <c r="N65" s="343"/>
      <c r="O65" s="350">
        <f>+1_mell!E31+1_mell!E32</f>
        <v>5100</v>
      </c>
      <c r="P65" s="349"/>
      <c r="Q65" s="343"/>
      <c r="R65" s="343"/>
      <c r="S65" s="343"/>
      <c r="T65" s="343"/>
      <c r="U65" s="343"/>
      <c r="V65" s="344">
        <v>-1202</v>
      </c>
      <c r="W65" s="404">
        <f>SUM(L65:V65)</f>
        <v>3898</v>
      </c>
      <c r="X65" s="238"/>
    </row>
    <row r="66" spans="2:24" ht="25.5">
      <c r="B66" s="400" t="s">
        <v>273</v>
      </c>
      <c r="C66" s="349"/>
      <c r="D66" s="343"/>
      <c r="E66" s="343">
        <v>507</v>
      </c>
      <c r="F66" s="398">
        <f>SUM(C66:E66)</f>
        <v>507</v>
      </c>
      <c r="G66" s="398"/>
      <c r="H66" s="398"/>
      <c r="I66" s="398"/>
      <c r="J66" s="398"/>
      <c r="K66" s="394">
        <f>SUM(F66:J66)</f>
        <v>507</v>
      </c>
      <c r="L66" s="343"/>
      <c r="M66" s="343"/>
      <c r="N66" s="343"/>
      <c r="O66" s="343"/>
      <c r="P66" s="349"/>
      <c r="Q66" s="343"/>
      <c r="R66" s="343"/>
      <c r="S66" s="343"/>
      <c r="T66" s="343">
        <v>507</v>
      </c>
      <c r="U66" s="343"/>
      <c r="V66" s="344"/>
      <c r="W66" s="404">
        <f>SUM(L66:V66)</f>
        <v>507</v>
      </c>
      <c r="X66" s="238"/>
    </row>
    <row r="67" spans="2:24" s="273" customFormat="1" ht="12.75">
      <c r="B67" s="405" t="s">
        <v>277</v>
      </c>
      <c r="C67" s="397">
        <f aca="true" t="shared" si="13" ref="C67:W67">SUM(C64:C66)</f>
        <v>3032</v>
      </c>
      <c r="D67" s="399">
        <f t="shared" si="13"/>
        <v>775</v>
      </c>
      <c r="E67" s="399">
        <f t="shared" si="13"/>
        <v>15129</v>
      </c>
      <c r="F67" s="399">
        <f t="shared" si="13"/>
        <v>18936</v>
      </c>
      <c r="G67" s="399">
        <f t="shared" si="13"/>
        <v>26169</v>
      </c>
      <c r="H67" s="399">
        <f t="shared" si="13"/>
        <v>3000</v>
      </c>
      <c r="I67" s="399">
        <f t="shared" si="13"/>
        <v>5114</v>
      </c>
      <c r="J67" s="353">
        <f>SUM(J64:J66)</f>
        <v>61190</v>
      </c>
      <c r="K67" s="348">
        <f t="shared" si="13"/>
        <v>114409</v>
      </c>
      <c r="L67" s="399">
        <f t="shared" si="13"/>
        <v>500</v>
      </c>
      <c r="M67" s="399">
        <f t="shared" si="13"/>
        <v>0</v>
      </c>
      <c r="N67" s="399">
        <f t="shared" si="13"/>
        <v>26212</v>
      </c>
      <c r="O67" s="399">
        <f t="shared" si="13"/>
        <v>41379</v>
      </c>
      <c r="P67" s="397">
        <f t="shared" si="13"/>
        <v>0</v>
      </c>
      <c r="Q67" s="353">
        <f t="shared" si="13"/>
        <v>46278</v>
      </c>
      <c r="R67" s="353">
        <f t="shared" si="13"/>
        <v>585</v>
      </c>
      <c r="S67" s="353">
        <f t="shared" si="13"/>
        <v>0</v>
      </c>
      <c r="T67" s="353">
        <f t="shared" si="13"/>
        <v>507</v>
      </c>
      <c r="U67" s="353">
        <f t="shared" si="13"/>
        <v>150</v>
      </c>
      <c r="V67" s="354">
        <f t="shared" si="13"/>
        <v>-1202</v>
      </c>
      <c r="W67" s="366">
        <f t="shared" si="13"/>
        <v>114409</v>
      </c>
      <c r="X67" s="271"/>
    </row>
    <row r="68" spans="2:23" ht="12.75">
      <c r="B68" s="361"/>
      <c r="C68" s="381">
        <f>+4_mell!D21</f>
        <v>3032</v>
      </c>
      <c r="D68" s="350">
        <f>+4_mell!E21</f>
        <v>775</v>
      </c>
      <c r="E68" s="350">
        <f>+4_mell!F21</f>
        <v>15129</v>
      </c>
      <c r="F68" s="398">
        <f>SUM(C68:E68)</f>
        <v>18936</v>
      </c>
      <c r="G68" s="350">
        <f>+4_mell!H21</f>
        <v>26169</v>
      </c>
      <c r="H68" s="350">
        <f>+4_mell!K21</f>
        <v>3000</v>
      </c>
      <c r="I68" s="350">
        <f>+4_mell!I21</f>
        <v>5114</v>
      </c>
      <c r="J68" s="350">
        <f>+4_mell!L21</f>
        <v>35878</v>
      </c>
      <c r="K68" s="344">
        <f>+4_mell!M21</f>
        <v>89097</v>
      </c>
      <c r="L68" s="343"/>
      <c r="M68" s="343"/>
      <c r="N68" s="343"/>
      <c r="O68" s="343"/>
      <c r="P68" s="349"/>
      <c r="Q68" s="343"/>
      <c r="R68" s="343"/>
      <c r="S68" s="343"/>
      <c r="T68" s="343"/>
      <c r="U68" s="343"/>
      <c r="V68" s="344"/>
      <c r="W68" s="403"/>
    </row>
    <row r="69" spans="2:23" ht="13.5" thickBot="1">
      <c r="B69" s="361"/>
      <c r="C69" s="349"/>
      <c r="D69" s="343"/>
      <c r="E69" s="343"/>
      <c r="F69" s="343"/>
      <c r="G69" s="343"/>
      <c r="H69" s="343"/>
      <c r="I69" s="343"/>
      <c r="J69" s="343"/>
      <c r="K69" s="344"/>
      <c r="L69" s="343"/>
      <c r="M69" s="343"/>
      <c r="N69" s="343"/>
      <c r="O69" s="343"/>
      <c r="P69" s="349"/>
      <c r="Q69" s="343"/>
      <c r="R69" s="343"/>
      <c r="S69" s="343"/>
      <c r="T69" s="343"/>
      <c r="U69" s="343"/>
      <c r="V69" s="344"/>
      <c r="W69" s="403"/>
    </row>
    <row r="70" spans="2:23" s="275" customFormat="1" ht="13.5" thickBot="1">
      <c r="B70" s="631" t="s">
        <v>92</v>
      </c>
      <c r="C70" s="632">
        <f aca="true" t="shared" si="14" ref="C70:V70">+C67+C60+C50+C22+C31</f>
        <v>225480</v>
      </c>
      <c r="D70" s="633">
        <f t="shared" si="14"/>
        <v>60407</v>
      </c>
      <c r="E70" s="633">
        <f t="shared" si="14"/>
        <v>229358</v>
      </c>
      <c r="F70" s="633">
        <f>+F67+F60+F50+F22+F31</f>
        <v>515245</v>
      </c>
      <c r="G70" s="633">
        <f t="shared" si="14"/>
        <v>26169</v>
      </c>
      <c r="H70" s="633">
        <f t="shared" si="14"/>
        <v>3000</v>
      </c>
      <c r="I70" s="633">
        <f t="shared" si="14"/>
        <v>118339</v>
      </c>
      <c r="J70" s="633">
        <f t="shared" si="14"/>
        <v>61190</v>
      </c>
      <c r="K70" s="634">
        <f t="shared" si="14"/>
        <v>723943</v>
      </c>
      <c r="L70" s="633">
        <f t="shared" si="14"/>
        <v>99471</v>
      </c>
      <c r="M70" s="633">
        <f t="shared" si="14"/>
        <v>32500</v>
      </c>
      <c r="N70" s="633">
        <f t="shared" si="14"/>
        <v>26212</v>
      </c>
      <c r="O70" s="633">
        <f t="shared" si="14"/>
        <v>117844</v>
      </c>
      <c r="P70" s="632">
        <f t="shared" si="14"/>
        <v>241074</v>
      </c>
      <c r="Q70" s="633">
        <f t="shared" si="14"/>
        <v>51450</v>
      </c>
      <c r="R70" s="633">
        <f t="shared" si="14"/>
        <v>145278</v>
      </c>
      <c r="S70" s="633">
        <f t="shared" si="14"/>
        <v>0</v>
      </c>
      <c r="T70" s="633">
        <f t="shared" si="14"/>
        <v>9964</v>
      </c>
      <c r="U70" s="633">
        <f t="shared" si="14"/>
        <v>150</v>
      </c>
      <c r="V70" s="634">
        <f t="shared" si="14"/>
        <v>0</v>
      </c>
      <c r="W70" s="407">
        <f>SUM(L70:V70)</f>
        <v>723943</v>
      </c>
    </row>
    <row r="71" spans="3:23" ht="12.75">
      <c r="C71" s="235">
        <f>+4_mell!D35</f>
        <v>225480</v>
      </c>
      <c r="D71" s="235">
        <f>+4_mell!E35</f>
        <v>60407</v>
      </c>
      <c r="E71" s="235">
        <f>+4_mell!F36</f>
        <v>229358</v>
      </c>
      <c r="F71" s="235">
        <f>SUM(C71:E71)</f>
        <v>515245</v>
      </c>
      <c r="G71" s="238">
        <f>+5_mell!C17</f>
        <v>26169</v>
      </c>
      <c r="H71" s="236">
        <f>+5_mell!C19</f>
        <v>3000</v>
      </c>
      <c r="I71" s="237">
        <f>+6_mell!I31+6_mell!J31</f>
        <v>118339</v>
      </c>
      <c r="J71" s="236">
        <f>+7_mell!D21</f>
        <v>61190</v>
      </c>
      <c r="K71" s="237">
        <f>+2_mell!F33</f>
        <v>723943</v>
      </c>
      <c r="L71" s="236">
        <f>+1_mell!E7</f>
        <v>99471</v>
      </c>
      <c r="M71" s="236">
        <f>+1_mell!E29</f>
        <v>32500</v>
      </c>
      <c r="N71" s="236">
        <f>+1_mell!F37</f>
        <v>26212</v>
      </c>
      <c r="O71" s="236">
        <f>+1_mell!E28-1_mell!E29</f>
        <v>117844</v>
      </c>
      <c r="P71" s="236">
        <f>+1_mell!E23</f>
        <v>241074</v>
      </c>
      <c r="Q71" s="236">
        <f>+1_mell!E17</f>
        <v>51450</v>
      </c>
      <c r="R71" s="236">
        <f>+1_mell!E11+1_mell!E13+1_mell!E14+1_mell!E15+1_mell!E16</f>
        <v>145278</v>
      </c>
      <c r="S71" s="236">
        <v>0</v>
      </c>
      <c r="T71" s="236">
        <f>+1_mell!E19</f>
        <v>9964</v>
      </c>
      <c r="U71" s="236">
        <f>+1_mell!E40</f>
        <v>150</v>
      </c>
      <c r="W71" s="276">
        <f>SUM(L71:V71)</f>
        <v>723943</v>
      </c>
    </row>
    <row r="72" spans="3:23" ht="12.75">
      <c r="C72" s="238">
        <f>+C71-C70</f>
        <v>0</v>
      </c>
      <c r="D72" s="238">
        <f aca="true" t="shared" si="15" ref="D72:Q72">+D71-D70</f>
        <v>0</v>
      </c>
      <c r="E72" s="238">
        <f t="shared" si="15"/>
        <v>0</v>
      </c>
      <c r="F72" s="238">
        <f t="shared" si="15"/>
        <v>0</v>
      </c>
      <c r="G72" s="238">
        <f t="shared" si="15"/>
        <v>0</v>
      </c>
      <c r="H72" s="238">
        <f t="shared" si="15"/>
        <v>0</v>
      </c>
      <c r="I72" s="238">
        <f t="shared" si="15"/>
        <v>0</v>
      </c>
      <c r="J72" s="238">
        <f t="shared" si="15"/>
        <v>0</v>
      </c>
      <c r="K72" s="238">
        <f t="shared" si="15"/>
        <v>0</v>
      </c>
      <c r="L72" s="238">
        <f t="shared" si="15"/>
        <v>0</v>
      </c>
      <c r="M72" s="238">
        <f t="shared" si="15"/>
        <v>0</v>
      </c>
      <c r="N72" s="238"/>
      <c r="O72" s="238">
        <f t="shared" si="15"/>
        <v>0</v>
      </c>
      <c r="P72" s="238">
        <f t="shared" si="15"/>
        <v>0</v>
      </c>
      <c r="Q72" s="238">
        <f t="shared" si="15"/>
        <v>0</v>
      </c>
      <c r="R72" s="238">
        <f>+R71-R70</f>
        <v>0</v>
      </c>
      <c r="S72" s="238">
        <f>+S71-S70</f>
        <v>0</v>
      </c>
      <c r="T72" s="238">
        <f>+T71-T70</f>
        <v>0</v>
      </c>
      <c r="U72" s="238"/>
      <c r="V72" s="238">
        <f>+V71-V70</f>
        <v>0</v>
      </c>
      <c r="W72" s="276">
        <f>+1_mell!F47</f>
        <v>723943</v>
      </c>
    </row>
    <row r="73" spans="11:23" ht="12.75">
      <c r="K73" s="237">
        <f>+2_mell!F33</f>
        <v>723943</v>
      </c>
      <c r="W73" s="238">
        <f>+W72-W71</f>
        <v>0</v>
      </c>
    </row>
    <row r="74" ht="12.75">
      <c r="K74" s="237"/>
    </row>
    <row r="78" ht="12.75">
      <c r="Q78" s="236"/>
    </row>
  </sheetData>
  <sheetProtection/>
  <mergeCells count="9">
    <mergeCell ref="P35:V35"/>
    <mergeCell ref="C53:K53"/>
    <mergeCell ref="L53:W53"/>
    <mergeCell ref="P54:V54"/>
    <mergeCell ref="P5:V5"/>
    <mergeCell ref="C4:K4"/>
    <mergeCell ref="L4:W4"/>
    <mergeCell ref="C34:K34"/>
    <mergeCell ref="L34:W3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7" r:id="rId1"/>
  <headerFooter alignWithMargins="0">
    <oddHeader>&amp;L12. melléklet a 2014. évi 2/2014.(I.24.) Önkormányzati költségvetési rendelethez ( 10 )&amp;R&amp;D</oddHeader>
    <oddFooter>&amp;L( 10 ) a 3/2014.(II.11.) önkormányzati rendelettel módosított szöveg</oddFooter>
  </headerFooter>
  <rowBreaks count="2" manualBreakCount="2">
    <brk id="33" max="21" man="1"/>
    <brk id="52" max="21" man="1"/>
  </rowBreaks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75" zoomScaleSheetLayoutView="75" zoomScalePageLayoutView="0" workbookViewId="0" topLeftCell="A36">
      <selection activeCell="L78" sqref="L78"/>
    </sheetView>
  </sheetViews>
  <sheetFormatPr defaultColWidth="9.140625" defaultRowHeight="12.75"/>
  <cols>
    <col min="1" max="1" width="3.57421875" style="51" customWidth="1"/>
    <col min="2" max="2" width="23.7109375" style="51" customWidth="1"/>
    <col min="3" max="3" width="9.140625" style="51" customWidth="1"/>
    <col min="4" max="4" width="11.28125" style="51" bestFit="1" customWidth="1"/>
    <col min="5" max="5" width="10.28125" style="51" bestFit="1" customWidth="1"/>
    <col min="6" max="6" width="10.8515625" style="51" customWidth="1"/>
    <col min="7" max="7" width="12.7109375" style="50" customWidth="1"/>
    <col min="8" max="8" width="10.57421875" style="50" customWidth="1"/>
    <col min="9" max="10" width="10.57421875" style="51" customWidth="1"/>
    <col min="11" max="11" width="13.00390625" style="51" customWidth="1"/>
    <col min="12" max="12" width="13.140625" style="51" customWidth="1"/>
    <col min="13" max="13" width="16.57421875" style="51" customWidth="1"/>
    <col min="14" max="14" width="10.00390625" style="51" customWidth="1"/>
    <col min="15" max="15" width="11.00390625" style="51" customWidth="1"/>
    <col min="16" max="16384" width="9.140625" style="51" customWidth="1"/>
  </cols>
  <sheetData>
    <row r="1" spans="1:16" ht="12.75">
      <c r="A1" s="455" t="s">
        <v>230</v>
      </c>
      <c r="I1" s="604" t="s">
        <v>453</v>
      </c>
      <c r="J1" s="605"/>
      <c r="K1" s="605"/>
      <c r="L1" s="605"/>
      <c r="M1" s="606"/>
      <c r="N1" s="603"/>
      <c r="O1" s="607"/>
      <c r="P1" s="603"/>
    </row>
    <row r="2" spans="1:16" ht="12.75">
      <c r="A2" s="455" t="s">
        <v>425</v>
      </c>
      <c r="I2" s="608" t="s">
        <v>454</v>
      </c>
      <c r="J2" s="608" t="s">
        <v>455</v>
      </c>
      <c r="K2" s="609" t="s">
        <v>456</v>
      </c>
      <c r="L2" s="609" t="s">
        <v>457</v>
      </c>
      <c r="M2" s="610" t="s">
        <v>458</v>
      </c>
      <c r="N2" s="611"/>
      <c r="O2" s="603"/>
      <c r="P2" s="603"/>
    </row>
    <row r="3" spans="9:16" ht="12.75">
      <c r="I3" s="612"/>
      <c r="J3" s="612">
        <v>36900</v>
      </c>
      <c r="K3" s="612"/>
      <c r="L3" s="612">
        <v>100</v>
      </c>
      <c r="M3" s="613">
        <f>SUM(I3:L3)</f>
        <v>37000</v>
      </c>
      <c r="N3" s="611"/>
      <c r="O3" s="614" t="e">
        <f>+L3+#REF!</f>
        <v>#REF!</v>
      </c>
      <c r="P3" s="603"/>
    </row>
    <row r="4" spans="1:19" ht="12.75">
      <c r="A4" s="140"/>
      <c r="B4" s="141"/>
      <c r="C4" s="142"/>
      <c r="D4" s="766" t="s">
        <v>426</v>
      </c>
      <c r="E4" s="766"/>
      <c r="F4" s="142"/>
      <c r="G4" s="176"/>
      <c r="H4" s="176"/>
      <c r="I4" s="612"/>
      <c r="J4" s="612">
        <v>34900</v>
      </c>
      <c r="K4" s="612"/>
      <c r="L4" s="612">
        <v>2600</v>
      </c>
      <c r="M4" s="613">
        <f>SUM(I4:L4)</f>
        <v>37500</v>
      </c>
      <c r="N4" s="611"/>
      <c r="O4" s="614" t="e">
        <f>+L4+#REF!</f>
        <v>#REF!</v>
      </c>
      <c r="P4" s="603"/>
      <c r="Q4" s="143"/>
      <c r="R4" s="143"/>
      <c r="S4" s="143"/>
    </row>
    <row r="5" spans="1:19" ht="12.75">
      <c r="A5" s="140"/>
      <c r="B5" s="141"/>
      <c r="C5" s="142"/>
      <c r="E5" s="142"/>
      <c r="F5" s="142"/>
      <c r="G5" s="176"/>
      <c r="H5" s="176"/>
      <c r="I5" s="612">
        <v>0</v>
      </c>
      <c r="J5" s="616"/>
      <c r="K5" s="616"/>
      <c r="L5" s="616"/>
      <c r="M5" s="617">
        <f>SUM(I5:I5)</f>
        <v>0</v>
      </c>
      <c r="N5" s="611"/>
      <c r="O5" s="603"/>
      <c r="P5" s="603"/>
      <c r="Q5" s="143"/>
      <c r="R5" s="143"/>
      <c r="S5" s="143"/>
    </row>
    <row r="6" spans="1:19" ht="15">
      <c r="A6" s="143"/>
      <c r="B6" s="143"/>
      <c r="C6" s="767" t="s">
        <v>172</v>
      </c>
      <c r="D6" s="767"/>
      <c r="E6" s="767"/>
      <c r="F6" s="767"/>
      <c r="G6" s="517"/>
      <c r="H6" s="518"/>
      <c r="I6" s="613">
        <f>SUM(I3:I4)</f>
        <v>0</v>
      </c>
      <c r="J6" s="618">
        <f>SUM(J3:J5)</f>
        <v>71800</v>
      </c>
      <c r="K6" s="618"/>
      <c r="L6" s="618">
        <f>SUM(L3:L5)</f>
        <v>2700</v>
      </c>
      <c r="M6" s="613">
        <f>SUM(I6:L6)</f>
        <v>74500</v>
      </c>
      <c r="N6" s="619">
        <f>SUM(M3:M5)</f>
        <v>74500</v>
      </c>
      <c r="O6" s="603"/>
      <c r="P6" s="603"/>
      <c r="Q6" s="143"/>
      <c r="R6" s="143"/>
      <c r="S6" s="143"/>
    </row>
    <row r="7" spans="1:19" ht="12.75">
      <c r="A7" s="144"/>
      <c r="B7" s="144"/>
      <c r="C7" s="144"/>
      <c r="D7" s="144"/>
      <c r="E7" s="144"/>
      <c r="F7" s="144"/>
      <c r="G7" s="518"/>
      <c r="H7" s="518"/>
      <c r="I7" s="143"/>
      <c r="J7" s="143"/>
      <c r="K7" s="143"/>
      <c r="L7" s="143"/>
      <c r="M7" s="143"/>
      <c r="N7" s="603"/>
      <c r="O7" s="603"/>
      <c r="P7" s="603"/>
      <c r="Q7" s="143"/>
      <c r="R7" s="143"/>
      <c r="S7" s="143"/>
    </row>
    <row r="8" spans="1:19" ht="15">
      <c r="A8" s="178" t="s">
        <v>173</v>
      </c>
      <c r="B8" s="144"/>
      <c r="C8" s="144"/>
      <c r="D8" s="144"/>
      <c r="E8" s="144"/>
      <c r="F8" s="144"/>
      <c r="G8" s="518"/>
      <c r="H8" s="518"/>
      <c r="I8" s="620"/>
      <c r="J8" s="620"/>
      <c r="K8" s="620"/>
      <c r="L8" s="620"/>
      <c r="M8" s="620"/>
      <c r="N8" s="603"/>
      <c r="O8" s="603"/>
      <c r="P8" s="603"/>
      <c r="Q8" s="143"/>
      <c r="R8" s="143"/>
      <c r="S8" s="143"/>
    </row>
    <row r="9" spans="1:19" ht="18.75" customHeight="1">
      <c r="A9" s="144"/>
      <c r="B9" s="144" t="s">
        <v>3</v>
      </c>
      <c r="C9" s="144"/>
      <c r="D9" s="144"/>
      <c r="E9" s="144"/>
      <c r="F9" s="144"/>
      <c r="G9" s="518">
        <v>8000000</v>
      </c>
      <c r="H9" s="518"/>
      <c r="I9" s="610" t="s">
        <v>454</v>
      </c>
      <c r="J9" s="610" t="s">
        <v>455</v>
      </c>
      <c r="K9" s="621" t="s">
        <v>456</v>
      </c>
      <c r="L9" s="621" t="s">
        <v>457</v>
      </c>
      <c r="M9" s="610" t="s">
        <v>458</v>
      </c>
      <c r="N9" s="603"/>
      <c r="O9" s="603"/>
      <c r="P9" s="603"/>
      <c r="Q9" s="143"/>
      <c r="R9" s="143"/>
      <c r="S9" s="143"/>
    </row>
    <row r="10" spans="1:21" ht="12" customHeight="1" thickBot="1">
      <c r="A10" s="144"/>
      <c r="B10" s="144"/>
      <c r="C10" s="144"/>
      <c r="D10" s="144"/>
      <c r="E10" s="144"/>
      <c r="F10" s="144"/>
      <c r="G10" s="518"/>
      <c r="H10" s="518"/>
      <c r="I10" s="612"/>
      <c r="J10" s="612">
        <v>22800</v>
      </c>
      <c r="K10" s="612"/>
      <c r="L10" s="612">
        <v>14100</v>
      </c>
      <c r="M10" s="612">
        <f>SUM(I10:L10)+5</f>
        <v>36905</v>
      </c>
      <c r="N10" s="603"/>
      <c r="O10" s="603" t="e">
        <f>+L10+#REF!</f>
        <v>#REF!</v>
      </c>
      <c r="P10" s="603"/>
      <c r="Q10" s="603"/>
      <c r="R10" s="603"/>
      <c r="S10" s="603"/>
      <c r="T10" s="408"/>
      <c r="U10" s="408"/>
    </row>
    <row r="11" spans="1:21" ht="15.75" thickBot="1">
      <c r="A11" s="165" t="s">
        <v>145</v>
      </c>
      <c r="B11" s="182"/>
      <c r="C11" s="182"/>
      <c r="D11" s="182"/>
      <c r="E11" s="182"/>
      <c r="F11" s="182"/>
      <c r="G11" s="519">
        <f>SUM(G8:G10)</f>
        <v>8000000</v>
      </c>
      <c r="H11" s="520">
        <f>G11/1000</f>
        <v>8000</v>
      </c>
      <c r="I11" s="612"/>
      <c r="J11" s="612">
        <v>18300</v>
      </c>
      <c r="K11" s="612">
        <v>1600</v>
      </c>
      <c r="L11" s="612">
        <v>15000</v>
      </c>
      <c r="M11" s="615">
        <f>SUM(I11:L11)-48</f>
        <v>34852</v>
      </c>
      <c r="N11" s="603"/>
      <c r="O11" s="603" t="e">
        <f>+L11+#REF!</f>
        <v>#REF!</v>
      </c>
      <c r="P11" s="603"/>
      <c r="Q11" s="603"/>
      <c r="R11" s="603"/>
      <c r="S11" s="603"/>
      <c r="T11" s="408"/>
      <c r="U11" s="408"/>
    </row>
    <row r="12" spans="1:21" ht="12.75">
      <c r="A12" s="148"/>
      <c r="B12" s="148"/>
      <c r="C12" s="148"/>
      <c r="D12" s="148"/>
      <c r="E12" s="148"/>
      <c r="F12" s="148"/>
      <c r="G12" s="521"/>
      <c r="H12" s="521"/>
      <c r="I12" s="612">
        <v>0</v>
      </c>
      <c r="J12" s="612"/>
      <c r="K12" s="612"/>
      <c r="L12" s="612"/>
      <c r="M12" s="612">
        <f>SUM(I12:I12)</f>
        <v>0</v>
      </c>
      <c r="N12" s="614"/>
      <c r="O12" s="603"/>
      <c r="P12" s="603"/>
      <c r="Q12" s="603"/>
      <c r="R12" s="603"/>
      <c r="S12" s="603"/>
      <c r="T12" s="408"/>
      <c r="U12" s="408"/>
    </row>
    <row r="13" spans="1:21" ht="15">
      <c r="A13" s="522" t="s">
        <v>174</v>
      </c>
      <c r="B13" s="522"/>
      <c r="C13" s="149"/>
      <c r="D13" s="149"/>
      <c r="E13" s="149"/>
      <c r="F13" s="149"/>
      <c r="G13" s="152"/>
      <c r="H13" s="152"/>
      <c r="I13" s="622">
        <f>SUM(I10:I11)</f>
        <v>0</v>
      </c>
      <c r="J13" s="622">
        <f>SUM(J10:J11)</f>
        <v>41100</v>
      </c>
      <c r="K13" s="622"/>
      <c r="L13" s="622"/>
      <c r="M13" s="622">
        <f>SUM(M10:M12)</f>
        <v>71757</v>
      </c>
      <c r="N13" s="623">
        <f>SUM(M10:M11)</f>
        <v>71757</v>
      </c>
      <c r="O13" s="603"/>
      <c r="P13" s="603"/>
      <c r="Q13" s="603"/>
      <c r="R13" s="603"/>
      <c r="S13" s="603"/>
      <c r="T13" s="408"/>
      <c r="U13" s="408"/>
    </row>
    <row r="14" spans="1:21" ht="14.25">
      <c r="A14" s="149"/>
      <c r="B14" s="149"/>
      <c r="C14" s="149"/>
      <c r="D14" s="149"/>
      <c r="E14" s="149"/>
      <c r="F14" s="149"/>
      <c r="G14" s="152"/>
      <c r="H14" s="152"/>
      <c r="I14" s="608"/>
      <c r="J14" s="624">
        <f>+J6-J13</f>
        <v>30700</v>
      </c>
      <c r="K14" s="608">
        <f>+J14*12*1.27</f>
        <v>467868</v>
      </c>
      <c r="L14" s="608"/>
      <c r="M14" s="608"/>
      <c r="N14" s="608"/>
      <c r="O14" s="608"/>
      <c r="P14" s="603"/>
      <c r="Q14" s="603"/>
      <c r="R14" s="603"/>
      <c r="S14" s="603"/>
      <c r="T14" s="408"/>
      <c r="U14" s="408"/>
    </row>
    <row r="15" spans="2:21" ht="15">
      <c r="B15" s="150" t="s">
        <v>175</v>
      </c>
      <c r="C15" s="149"/>
      <c r="D15" s="149"/>
      <c r="E15" s="149"/>
      <c r="F15" s="149"/>
      <c r="G15" s="153">
        <f>SUM(F17:F19)</f>
        <v>3085200</v>
      </c>
      <c r="H15" s="153">
        <f>G15/1000</f>
        <v>3085.2</v>
      </c>
      <c r="I15" s="625"/>
      <c r="J15" s="625"/>
      <c r="K15" s="625"/>
      <c r="L15" s="625"/>
      <c r="M15" s="625"/>
      <c r="N15" s="625"/>
      <c r="O15" s="625"/>
      <c r="P15" s="603"/>
      <c r="Q15" s="603"/>
      <c r="R15" s="603"/>
      <c r="S15" s="603"/>
      <c r="T15" s="408"/>
      <c r="U15" s="408"/>
    </row>
    <row r="16" spans="1:21" ht="18" customHeight="1">
      <c r="A16" s="151"/>
      <c r="B16" s="149" t="s">
        <v>176</v>
      </c>
      <c r="C16" s="149"/>
      <c r="D16" s="149"/>
      <c r="E16" s="149"/>
      <c r="F16" s="152"/>
      <c r="I16" s="625"/>
      <c r="J16" s="625"/>
      <c r="K16" s="625"/>
      <c r="L16" s="625"/>
      <c r="M16" s="625"/>
      <c r="N16" s="625"/>
      <c r="O16" s="625"/>
      <c r="P16" s="603"/>
      <c r="Q16" s="603"/>
      <c r="R16" s="603"/>
      <c r="S16" s="603"/>
      <c r="T16" s="408"/>
      <c r="U16" s="408"/>
    </row>
    <row r="17" spans="1:21" ht="14.25">
      <c r="A17" s="149"/>
      <c r="B17" s="765" t="s">
        <v>427</v>
      </c>
      <c r="C17" s="765"/>
      <c r="D17" s="152">
        <f>97000+33800+93900+32400</f>
        <v>257100</v>
      </c>
      <c r="E17" s="149" t="s">
        <v>177</v>
      </c>
      <c r="F17" s="152">
        <f>D17*1</f>
        <v>257100</v>
      </c>
      <c r="G17" s="154"/>
      <c r="H17" s="152"/>
      <c r="I17" s="608"/>
      <c r="J17" s="608"/>
      <c r="K17" s="608"/>
      <c r="L17" s="608"/>
      <c r="M17" s="608"/>
      <c r="N17" s="608"/>
      <c r="O17" s="608"/>
      <c r="P17" s="603"/>
      <c r="Q17" s="603"/>
      <c r="R17" s="603"/>
      <c r="S17" s="603"/>
      <c r="T17" s="408"/>
      <c r="U17" s="408"/>
    </row>
    <row r="18" spans="1:21" ht="14.25">
      <c r="A18" s="149"/>
      <c r="B18" s="768" t="s">
        <v>428</v>
      </c>
      <c r="C18" s="769"/>
      <c r="D18" s="152">
        <f>+'[5]2014 bérek'!J48+'[5]2014 bérek'!J49</f>
        <v>257100</v>
      </c>
      <c r="E18" s="155" t="s">
        <v>178</v>
      </c>
      <c r="F18" s="152">
        <f>D18*11</f>
        <v>2828100</v>
      </c>
      <c r="G18" s="154"/>
      <c r="H18" s="152"/>
      <c r="I18" s="608"/>
      <c r="J18" s="608"/>
      <c r="K18" s="608"/>
      <c r="L18" s="608"/>
      <c r="M18" s="608"/>
      <c r="N18" s="608"/>
      <c r="O18" s="608"/>
      <c r="P18" s="603"/>
      <c r="Q18" s="603"/>
      <c r="R18" s="603"/>
      <c r="S18" s="603"/>
      <c r="T18" s="408"/>
      <c r="U18" s="408"/>
    </row>
    <row r="19" spans="1:21" ht="14.25">
      <c r="A19" s="149"/>
      <c r="B19" s="765"/>
      <c r="C19" s="765"/>
      <c r="D19" s="149"/>
      <c r="E19" s="149"/>
      <c r="F19" s="156"/>
      <c r="G19" s="152"/>
      <c r="H19" s="156"/>
      <c r="I19" s="608"/>
      <c r="J19" s="608"/>
      <c r="K19" s="608"/>
      <c r="L19" s="608"/>
      <c r="M19" s="608"/>
      <c r="N19" s="608"/>
      <c r="O19" s="608"/>
      <c r="P19" s="603"/>
      <c r="Q19" s="603"/>
      <c r="R19" s="603"/>
      <c r="S19" s="603"/>
      <c r="T19" s="408"/>
      <c r="U19" s="408"/>
    </row>
    <row r="20" spans="2:21" ht="15">
      <c r="B20" s="523" t="s">
        <v>179</v>
      </c>
      <c r="C20" s="523"/>
      <c r="D20" s="155"/>
      <c r="E20" s="155"/>
      <c r="F20" s="156"/>
      <c r="G20" s="157">
        <f>SUM(G21:G21)</f>
        <v>505536</v>
      </c>
      <c r="H20" s="158">
        <f>G20/1000</f>
        <v>505.536</v>
      </c>
      <c r="Q20" s="603"/>
      <c r="R20" s="603"/>
      <c r="S20" s="603"/>
      <c r="T20" s="408"/>
      <c r="U20" s="408"/>
    </row>
    <row r="21" spans="1:21" ht="18.75" customHeight="1">
      <c r="A21" s="151"/>
      <c r="B21" s="155" t="s">
        <v>180</v>
      </c>
      <c r="C21" s="155"/>
      <c r="D21" s="155"/>
      <c r="E21" s="155"/>
      <c r="F21" s="156"/>
      <c r="G21" s="158">
        <f>SUM(F22:F23)</f>
        <v>505536</v>
      </c>
      <c r="H21" s="158"/>
      <c r="Q21" s="603"/>
      <c r="R21" s="603"/>
      <c r="S21" s="603"/>
      <c r="T21" s="408"/>
      <c r="U21" s="408"/>
    </row>
    <row r="22" spans="1:21" ht="14.25">
      <c r="A22" s="160"/>
      <c r="B22" s="92" t="s">
        <v>429</v>
      </c>
      <c r="C22" s="92"/>
      <c r="D22" s="92"/>
      <c r="E22" s="92"/>
      <c r="F22" s="68">
        <f>22*36*9*12</f>
        <v>85536</v>
      </c>
      <c r="G22" s="154"/>
      <c r="H22" s="68"/>
      <c r="Q22" s="603"/>
      <c r="R22" s="603"/>
      <c r="S22" s="603"/>
      <c r="T22" s="408"/>
      <c r="U22" s="408"/>
    </row>
    <row r="23" spans="1:21" ht="14.25">
      <c r="A23" s="149"/>
      <c r="B23" s="159" t="s">
        <v>181</v>
      </c>
      <c r="C23" s="159"/>
      <c r="D23" s="159"/>
      <c r="E23" s="155"/>
      <c r="F23" s="156">
        <v>420000</v>
      </c>
      <c r="G23" s="156"/>
      <c r="H23" s="156"/>
      <c r="Q23" s="603"/>
      <c r="R23" s="603"/>
      <c r="S23" s="603"/>
      <c r="T23" s="408"/>
      <c r="U23" s="408"/>
    </row>
    <row r="24" spans="1:21" ht="14.25">
      <c r="A24" s="149"/>
      <c r="B24" s="159"/>
      <c r="C24" s="159"/>
      <c r="D24" s="159"/>
      <c r="E24" s="155"/>
      <c r="F24" s="156"/>
      <c r="G24" s="156"/>
      <c r="H24" s="156"/>
      <c r="Q24" s="603"/>
      <c r="R24" s="603"/>
      <c r="S24" s="603"/>
      <c r="T24" s="408"/>
      <c r="U24" s="408"/>
    </row>
    <row r="25" spans="2:21" ht="15">
      <c r="B25" s="151" t="s">
        <v>430</v>
      </c>
      <c r="C25" s="161"/>
      <c r="D25" s="162"/>
      <c r="E25" s="149"/>
      <c r="F25" s="152"/>
      <c r="G25" s="158">
        <f>E27</f>
        <v>960000</v>
      </c>
      <c r="H25" s="163">
        <f>G25/1000</f>
        <v>960</v>
      </c>
      <c r="Q25" s="603"/>
      <c r="R25" s="603"/>
      <c r="S25" s="603"/>
      <c r="T25" s="408"/>
      <c r="U25" s="408"/>
    </row>
    <row r="26" spans="1:21" ht="15">
      <c r="A26" s="159"/>
      <c r="B26" s="159" t="s">
        <v>182</v>
      </c>
      <c r="C26" s="159"/>
      <c r="D26" s="155"/>
      <c r="E26" s="164"/>
      <c r="F26" s="155"/>
      <c r="G26" s="157"/>
      <c r="H26" s="156"/>
      <c r="Q26" s="603"/>
      <c r="R26" s="603"/>
      <c r="S26" s="603"/>
      <c r="T26" s="408"/>
      <c r="U26" s="408"/>
    </row>
    <row r="27" spans="1:21" ht="12.75" customHeight="1">
      <c r="A27" s="159"/>
      <c r="B27" s="159" t="s">
        <v>183</v>
      </c>
      <c r="C27" s="159"/>
      <c r="D27" s="155"/>
      <c r="E27" s="164">
        <f>80000*12</f>
        <v>960000</v>
      </c>
      <c r="F27" s="155"/>
      <c r="G27" s="154"/>
      <c r="H27" s="156"/>
      <c r="Q27" s="603"/>
      <c r="R27" s="603"/>
      <c r="S27" s="603"/>
      <c r="T27" s="408"/>
      <c r="U27" s="408"/>
    </row>
    <row r="28" spans="1:21" ht="13.5" thickBot="1">
      <c r="A28" s="144"/>
      <c r="B28" s="142"/>
      <c r="C28" s="142"/>
      <c r="D28" s="142"/>
      <c r="E28" s="142"/>
      <c r="F28" s="142"/>
      <c r="G28" s="176"/>
      <c r="H28" s="176"/>
      <c r="Q28" s="603"/>
      <c r="R28" s="603"/>
      <c r="S28" s="603"/>
      <c r="T28" s="408"/>
      <c r="U28" s="408"/>
    </row>
    <row r="29" spans="1:19" ht="15.75" thickBot="1">
      <c r="A29" s="165" t="s">
        <v>184</v>
      </c>
      <c r="B29" s="166"/>
      <c r="C29" s="166"/>
      <c r="D29" s="166"/>
      <c r="E29" s="166"/>
      <c r="F29" s="166"/>
      <c r="G29" s="167">
        <f>G15+G20+G25</f>
        <v>4550736</v>
      </c>
      <c r="H29" s="409">
        <f>ROUND(G29/1000,0)</f>
        <v>4551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 ht="12.75">
      <c r="A30" s="148"/>
      <c r="B30" s="142"/>
      <c r="C30" s="142"/>
      <c r="D30" s="142"/>
      <c r="E30" s="142"/>
      <c r="F30" s="142"/>
      <c r="G30" s="521"/>
      <c r="H30" s="52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</row>
    <row r="31" spans="1:19" ht="15">
      <c r="A31" s="524" t="s">
        <v>185</v>
      </c>
      <c r="B31" s="169"/>
      <c r="C31" s="169"/>
      <c r="D31" s="169"/>
      <c r="E31" s="169"/>
      <c r="F31" s="169"/>
      <c r="G31" s="171"/>
      <c r="H31" s="525"/>
      <c r="I31" s="626"/>
      <c r="J31" s="626"/>
      <c r="K31" s="627" t="e">
        <f>+K11+#REF!</f>
        <v>#REF!</v>
      </c>
      <c r="L31" s="627" t="e">
        <f>+#REF!+K11+L11</f>
        <v>#REF!</v>
      </c>
      <c r="M31" s="626"/>
      <c r="N31" s="143"/>
      <c r="O31" s="143"/>
      <c r="P31" s="143"/>
      <c r="Q31" s="143"/>
      <c r="R31" s="143"/>
      <c r="S31" s="143"/>
    </row>
    <row r="32" spans="1:19" ht="15">
      <c r="A32" s="168"/>
      <c r="B32" s="170"/>
      <c r="C32" s="169"/>
      <c r="D32" s="169"/>
      <c r="E32" s="171"/>
      <c r="F32" s="171"/>
      <c r="G32" s="171"/>
      <c r="H32" s="525"/>
      <c r="I32" s="628"/>
      <c r="J32" s="142"/>
      <c r="K32" s="142"/>
      <c r="L32" s="142"/>
      <c r="M32" s="629"/>
      <c r="N32" s="142"/>
      <c r="O32" s="143"/>
      <c r="P32" s="143"/>
      <c r="Q32" s="143"/>
      <c r="R32" s="143"/>
      <c r="S32" s="143"/>
    </row>
    <row r="33" spans="1:19" ht="15">
      <c r="A33" s="172"/>
      <c r="B33" s="526" t="s">
        <v>208</v>
      </c>
      <c r="C33" s="174"/>
      <c r="F33" s="169"/>
      <c r="G33" s="33">
        <f>SUM(G34:G35)</f>
        <v>1066284</v>
      </c>
      <c r="H33" s="157">
        <f>ROUND(G33/1000,0)</f>
        <v>1066</v>
      </c>
      <c r="I33" s="630"/>
      <c r="J33" s="142"/>
      <c r="K33" s="142"/>
      <c r="L33" s="142"/>
      <c r="M33" s="629"/>
      <c r="N33" s="142"/>
      <c r="O33" s="143"/>
      <c r="P33" s="143"/>
      <c r="Q33" s="143"/>
      <c r="R33" s="143"/>
      <c r="S33" s="143"/>
    </row>
    <row r="34" spans="1:19" ht="14.25">
      <c r="A34" s="175"/>
      <c r="B34" s="174" t="s">
        <v>431</v>
      </c>
      <c r="C34" s="174"/>
      <c r="D34" s="174">
        <f>+G15</f>
        <v>3085200</v>
      </c>
      <c r="E34" s="174" t="s">
        <v>432</v>
      </c>
      <c r="F34" s="169"/>
      <c r="G34" s="171">
        <f>+D34*27%</f>
        <v>833004</v>
      </c>
      <c r="H34" s="527"/>
      <c r="I34" s="628"/>
      <c r="J34" s="142"/>
      <c r="K34" s="142"/>
      <c r="L34" s="142"/>
      <c r="M34" s="629"/>
      <c r="N34" s="142"/>
      <c r="O34" s="143"/>
      <c r="P34" s="143"/>
      <c r="Q34" s="143"/>
      <c r="R34" s="143"/>
      <c r="S34" s="143"/>
    </row>
    <row r="35" spans="1:19" ht="14.25">
      <c r="A35" s="173"/>
      <c r="B35" s="174" t="s">
        <v>433</v>
      </c>
      <c r="C35" s="174"/>
      <c r="D35" s="174">
        <f>+G25</f>
        <v>960000</v>
      </c>
      <c r="E35" s="174" t="s">
        <v>434</v>
      </c>
      <c r="F35" s="169"/>
      <c r="G35" s="171">
        <f>+D35*90%*27%</f>
        <v>233280.00000000003</v>
      </c>
      <c r="H35" s="527"/>
      <c r="I35" s="628"/>
      <c r="J35" s="142"/>
      <c r="K35" s="142"/>
      <c r="L35" s="142"/>
      <c r="M35" s="629"/>
      <c r="N35" s="142"/>
      <c r="O35" s="143"/>
      <c r="P35" s="143"/>
      <c r="Q35" s="143"/>
      <c r="R35" s="143"/>
      <c r="S35" s="143"/>
    </row>
    <row r="36" spans="1:19" ht="13.5" thickBot="1">
      <c r="A36" s="144"/>
      <c r="B36" s="142"/>
      <c r="C36" s="142"/>
      <c r="D36" s="142"/>
      <c r="E36" s="142"/>
      <c r="F36" s="142"/>
      <c r="G36" s="176"/>
      <c r="H36" s="176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</row>
    <row r="37" spans="1:19" ht="15.75" thickBot="1">
      <c r="A37" s="165" t="s">
        <v>435</v>
      </c>
      <c r="B37" s="166"/>
      <c r="C37" s="177"/>
      <c r="D37" s="177"/>
      <c r="E37" s="177"/>
      <c r="F37" s="177"/>
      <c r="G37" s="167">
        <f>+G33</f>
        <v>1066284</v>
      </c>
      <c r="H37" s="409">
        <f>ROUND(G37/1000,0)</f>
        <v>1066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ht="12.75">
      <c r="A38" s="144"/>
      <c r="B38" s="144"/>
      <c r="C38" s="144"/>
      <c r="D38" s="144"/>
      <c r="E38" s="144"/>
      <c r="F38" s="144"/>
      <c r="G38" s="176"/>
      <c r="H38" s="176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ht="15">
      <c r="A39" s="178" t="s">
        <v>186</v>
      </c>
      <c r="B39" s="179"/>
      <c r="C39" s="149"/>
      <c r="D39" s="149"/>
      <c r="E39" s="149"/>
      <c r="F39" s="149"/>
      <c r="G39" s="152"/>
      <c r="H39" s="152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ht="14.25">
      <c r="A40" s="149"/>
      <c r="B40" s="155"/>
      <c r="C40" s="155"/>
      <c r="D40" s="155"/>
      <c r="E40" s="155"/>
      <c r="F40" s="155"/>
      <c r="G40" s="156"/>
      <c r="H40" s="156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spans="1:19" ht="15">
      <c r="A41" s="151"/>
      <c r="B41" s="155" t="s">
        <v>187</v>
      </c>
      <c r="C41" s="155"/>
      <c r="D41" s="155"/>
      <c r="E41" s="155"/>
      <c r="F41" s="155"/>
      <c r="G41" s="156">
        <v>50000</v>
      </c>
      <c r="H41" s="156">
        <f>G41/1000</f>
        <v>50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</row>
    <row r="42" spans="1:19" ht="15">
      <c r="A42" s="151"/>
      <c r="B42" s="155" t="s">
        <v>188</v>
      </c>
      <c r="C42" s="155"/>
      <c r="D42" s="155"/>
      <c r="E42" s="155"/>
      <c r="F42" s="155"/>
      <c r="G42" s="156">
        <v>20000</v>
      </c>
      <c r="H42" s="156">
        <f>G42/1000</f>
        <v>20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</row>
    <row r="43" spans="1:19" ht="15">
      <c r="A43" s="151"/>
      <c r="B43" s="155" t="s">
        <v>189</v>
      </c>
      <c r="C43" s="155"/>
      <c r="D43" s="155"/>
      <c r="E43" s="155"/>
      <c r="F43" s="155"/>
      <c r="G43" s="156">
        <v>32000</v>
      </c>
      <c r="H43" s="156">
        <f>G43/1000</f>
        <v>32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</row>
    <row r="44" spans="1:19" ht="15">
      <c r="A44" s="151"/>
      <c r="B44" s="155" t="s">
        <v>190</v>
      </c>
      <c r="C44" s="155"/>
      <c r="D44" s="155"/>
      <c r="E44" s="155"/>
      <c r="F44" s="155"/>
      <c r="G44" s="156">
        <f>SUM(E45:E46)</f>
        <v>288000</v>
      </c>
      <c r="H44" s="156">
        <f>G44/1000</f>
        <v>288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1:19" ht="14.25">
      <c r="A45" s="149"/>
      <c r="B45" s="180" t="s">
        <v>191</v>
      </c>
      <c r="C45" s="155" t="s">
        <v>436</v>
      </c>
      <c r="D45" s="155"/>
      <c r="E45" s="155">
        <f>3*4000*12</f>
        <v>144000</v>
      </c>
      <c r="F45" s="155"/>
      <c r="G45" s="156"/>
      <c r="H45" s="156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</row>
    <row r="46" spans="1:19" ht="15">
      <c r="A46" s="150"/>
      <c r="B46" s="180" t="s">
        <v>192</v>
      </c>
      <c r="C46" s="155" t="s">
        <v>193</v>
      </c>
      <c r="D46" s="155"/>
      <c r="E46" s="155">
        <f>12*12000</f>
        <v>144000</v>
      </c>
      <c r="F46" s="155"/>
      <c r="G46" s="156"/>
      <c r="H46" s="156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</row>
    <row r="47" spans="1:19" ht="15">
      <c r="A47" s="150"/>
      <c r="B47" s="155" t="s">
        <v>194</v>
      </c>
      <c r="C47" s="155"/>
      <c r="D47" s="155"/>
      <c r="E47" s="155"/>
      <c r="F47" s="155"/>
      <c r="G47" s="156">
        <v>150000</v>
      </c>
      <c r="H47" s="156">
        <f aca="true" t="shared" si="0" ref="H47:H52">G47/1000</f>
        <v>150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</row>
    <row r="48" spans="1:19" ht="15">
      <c r="A48" s="150"/>
      <c r="B48" s="155" t="s">
        <v>195</v>
      </c>
      <c r="C48" s="155"/>
      <c r="D48" s="155"/>
      <c r="E48" s="155"/>
      <c r="F48" s="155"/>
      <c r="G48" s="156">
        <v>80000</v>
      </c>
      <c r="H48" s="156">
        <f t="shared" si="0"/>
        <v>80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</row>
    <row r="49" spans="1:19" ht="15">
      <c r="A49" s="150"/>
      <c r="B49" s="155" t="s">
        <v>196</v>
      </c>
      <c r="C49" s="155"/>
      <c r="D49" s="155"/>
      <c r="E49" s="155"/>
      <c r="F49" s="155"/>
      <c r="G49" s="156">
        <v>50000</v>
      </c>
      <c r="H49" s="156">
        <f t="shared" si="0"/>
        <v>50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15">
      <c r="A50" s="150"/>
      <c r="B50" s="155" t="s">
        <v>197</v>
      </c>
      <c r="C50" s="155"/>
      <c r="D50" s="155"/>
      <c r="E50" s="155"/>
      <c r="F50" s="155"/>
      <c r="G50" s="156">
        <f>298000-56693</f>
        <v>241307</v>
      </c>
      <c r="H50" s="156">
        <f t="shared" si="0"/>
        <v>241.307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</row>
    <row r="51" spans="1:19" ht="15">
      <c r="A51" s="150"/>
      <c r="B51" s="155" t="s">
        <v>198</v>
      </c>
      <c r="C51" s="155"/>
      <c r="D51" s="155"/>
      <c r="E51" s="155"/>
      <c r="F51" s="155"/>
      <c r="G51" s="156">
        <v>60000</v>
      </c>
      <c r="H51" s="156">
        <f t="shared" si="0"/>
        <v>60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ht="15">
      <c r="A52" s="150"/>
      <c r="B52" s="155" t="s">
        <v>199</v>
      </c>
      <c r="C52" s="155"/>
      <c r="D52" s="155"/>
      <c r="E52" s="155"/>
      <c r="F52" s="155"/>
      <c r="G52" s="156">
        <f>SUM(F53:F57)</f>
        <v>1064000</v>
      </c>
      <c r="H52" s="156">
        <f t="shared" si="0"/>
        <v>1064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14.25">
      <c r="A53" s="149"/>
      <c r="B53" s="528" t="s">
        <v>200</v>
      </c>
      <c r="C53" s="529">
        <v>50000</v>
      </c>
      <c r="D53" s="529" t="s">
        <v>437</v>
      </c>
      <c r="E53" s="155"/>
      <c r="F53" s="156">
        <f>50000*12</f>
        <v>600000</v>
      </c>
      <c r="H53" s="156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ht="14.25">
      <c r="A54" s="149"/>
      <c r="B54" s="528" t="s">
        <v>201</v>
      </c>
      <c r="C54" s="529">
        <v>40000</v>
      </c>
      <c r="D54" s="529" t="s">
        <v>438</v>
      </c>
      <c r="E54" s="155"/>
      <c r="F54" s="156">
        <f>40000*6</f>
        <v>240000</v>
      </c>
      <c r="H54" s="156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ht="14.25">
      <c r="A55" s="149"/>
      <c r="B55" s="528" t="s">
        <v>202</v>
      </c>
      <c r="C55" s="529"/>
      <c r="D55" s="529"/>
      <c r="E55" s="155"/>
      <c r="F55" s="156">
        <v>100000</v>
      </c>
      <c r="H55" s="156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</row>
    <row r="56" spans="1:19" ht="14.25">
      <c r="A56" s="149"/>
      <c r="B56" s="528" t="s">
        <v>203</v>
      </c>
      <c r="C56" s="529"/>
      <c r="D56" s="529"/>
      <c r="E56" s="155"/>
      <c r="F56" s="155">
        <v>100000</v>
      </c>
      <c r="G56" s="156"/>
      <c r="H56" s="156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</row>
    <row r="57" spans="1:19" ht="14.25">
      <c r="A57" s="149"/>
      <c r="B57" s="528" t="s">
        <v>439</v>
      </c>
      <c r="C57" s="529">
        <v>12000</v>
      </c>
      <c r="D57" s="529" t="s">
        <v>440</v>
      </c>
      <c r="E57" s="155"/>
      <c r="F57" s="155">
        <f>+C57*2</f>
        <v>24000</v>
      </c>
      <c r="G57" s="156"/>
      <c r="H57" s="156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ht="15">
      <c r="A58" s="151"/>
      <c r="B58" s="155" t="s">
        <v>204</v>
      </c>
      <c r="C58" s="155"/>
      <c r="D58" s="155"/>
      <c r="E58" s="155"/>
      <c r="F58" s="155"/>
      <c r="G58" s="156">
        <f>170000+36835-43655</f>
        <v>163180</v>
      </c>
      <c r="H58" s="156">
        <f>G58/1000</f>
        <v>163.18</v>
      </c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</row>
    <row r="59" spans="1:19" ht="16.5" customHeight="1">
      <c r="A59" s="151"/>
      <c r="B59" s="155" t="s">
        <v>205</v>
      </c>
      <c r="C59" s="155"/>
      <c r="D59" s="156"/>
      <c r="E59" s="155"/>
      <c r="F59" s="155"/>
      <c r="G59" s="50">
        <v>184493</v>
      </c>
      <c r="H59" s="156">
        <f>D59/1000</f>
        <v>0</v>
      </c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</row>
    <row r="60" spans="1:19" ht="15" thickBot="1">
      <c r="A60" s="149"/>
      <c r="B60" s="155"/>
      <c r="C60" s="155"/>
      <c r="D60" s="155"/>
      <c r="E60" s="155"/>
      <c r="F60" s="155"/>
      <c r="G60" s="156"/>
      <c r="H60" s="156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</row>
    <row r="61" spans="1:19" ht="15.75" thickBot="1">
      <c r="A61" s="165" t="s">
        <v>206</v>
      </c>
      <c r="B61" s="177"/>
      <c r="C61" s="177"/>
      <c r="D61" s="177"/>
      <c r="E61" s="177"/>
      <c r="F61" s="177"/>
      <c r="G61" s="167">
        <f>SUM(G41:G59)</f>
        <v>2382980</v>
      </c>
      <c r="H61" s="409">
        <f>ROUND(G61/1000,0)</f>
        <v>2383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15" thickBot="1">
      <c r="A62" s="149"/>
      <c r="B62" s="155"/>
      <c r="C62" s="155"/>
      <c r="D62" s="155"/>
      <c r="E62" s="155"/>
      <c r="F62" s="155"/>
      <c r="G62" s="156"/>
      <c r="H62" s="156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ht="28.5" customHeight="1" thickBot="1">
      <c r="A63" s="145" t="s">
        <v>207</v>
      </c>
      <c r="B63" s="146"/>
      <c r="C63" s="146"/>
      <c r="D63" s="146"/>
      <c r="E63" s="146"/>
      <c r="F63" s="146"/>
      <c r="G63" s="147">
        <f>G61+G37+G29</f>
        <v>8000000</v>
      </c>
      <c r="H63" s="410">
        <f>H61+H37+H29</f>
        <v>8000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pans="9:19" ht="12.75"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9:19" ht="12.75"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2:19" ht="12.75">
      <c r="B66" s="51" t="s">
        <v>209</v>
      </c>
      <c r="G66" s="50">
        <f>+G11-G63</f>
        <v>0</v>
      </c>
      <c r="H66" s="50">
        <f>+G66/1.27</f>
        <v>0</v>
      </c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</row>
    <row r="67" spans="9:19" ht="12.75"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</row>
    <row r="68" spans="9:19" ht="12.75"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</row>
    <row r="69" spans="9:19" ht="12.75"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</row>
    <row r="70" spans="9:19" ht="12.75"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</row>
    <row r="71" spans="9:19" ht="12.75"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2/2014.(I.24.) Önkormányzati költségvetési rendelethez&amp;R&amp;D</oddHeader>
  </headerFooter>
  <rowBreaks count="1" manualBreakCount="1">
    <brk id="5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7.57421875" style="417" customWidth="1"/>
    <col min="2" max="2" width="56.421875" style="417" customWidth="1"/>
    <col min="3" max="3" width="18.7109375" style="417" customWidth="1"/>
    <col min="4" max="16384" width="10.421875" style="417" customWidth="1"/>
  </cols>
  <sheetData>
    <row r="1" spans="1:3" ht="78.75" customHeight="1">
      <c r="A1" s="770" t="s">
        <v>342</v>
      </c>
      <c r="B1" s="770"/>
      <c r="C1" s="770"/>
    </row>
    <row r="2" spans="1:4" ht="15.75" thickBot="1">
      <c r="A2" s="418"/>
      <c r="B2" s="418"/>
      <c r="C2" s="419" t="s">
        <v>343</v>
      </c>
      <c r="D2" s="420"/>
    </row>
    <row r="3" spans="1:3" ht="32.25" thickBot="1">
      <c r="A3" s="421" t="s">
        <v>297</v>
      </c>
      <c r="B3" s="422" t="s">
        <v>344</v>
      </c>
      <c r="C3" s="423" t="s">
        <v>491</v>
      </c>
    </row>
    <row r="4" spans="1:3" ht="16.5" thickBot="1">
      <c r="A4" s="424" t="s">
        <v>11</v>
      </c>
      <c r="B4" s="425" t="s">
        <v>359</v>
      </c>
      <c r="C4" s="426" t="s">
        <v>13</v>
      </c>
    </row>
    <row r="5" spans="1:3" ht="15.75">
      <c r="A5" s="441" t="s">
        <v>20</v>
      </c>
      <c r="B5" s="427" t="s">
        <v>345</v>
      </c>
      <c r="C5" s="428">
        <f>+1_mell!E11+1_mell!E13+1_mell!E14+1_mell!E15</f>
        <v>142778</v>
      </c>
    </row>
    <row r="6" spans="1:3" ht="15.75">
      <c r="A6" s="442" t="s">
        <v>21</v>
      </c>
      <c r="B6" s="429" t="s">
        <v>346</v>
      </c>
      <c r="C6" s="430"/>
    </row>
    <row r="7" spans="1:3" ht="15.75">
      <c r="A7" s="442" t="s">
        <v>22</v>
      </c>
      <c r="B7" s="429" t="s">
        <v>347</v>
      </c>
      <c r="C7" s="430">
        <f>+1_mell!E16</f>
        <v>2500</v>
      </c>
    </row>
    <row r="8" spans="1:3" ht="31.5">
      <c r="A8" s="442" t="s">
        <v>23</v>
      </c>
      <c r="B8" s="431" t="s">
        <v>348</v>
      </c>
      <c r="C8" s="430"/>
    </row>
    <row r="9" spans="1:3" ht="15.75">
      <c r="A9" s="443" t="s">
        <v>24</v>
      </c>
      <c r="B9" s="432" t="s">
        <v>349</v>
      </c>
      <c r="C9" s="430"/>
    </row>
    <row r="10" spans="1:3" ht="15.75">
      <c r="A10" s="442" t="s">
        <v>25</v>
      </c>
      <c r="B10" s="429" t="s">
        <v>350</v>
      </c>
      <c r="C10" s="430"/>
    </row>
    <row r="11" spans="1:3" ht="16.5" thickBot="1">
      <c r="A11" s="443" t="s">
        <v>26</v>
      </c>
      <c r="B11" s="432" t="s">
        <v>351</v>
      </c>
      <c r="C11" s="440"/>
    </row>
    <row r="12" spans="1:3" ht="17.25" thickBot="1">
      <c r="A12" s="444" t="s">
        <v>27</v>
      </c>
      <c r="B12" s="439" t="s">
        <v>352</v>
      </c>
      <c r="C12" s="433">
        <f>SUM(C5:C11)</f>
        <v>145278</v>
      </c>
    </row>
    <row r="13" spans="1:3" ht="39" customHeight="1">
      <c r="A13" s="771" t="s">
        <v>353</v>
      </c>
      <c r="B13" s="771"/>
      <c r="C13" s="771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2/2014.(I.24.) Önkormányzati költségvetési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BE333"/>
  <sheetViews>
    <sheetView zoomScalePageLayoutView="0" workbookViewId="0" topLeftCell="A1">
      <selection activeCell="D2" sqref="D2"/>
    </sheetView>
  </sheetViews>
  <sheetFormatPr defaultColWidth="9.140625" defaultRowHeight="13.5" customHeight="1"/>
  <cols>
    <col min="1" max="1" width="4.00390625" style="50" customWidth="1"/>
    <col min="2" max="2" width="4.7109375" style="50" customWidth="1"/>
    <col min="3" max="3" width="23.7109375" style="50" customWidth="1"/>
    <col min="4" max="5" width="12.7109375" style="50" bestFit="1" customWidth="1"/>
    <col min="6" max="6" width="10.140625" style="50" bestFit="1" customWidth="1"/>
    <col min="7" max="7" width="8.28125" style="50" bestFit="1" customWidth="1"/>
    <col min="8" max="10" width="10.140625" style="50" bestFit="1" customWidth="1"/>
    <col min="11" max="11" width="9.8515625" style="50" bestFit="1" customWidth="1"/>
    <col min="12" max="12" width="11.00390625" style="50" bestFit="1" customWidth="1"/>
    <col min="13" max="13" width="10.140625" style="50" bestFit="1" customWidth="1"/>
    <col min="14" max="14" width="11.57421875" style="50" bestFit="1" customWidth="1"/>
    <col min="15" max="15" width="11.140625" style="50" bestFit="1" customWidth="1"/>
    <col min="16" max="16" width="11.140625" style="728" bestFit="1" customWidth="1"/>
    <col min="17" max="20" width="11.140625" style="728" customWidth="1"/>
    <col min="21" max="21" width="12.7109375" style="139" bestFit="1" customWidth="1"/>
    <col min="22" max="28" width="11.7109375" style="139" customWidth="1"/>
    <col min="29" max="30" width="9.7109375" style="139" customWidth="1"/>
    <col min="31" max="31" width="10.57421875" style="139" customWidth="1"/>
    <col min="32" max="32" width="13.00390625" style="139" customWidth="1"/>
    <col min="33" max="33" width="9.28125" style="139" customWidth="1"/>
    <col min="34" max="57" width="9.140625" style="139" customWidth="1"/>
    <col min="58" max="16384" width="9.140625" style="50" customWidth="1"/>
  </cols>
  <sheetData>
    <row r="3" spans="2:20" ht="32.25" customHeight="1">
      <c r="B3" s="772" t="s">
        <v>424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320"/>
      <c r="R3" s="320"/>
      <c r="S3" s="320"/>
      <c r="T3" s="320"/>
    </row>
    <row r="4" spans="1:20" ht="32.25" customHeight="1" thickBot="1">
      <c r="A4" s="50" t="s">
        <v>11</v>
      </c>
      <c r="B4" s="320" t="s">
        <v>359</v>
      </c>
      <c r="C4" s="320" t="s">
        <v>13</v>
      </c>
      <c r="D4" s="320" t="s">
        <v>14</v>
      </c>
      <c r="E4" s="320" t="s">
        <v>15</v>
      </c>
      <c r="F4" s="320" t="s">
        <v>16</v>
      </c>
      <c r="G4" s="320" t="s">
        <v>17</v>
      </c>
      <c r="H4" s="320" t="s">
        <v>18</v>
      </c>
      <c r="I4" s="320" t="s">
        <v>59</v>
      </c>
      <c r="J4" s="320" t="s">
        <v>366</v>
      </c>
      <c r="K4" s="320" t="s">
        <v>360</v>
      </c>
      <c r="L4" s="320" t="s">
        <v>361</v>
      </c>
      <c r="M4" s="320" t="s">
        <v>363</v>
      </c>
      <c r="N4" s="320" t="s">
        <v>367</v>
      </c>
      <c r="O4" s="320" t="s">
        <v>368</v>
      </c>
      <c r="P4" s="320" t="s">
        <v>369</v>
      </c>
      <c r="Q4" s="320"/>
      <c r="R4" s="320"/>
      <c r="S4" s="320"/>
      <c r="T4" s="320"/>
    </row>
    <row r="5" spans="1:20" ht="18" customHeight="1" thickBot="1">
      <c r="A5" s="50" t="s">
        <v>20</v>
      </c>
      <c r="B5" s="286" t="s">
        <v>297</v>
      </c>
      <c r="C5" s="287" t="s">
        <v>63</v>
      </c>
      <c r="D5" s="287" t="s">
        <v>298</v>
      </c>
      <c r="E5" s="287" t="s">
        <v>299</v>
      </c>
      <c r="F5" s="287" t="s">
        <v>300</v>
      </c>
      <c r="G5" s="287" t="s">
        <v>301</v>
      </c>
      <c r="H5" s="287" t="s">
        <v>302</v>
      </c>
      <c r="I5" s="287" t="s">
        <v>303</v>
      </c>
      <c r="J5" s="287" t="s">
        <v>304</v>
      </c>
      <c r="K5" s="287" t="s">
        <v>305</v>
      </c>
      <c r="L5" s="287" t="s">
        <v>306</v>
      </c>
      <c r="M5" s="287" t="s">
        <v>307</v>
      </c>
      <c r="N5" s="287" t="s">
        <v>308</v>
      </c>
      <c r="O5" s="287" t="s">
        <v>309</v>
      </c>
      <c r="P5" s="288" t="s">
        <v>310</v>
      </c>
      <c r="Q5" s="321"/>
      <c r="R5" s="321"/>
      <c r="S5" s="321"/>
      <c r="T5" s="321"/>
    </row>
    <row r="6" spans="1:20" ht="13.5" customHeight="1" thickBot="1">
      <c r="A6" s="50" t="s">
        <v>21</v>
      </c>
      <c r="B6" s="289" t="s">
        <v>20</v>
      </c>
      <c r="C6" s="290" t="s">
        <v>93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306"/>
      <c r="Q6" s="322"/>
      <c r="R6" s="322"/>
      <c r="S6" s="322"/>
      <c r="T6" s="322"/>
    </row>
    <row r="7" spans="1:20" ht="13.5" customHeight="1">
      <c r="A7" s="50" t="s">
        <v>22</v>
      </c>
      <c r="B7" s="292" t="s">
        <v>21</v>
      </c>
      <c r="C7" s="293" t="s">
        <v>331</v>
      </c>
      <c r="D7" s="323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 t="s">
        <v>332</v>
      </c>
      <c r="Q7" s="326"/>
      <c r="R7" s="326"/>
      <c r="S7" s="326"/>
      <c r="T7" s="326"/>
    </row>
    <row r="8" spans="1:20" ht="13.5" customHeight="1">
      <c r="A8" s="50" t="s">
        <v>23</v>
      </c>
      <c r="B8" s="296" t="s">
        <v>22</v>
      </c>
      <c r="C8" s="297" t="s">
        <v>312</v>
      </c>
      <c r="D8" s="327">
        <v>42</v>
      </c>
      <c r="E8" s="327">
        <f>+D8</f>
        <v>42</v>
      </c>
      <c r="F8" s="327">
        <f aca="true" t="shared" si="0" ref="F8:N8">+E8</f>
        <v>42</v>
      </c>
      <c r="G8" s="327">
        <f t="shared" si="0"/>
        <v>42</v>
      </c>
      <c r="H8" s="327">
        <f t="shared" si="0"/>
        <v>42</v>
      </c>
      <c r="I8" s="327">
        <f t="shared" si="0"/>
        <v>42</v>
      </c>
      <c r="J8" s="327">
        <f t="shared" si="0"/>
        <v>42</v>
      </c>
      <c r="K8" s="327">
        <f t="shared" si="0"/>
        <v>42</v>
      </c>
      <c r="L8" s="327">
        <f t="shared" si="0"/>
        <v>42</v>
      </c>
      <c r="M8" s="327">
        <f t="shared" si="0"/>
        <v>42</v>
      </c>
      <c r="N8" s="327">
        <f t="shared" si="0"/>
        <v>42</v>
      </c>
      <c r="O8" s="327">
        <f>+N8-4</f>
        <v>38</v>
      </c>
      <c r="P8" s="643">
        <f>SUM(D8:O8)</f>
        <v>500</v>
      </c>
      <c r="Q8" s="329"/>
      <c r="R8" s="329"/>
      <c r="S8" s="329"/>
      <c r="T8" s="329"/>
    </row>
    <row r="9" spans="1:20" ht="22.5" customHeight="1">
      <c r="A9" s="50" t="s">
        <v>24</v>
      </c>
      <c r="B9" s="296" t="s">
        <v>23</v>
      </c>
      <c r="C9" s="300" t="s">
        <v>358</v>
      </c>
      <c r="D9" s="330">
        <v>20064</v>
      </c>
      <c r="E9" s="330">
        <f>+D9</f>
        <v>20064</v>
      </c>
      <c r="F9" s="330">
        <f aca="true" t="shared" si="1" ref="F9:N9">+E9</f>
        <v>20064</v>
      </c>
      <c r="G9" s="330">
        <f t="shared" si="1"/>
        <v>20064</v>
      </c>
      <c r="H9" s="330">
        <f t="shared" si="1"/>
        <v>20064</v>
      </c>
      <c r="I9" s="330">
        <f t="shared" si="1"/>
        <v>20064</v>
      </c>
      <c r="J9" s="330">
        <f t="shared" si="1"/>
        <v>20064</v>
      </c>
      <c r="K9" s="330">
        <f t="shared" si="1"/>
        <v>20064</v>
      </c>
      <c r="L9" s="330">
        <f t="shared" si="1"/>
        <v>20064</v>
      </c>
      <c r="M9" s="330">
        <f t="shared" si="1"/>
        <v>20064</v>
      </c>
      <c r="N9" s="330">
        <f t="shared" si="1"/>
        <v>20064</v>
      </c>
      <c r="O9" s="330">
        <f>+N9+5+301</f>
        <v>20370</v>
      </c>
      <c r="P9" s="331">
        <f>SUM(D9:O9)</f>
        <v>241074</v>
      </c>
      <c r="Q9" s="329"/>
      <c r="R9" s="329"/>
      <c r="S9" s="329"/>
      <c r="T9" s="329"/>
    </row>
    <row r="10" spans="1:20" ht="13.5" customHeight="1">
      <c r="A10" s="50" t="s">
        <v>25</v>
      </c>
      <c r="B10" s="296" t="s">
        <v>24</v>
      </c>
      <c r="C10" s="297" t="s">
        <v>314</v>
      </c>
      <c r="D10" s="327">
        <v>12937</v>
      </c>
      <c r="E10" s="327">
        <f>+D10</f>
        <v>12937</v>
      </c>
      <c r="F10" s="327">
        <f aca="true" t="shared" si="2" ref="F10:N10">+E10</f>
        <v>12937</v>
      </c>
      <c r="G10" s="327">
        <f t="shared" si="2"/>
        <v>12937</v>
      </c>
      <c r="H10" s="327">
        <f t="shared" si="2"/>
        <v>12937</v>
      </c>
      <c r="I10" s="327">
        <f t="shared" si="2"/>
        <v>12937</v>
      </c>
      <c r="J10" s="327">
        <f t="shared" si="2"/>
        <v>12937</v>
      </c>
      <c r="K10" s="327">
        <f t="shared" si="2"/>
        <v>12937</v>
      </c>
      <c r="L10" s="327">
        <f t="shared" si="2"/>
        <v>12937</v>
      </c>
      <c r="M10" s="327">
        <f t="shared" si="2"/>
        <v>12937</v>
      </c>
      <c r="N10" s="327">
        <f t="shared" si="2"/>
        <v>12937</v>
      </c>
      <c r="O10" s="327">
        <f>+N10-2</f>
        <v>12935</v>
      </c>
      <c r="P10" s="328">
        <f aca="true" t="shared" si="3" ref="P10:P28">SUM(D10:O10)</f>
        <v>155242</v>
      </c>
      <c r="R10" s="329"/>
      <c r="S10" s="329"/>
      <c r="T10" s="329"/>
    </row>
    <row r="11" spans="1:20" ht="13.5" customHeight="1">
      <c r="A11" s="50" t="s">
        <v>26</v>
      </c>
      <c r="B11" s="296" t="s">
        <v>25</v>
      </c>
      <c r="C11" s="297" t="s">
        <v>315</v>
      </c>
      <c r="D11" s="327">
        <v>5000</v>
      </c>
      <c r="E11" s="327">
        <v>10000</v>
      </c>
      <c r="F11" s="327">
        <f>+F42</f>
        <v>0</v>
      </c>
      <c r="G11" s="327">
        <f>+G42</f>
        <v>0</v>
      </c>
      <c r="H11" s="327"/>
      <c r="I11" s="327"/>
      <c r="J11" s="327"/>
      <c r="K11" s="327"/>
      <c r="L11" s="327">
        <v>14137</v>
      </c>
      <c r="M11" s="327"/>
      <c r="N11" s="327">
        <f>22313+26212</f>
        <v>48525</v>
      </c>
      <c r="O11" s="327"/>
      <c r="P11" s="328">
        <f t="shared" si="3"/>
        <v>77662</v>
      </c>
      <c r="R11" s="329"/>
      <c r="S11" s="329"/>
      <c r="T11" s="329"/>
    </row>
    <row r="12" spans="1:20" ht="13.5" customHeight="1">
      <c r="A12" s="50" t="s">
        <v>27</v>
      </c>
      <c r="B12" s="296" t="s">
        <v>26</v>
      </c>
      <c r="C12" s="297" t="s">
        <v>316</v>
      </c>
      <c r="D12" s="327">
        <v>9845</v>
      </c>
      <c r="E12" s="327">
        <f>+D12</f>
        <v>9845</v>
      </c>
      <c r="F12" s="327">
        <f aca="true" t="shared" si="4" ref="F12:N12">+E12</f>
        <v>9845</v>
      </c>
      <c r="G12" s="327">
        <f t="shared" si="4"/>
        <v>9845</v>
      </c>
      <c r="H12" s="327">
        <f t="shared" si="4"/>
        <v>9845</v>
      </c>
      <c r="I12" s="327">
        <f t="shared" si="4"/>
        <v>9845</v>
      </c>
      <c r="J12" s="327">
        <f t="shared" si="4"/>
        <v>9845</v>
      </c>
      <c r="K12" s="327">
        <f t="shared" si="4"/>
        <v>9845</v>
      </c>
      <c r="L12" s="327">
        <f t="shared" si="4"/>
        <v>9845</v>
      </c>
      <c r="M12" s="327">
        <f t="shared" si="4"/>
        <v>9845</v>
      </c>
      <c r="N12" s="327">
        <f t="shared" si="4"/>
        <v>9845</v>
      </c>
      <c r="O12" s="327">
        <f>+N12-5+10-301</f>
        <v>9549</v>
      </c>
      <c r="P12" s="643">
        <f t="shared" si="3"/>
        <v>117844</v>
      </c>
      <c r="Q12" s="329"/>
      <c r="R12" s="329"/>
      <c r="S12" s="329"/>
      <c r="T12" s="329"/>
    </row>
    <row r="13" spans="1:20" ht="13.5" customHeight="1">
      <c r="A13" s="50" t="s">
        <v>28</v>
      </c>
      <c r="B13" s="296" t="s">
        <v>27</v>
      </c>
      <c r="C13" s="297" t="s">
        <v>317</v>
      </c>
      <c r="D13" s="327">
        <v>13</v>
      </c>
      <c r="E13" s="327">
        <f>+D13</f>
        <v>13</v>
      </c>
      <c r="F13" s="327">
        <f aca="true" t="shared" si="5" ref="F13:N13">+E13</f>
        <v>13</v>
      </c>
      <c r="G13" s="327">
        <f t="shared" si="5"/>
        <v>13</v>
      </c>
      <c r="H13" s="327">
        <f t="shared" si="5"/>
        <v>13</v>
      </c>
      <c r="I13" s="327">
        <f t="shared" si="5"/>
        <v>13</v>
      </c>
      <c r="J13" s="327">
        <f t="shared" si="5"/>
        <v>13</v>
      </c>
      <c r="K13" s="327">
        <f t="shared" si="5"/>
        <v>13</v>
      </c>
      <c r="L13" s="327">
        <f t="shared" si="5"/>
        <v>13</v>
      </c>
      <c r="M13" s="327">
        <f t="shared" si="5"/>
        <v>13</v>
      </c>
      <c r="N13" s="327">
        <f t="shared" si="5"/>
        <v>13</v>
      </c>
      <c r="O13" s="327">
        <f>+N13-6</f>
        <v>7</v>
      </c>
      <c r="P13" s="643">
        <f>SUM(D13:O13)</f>
        <v>150</v>
      </c>
      <c r="Q13" s="329"/>
      <c r="R13" s="329"/>
      <c r="S13" s="329"/>
      <c r="T13" s="329"/>
    </row>
    <row r="14" spans="1:20" ht="21" customHeight="1">
      <c r="A14" s="50" t="s">
        <v>29</v>
      </c>
      <c r="B14" s="296" t="s">
        <v>28</v>
      </c>
      <c r="C14" s="302" t="s">
        <v>318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>
        <f t="shared" si="3"/>
        <v>0</v>
      </c>
      <c r="Q14" s="329"/>
      <c r="R14" s="329"/>
      <c r="S14" s="329"/>
      <c r="T14" s="329"/>
    </row>
    <row r="15" spans="1:20" ht="13.5" customHeight="1" thickBot="1">
      <c r="A15" s="50" t="s">
        <v>30</v>
      </c>
      <c r="B15" s="296" t="s">
        <v>29</v>
      </c>
      <c r="C15" s="297" t="s">
        <v>333</v>
      </c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>
        <f t="shared" si="3"/>
        <v>0</v>
      </c>
      <c r="Q15" s="329"/>
      <c r="R15" s="329"/>
      <c r="S15" s="329"/>
      <c r="T15" s="329"/>
    </row>
    <row r="16" spans="1:57" s="728" customFormat="1" ht="13.5" customHeight="1" thickBot="1">
      <c r="A16" s="728" t="s">
        <v>31</v>
      </c>
      <c r="B16" s="289" t="s">
        <v>30</v>
      </c>
      <c r="C16" s="304" t="s">
        <v>319</v>
      </c>
      <c r="D16" s="332">
        <f>SUM(D8:D15)</f>
        <v>47901</v>
      </c>
      <c r="E16" s="332">
        <f aca="true" t="shared" si="6" ref="E16:O16">SUM(E8:E15)</f>
        <v>52901</v>
      </c>
      <c r="F16" s="332">
        <f t="shared" si="6"/>
        <v>42901</v>
      </c>
      <c r="G16" s="332">
        <f t="shared" si="6"/>
        <v>42901</v>
      </c>
      <c r="H16" s="332">
        <f t="shared" si="6"/>
        <v>42901</v>
      </c>
      <c r="I16" s="332">
        <f t="shared" si="6"/>
        <v>42901</v>
      </c>
      <c r="J16" s="332">
        <f t="shared" si="6"/>
        <v>42901</v>
      </c>
      <c r="K16" s="332">
        <f t="shared" si="6"/>
        <v>42901</v>
      </c>
      <c r="L16" s="332">
        <f t="shared" si="6"/>
        <v>57038</v>
      </c>
      <c r="M16" s="332">
        <f t="shared" si="6"/>
        <v>42901</v>
      </c>
      <c r="N16" s="332">
        <f t="shared" si="6"/>
        <v>91426</v>
      </c>
      <c r="O16" s="332">
        <f t="shared" si="6"/>
        <v>42899</v>
      </c>
      <c r="P16" s="332">
        <f>SUM(P8:P15)</f>
        <v>592472</v>
      </c>
      <c r="Q16" s="333"/>
      <c r="R16" s="333"/>
      <c r="S16" s="333"/>
      <c r="T16" s="333"/>
      <c r="U16" s="729"/>
      <c r="V16" s="139"/>
      <c r="W16" s="139"/>
      <c r="X16" s="139"/>
      <c r="Y16" s="729"/>
      <c r="Z16" s="139"/>
      <c r="AA16" s="729"/>
      <c r="AB16" s="139"/>
      <c r="AC16" s="729"/>
      <c r="AD16" s="729"/>
      <c r="AE16" s="729"/>
      <c r="AF16" s="729"/>
      <c r="AG16" s="729"/>
      <c r="AH16" s="729"/>
      <c r="AI16" s="729"/>
      <c r="AJ16" s="729"/>
      <c r="AK16" s="729"/>
      <c r="AL16" s="729"/>
      <c r="AM16" s="729"/>
      <c r="AN16" s="729"/>
      <c r="AO16" s="729"/>
      <c r="AP16" s="729"/>
      <c r="AQ16" s="729"/>
      <c r="AR16" s="729"/>
      <c r="AS16" s="729"/>
      <c r="AT16" s="729"/>
      <c r="AU16" s="729"/>
      <c r="AV16" s="729"/>
      <c r="AW16" s="729"/>
      <c r="AX16" s="729"/>
      <c r="AY16" s="729"/>
      <c r="AZ16" s="729"/>
      <c r="BA16" s="729"/>
      <c r="BB16" s="729"/>
      <c r="BC16" s="729"/>
      <c r="BD16" s="729"/>
      <c r="BE16" s="729"/>
    </row>
    <row r="17" spans="1:57" s="728" customFormat="1" ht="13.5" customHeight="1" thickBot="1">
      <c r="A17" s="728" t="s">
        <v>32</v>
      </c>
      <c r="B17" s="289" t="s">
        <v>31</v>
      </c>
      <c r="C17" s="290" t="s">
        <v>121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306"/>
      <c r="Q17" s="322"/>
      <c r="R17" s="322"/>
      <c r="S17" s="322"/>
      <c r="T17" s="335"/>
      <c r="U17" s="729"/>
      <c r="V17" s="139"/>
      <c r="W17" s="139"/>
      <c r="X17" s="139"/>
      <c r="Y17" s="729"/>
      <c r="Z17" s="139"/>
      <c r="AA17" s="729"/>
      <c r="AB17" s="139"/>
      <c r="AC17" s="729"/>
      <c r="AD17" s="729"/>
      <c r="AE17" s="729"/>
      <c r="AF17" s="729"/>
      <c r="AG17" s="729"/>
      <c r="AH17" s="729"/>
      <c r="AI17" s="729"/>
      <c r="AJ17" s="729"/>
      <c r="AK17" s="729"/>
      <c r="AL17" s="729"/>
      <c r="AM17" s="729"/>
      <c r="AN17" s="729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29"/>
    </row>
    <row r="18" spans="1:20" ht="13.5" customHeight="1">
      <c r="A18" s="50" t="s">
        <v>33</v>
      </c>
      <c r="B18" s="307" t="s">
        <v>32</v>
      </c>
      <c r="C18" s="308" t="s">
        <v>212</v>
      </c>
      <c r="D18" s="330">
        <v>253</v>
      </c>
      <c r="E18" s="330">
        <f>+D18</f>
        <v>253</v>
      </c>
      <c r="F18" s="330">
        <f aca="true" t="shared" si="7" ref="F18:N20">+E18</f>
        <v>253</v>
      </c>
      <c r="G18" s="330">
        <f t="shared" si="7"/>
        <v>253</v>
      </c>
      <c r="H18" s="330">
        <f t="shared" si="7"/>
        <v>253</v>
      </c>
      <c r="I18" s="330">
        <f t="shared" si="7"/>
        <v>253</v>
      </c>
      <c r="J18" s="330">
        <f t="shared" si="7"/>
        <v>253</v>
      </c>
      <c r="K18" s="330">
        <f t="shared" si="7"/>
        <v>253</v>
      </c>
      <c r="L18" s="330">
        <f t="shared" si="7"/>
        <v>253</v>
      </c>
      <c r="M18" s="330">
        <f t="shared" si="7"/>
        <v>253</v>
      </c>
      <c r="N18" s="330">
        <f t="shared" si="7"/>
        <v>253</v>
      </c>
      <c r="O18" s="330">
        <f>+N18-4+8-8</f>
        <v>249</v>
      </c>
      <c r="P18" s="331">
        <f>SUM(D18:O18)</f>
        <v>3032</v>
      </c>
      <c r="Q18" s="329"/>
      <c r="R18" s="329"/>
      <c r="S18" s="329"/>
      <c r="T18" s="329"/>
    </row>
    <row r="19" spans="1:20" ht="24.75" customHeight="1">
      <c r="A19" s="50" t="s">
        <v>34</v>
      </c>
      <c r="B19" s="296" t="s">
        <v>33</v>
      </c>
      <c r="C19" s="302" t="s">
        <v>320</v>
      </c>
      <c r="D19" s="327">
        <v>65</v>
      </c>
      <c r="E19" s="327">
        <f>+D19</f>
        <v>65</v>
      </c>
      <c r="F19" s="327">
        <f t="shared" si="7"/>
        <v>65</v>
      </c>
      <c r="G19" s="327">
        <f t="shared" si="7"/>
        <v>65</v>
      </c>
      <c r="H19" s="327">
        <f t="shared" si="7"/>
        <v>65</v>
      </c>
      <c r="I19" s="327">
        <f t="shared" si="7"/>
        <v>65</v>
      </c>
      <c r="J19" s="327">
        <f t="shared" si="7"/>
        <v>65</v>
      </c>
      <c r="K19" s="327">
        <f t="shared" si="7"/>
        <v>65</v>
      </c>
      <c r="L19" s="327">
        <f t="shared" si="7"/>
        <v>65</v>
      </c>
      <c r="M19" s="327">
        <f t="shared" si="7"/>
        <v>65</v>
      </c>
      <c r="N19" s="327">
        <f t="shared" si="7"/>
        <v>65</v>
      </c>
      <c r="O19" s="327">
        <f>+N19+5-10</f>
        <v>60</v>
      </c>
      <c r="P19" s="328">
        <f t="shared" si="3"/>
        <v>775</v>
      </c>
      <c r="Q19" s="329"/>
      <c r="R19" s="329"/>
      <c r="S19" s="329"/>
      <c r="T19" s="329"/>
    </row>
    <row r="20" spans="1:20" ht="13.5" customHeight="1">
      <c r="A20" s="50" t="s">
        <v>35</v>
      </c>
      <c r="B20" s="296" t="s">
        <v>34</v>
      </c>
      <c r="C20" s="297" t="s">
        <v>248</v>
      </c>
      <c r="D20" s="327">
        <v>473</v>
      </c>
      <c r="E20" s="327">
        <f>+D20</f>
        <v>473</v>
      </c>
      <c r="F20" s="327">
        <f t="shared" si="7"/>
        <v>473</v>
      </c>
      <c r="G20" s="327">
        <f t="shared" si="7"/>
        <v>473</v>
      </c>
      <c r="H20" s="327">
        <f t="shared" si="7"/>
        <v>473</v>
      </c>
      <c r="I20" s="327">
        <f t="shared" si="7"/>
        <v>473</v>
      </c>
      <c r="J20" s="327">
        <f t="shared" si="7"/>
        <v>473</v>
      </c>
      <c r="K20" s="327">
        <f t="shared" si="7"/>
        <v>473</v>
      </c>
      <c r="L20" s="327">
        <f t="shared" si="7"/>
        <v>473</v>
      </c>
      <c r="M20" s="327">
        <f t="shared" si="7"/>
        <v>473</v>
      </c>
      <c r="N20" s="327">
        <f t="shared" si="7"/>
        <v>473</v>
      </c>
      <c r="O20" s="327">
        <f>+N20+3+9450</f>
        <v>9926</v>
      </c>
      <c r="P20" s="328">
        <f t="shared" si="3"/>
        <v>15129</v>
      </c>
      <c r="Q20" s="329"/>
      <c r="R20" s="329"/>
      <c r="S20" s="329"/>
      <c r="T20" s="329"/>
    </row>
    <row r="21" spans="1:20" ht="13.5" customHeight="1">
      <c r="A21" s="50" t="s">
        <v>36</v>
      </c>
      <c r="B21" s="296" t="s">
        <v>35</v>
      </c>
      <c r="C21" s="297" t="s">
        <v>321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>
        <f t="shared" si="3"/>
        <v>0</v>
      </c>
      <c r="Q21" s="329"/>
      <c r="R21" s="329"/>
      <c r="S21" s="329"/>
      <c r="T21" s="329"/>
    </row>
    <row r="22" spans="1:20" ht="13.5" customHeight="1">
      <c r="A22" s="50" t="s">
        <v>37</v>
      </c>
      <c r="B22" s="296" t="s">
        <v>36</v>
      </c>
      <c r="C22" s="297" t="s">
        <v>322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8">
        <f t="shared" si="3"/>
        <v>0</v>
      </c>
      <c r="S22" s="329"/>
      <c r="T22" s="329"/>
    </row>
    <row r="23" spans="1:20" ht="13.5" customHeight="1">
      <c r="A23" s="50" t="s">
        <v>40</v>
      </c>
      <c r="B23" s="296" t="s">
        <v>37</v>
      </c>
      <c r="C23" s="297" t="s">
        <v>323</v>
      </c>
      <c r="D23" s="327">
        <v>2239</v>
      </c>
      <c r="E23" s="327">
        <f aca="true" t="shared" si="8" ref="E23:N23">+D23</f>
        <v>2239</v>
      </c>
      <c r="F23" s="327">
        <f t="shared" si="8"/>
        <v>2239</v>
      </c>
      <c r="G23" s="327">
        <f t="shared" si="8"/>
        <v>2239</v>
      </c>
      <c r="H23" s="327">
        <f t="shared" si="8"/>
        <v>2239</v>
      </c>
      <c r="I23" s="327">
        <f t="shared" si="8"/>
        <v>2239</v>
      </c>
      <c r="J23" s="327">
        <f t="shared" si="8"/>
        <v>2239</v>
      </c>
      <c r="K23" s="327">
        <f t="shared" si="8"/>
        <v>2239</v>
      </c>
      <c r="L23" s="327">
        <f t="shared" si="8"/>
        <v>2239</v>
      </c>
      <c r="M23" s="327">
        <f t="shared" si="8"/>
        <v>2239</v>
      </c>
      <c r="N23" s="327">
        <f t="shared" si="8"/>
        <v>2239</v>
      </c>
      <c r="O23" s="327">
        <f>+N23+1-700</f>
        <v>1540</v>
      </c>
      <c r="P23" s="328">
        <f t="shared" si="3"/>
        <v>26169</v>
      </c>
      <c r="Q23" s="329"/>
      <c r="R23" s="329"/>
      <c r="S23" s="329"/>
      <c r="T23" s="329"/>
    </row>
    <row r="24" spans="1:20" ht="21" customHeight="1">
      <c r="A24" s="50" t="s">
        <v>42</v>
      </c>
      <c r="B24" s="296" t="s">
        <v>40</v>
      </c>
      <c r="C24" s="302" t="s">
        <v>324</v>
      </c>
      <c r="D24" s="327">
        <v>426</v>
      </c>
      <c r="E24" s="327">
        <f>+D24</f>
        <v>426</v>
      </c>
      <c r="F24" s="327">
        <f aca="true" t="shared" si="9" ref="F24:N24">+E24</f>
        <v>426</v>
      </c>
      <c r="G24" s="327">
        <f t="shared" si="9"/>
        <v>426</v>
      </c>
      <c r="H24" s="327">
        <f t="shared" si="9"/>
        <v>426</v>
      </c>
      <c r="I24" s="327">
        <f t="shared" si="9"/>
        <v>426</v>
      </c>
      <c r="J24" s="327">
        <f t="shared" si="9"/>
        <v>426</v>
      </c>
      <c r="K24" s="327">
        <f t="shared" si="9"/>
        <v>426</v>
      </c>
      <c r="L24" s="327">
        <f t="shared" si="9"/>
        <v>426</v>
      </c>
      <c r="M24" s="327">
        <f t="shared" si="9"/>
        <v>426</v>
      </c>
      <c r="N24" s="327">
        <f t="shared" si="9"/>
        <v>426</v>
      </c>
      <c r="O24" s="327">
        <f>+N24+2</f>
        <v>428</v>
      </c>
      <c r="P24" s="328">
        <f t="shared" si="3"/>
        <v>5114</v>
      </c>
      <c r="Q24" s="329"/>
      <c r="R24" s="329"/>
      <c r="S24" s="329"/>
      <c r="T24" s="329"/>
    </row>
    <row r="25" spans="1:20" ht="13.5" customHeight="1">
      <c r="A25" s="50" t="s">
        <v>43</v>
      </c>
      <c r="B25" s="296" t="s">
        <v>42</v>
      </c>
      <c r="C25" s="297" t="s">
        <v>449</v>
      </c>
      <c r="D25" s="327"/>
      <c r="E25" s="327">
        <v>1000</v>
      </c>
      <c r="F25" s="327">
        <v>2000</v>
      </c>
      <c r="G25" s="327"/>
      <c r="H25" s="327"/>
      <c r="I25" s="327"/>
      <c r="J25" s="327"/>
      <c r="K25" s="327"/>
      <c r="L25" s="327"/>
      <c r="M25" s="327"/>
      <c r="N25" s="327"/>
      <c r="O25" s="327"/>
      <c r="P25" s="328">
        <f t="shared" si="3"/>
        <v>3000</v>
      </c>
      <c r="Q25" s="329"/>
      <c r="R25" s="329"/>
      <c r="S25" s="329"/>
      <c r="T25" s="329"/>
    </row>
    <row r="26" spans="1:20" ht="13.5" customHeight="1">
      <c r="A26" s="50" t="s">
        <v>44</v>
      </c>
      <c r="B26" s="296" t="s">
        <v>43</v>
      </c>
      <c r="C26" s="297" t="s">
        <v>326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>
        <f t="shared" si="3"/>
        <v>0</v>
      </c>
      <c r="Q26" s="329"/>
      <c r="R26" s="329"/>
      <c r="S26" s="329"/>
      <c r="T26" s="329"/>
    </row>
    <row r="27" spans="1:20" ht="13.5" customHeight="1">
      <c r="A27" s="50" t="s">
        <v>45</v>
      </c>
      <c r="B27" s="296" t="s">
        <v>44</v>
      </c>
      <c r="C27" s="297" t="s">
        <v>327</v>
      </c>
      <c r="D27" s="327"/>
      <c r="E27" s="327"/>
      <c r="F27" s="327"/>
      <c r="G27" s="327"/>
      <c r="H27" s="327"/>
      <c r="I27" s="327">
        <v>8101</v>
      </c>
      <c r="J27" s="327"/>
      <c r="K27" s="327"/>
      <c r="L27" s="327"/>
      <c r="M27" s="327"/>
      <c r="N27" s="327">
        <v>26212</v>
      </c>
      <c r="O27" s="327">
        <f>35878-8101-900</f>
        <v>26877</v>
      </c>
      <c r="P27" s="328">
        <f t="shared" si="3"/>
        <v>61190</v>
      </c>
      <c r="Q27" s="329"/>
      <c r="R27" s="329"/>
      <c r="S27" s="329"/>
      <c r="T27" s="329"/>
    </row>
    <row r="28" spans="1:57" s="728" customFormat="1" ht="13.5" customHeight="1" thickBot="1">
      <c r="A28" s="728" t="s">
        <v>46</v>
      </c>
      <c r="B28" s="296" t="s">
        <v>45</v>
      </c>
      <c r="C28" s="297" t="s">
        <v>328</v>
      </c>
      <c r="D28" s="327">
        <f>+'20_mell'!D16+'19_mell'!D16+'18_mell'!D16+'17_mell'!D18</f>
        <v>39348</v>
      </c>
      <c r="E28" s="327">
        <f>+'20_mell'!E16+'19_mell'!E16+'18_mell'!E16+'17_mell'!E18</f>
        <v>40348</v>
      </c>
      <c r="F28" s="327">
        <f>+'20_mell'!F16+'19_mell'!F16+'18_mell'!F16+'17_mell'!F18</f>
        <v>40426</v>
      </c>
      <c r="G28" s="327">
        <f>+'20_mell'!G16+'19_mell'!G16+'18_mell'!G16+'17_mell'!G18</f>
        <v>38632</v>
      </c>
      <c r="H28" s="327">
        <f>+'20_mell'!H16+'19_mell'!H16+'18_mell'!H16+'17_mell'!H18</f>
        <v>40269</v>
      </c>
      <c r="I28" s="327">
        <f>+'20_mell'!I16+'19_mell'!I16+'18_mell'!I16+'17_mell'!I18</f>
        <v>39369</v>
      </c>
      <c r="J28" s="327">
        <f>+'20_mell'!J16+'19_mell'!J16+'18_mell'!J16+'17_mell'!J18</f>
        <v>40132</v>
      </c>
      <c r="K28" s="327">
        <f>+'20_mell'!K16+'19_mell'!K16+'18_mell'!K16+'17_mell'!K18</f>
        <v>40132</v>
      </c>
      <c r="L28" s="327">
        <f>+'20_mell'!L16+'19_mell'!L16+'18_mell'!L16+'17_mell'!L18</f>
        <v>39917</v>
      </c>
      <c r="M28" s="327">
        <f>+'20_mell'!M16+'19_mell'!M16+'18_mell'!M16+'17_mell'!M18</f>
        <v>40930</v>
      </c>
      <c r="N28" s="327">
        <f>+'20_mell'!N16+'19_mell'!N16+'18_mell'!N16+'17_mell'!N18</f>
        <v>39369</v>
      </c>
      <c r="O28" s="327">
        <f>+'20_mell'!O16+'19_mell'!O16+'18_mell'!O16+'17_mell'!O18</f>
        <v>39191</v>
      </c>
      <c r="P28" s="328">
        <f t="shared" si="3"/>
        <v>478063</v>
      </c>
      <c r="Q28" s="329"/>
      <c r="R28" s="329"/>
      <c r="S28" s="329"/>
      <c r="T28" s="329"/>
      <c r="U28" s="729"/>
      <c r="V28" s="139"/>
      <c r="W28" s="729"/>
      <c r="X28" s="139"/>
      <c r="Y28" s="729"/>
      <c r="Z28" s="139"/>
      <c r="AA28" s="729"/>
      <c r="AB28" s="13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</row>
    <row r="29" spans="1:57" s="728" customFormat="1" ht="13.5" customHeight="1" thickBot="1">
      <c r="A29" s="728" t="s">
        <v>47</v>
      </c>
      <c r="B29" s="310" t="s">
        <v>46</v>
      </c>
      <c r="C29" s="304" t="s">
        <v>329</v>
      </c>
      <c r="D29" s="332">
        <f>SUM(D18:D28)</f>
        <v>42804</v>
      </c>
      <c r="E29" s="332">
        <f aca="true" t="shared" si="10" ref="E29:O29">SUM(E18:E28)</f>
        <v>44804</v>
      </c>
      <c r="F29" s="332">
        <f t="shared" si="10"/>
        <v>45882</v>
      </c>
      <c r="G29" s="332">
        <f t="shared" si="10"/>
        <v>42088</v>
      </c>
      <c r="H29" s="332">
        <f t="shared" si="10"/>
        <v>43725</v>
      </c>
      <c r="I29" s="332">
        <f t="shared" si="10"/>
        <v>50926</v>
      </c>
      <c r="J29" s="332">
        <f t="shared" si="10"/>
        <v>43588</v>
      </c>
      <c r="K29" s="332">
        <f t="shared" si="10"/>
        <v>43588</v>
      </c>
      <c r="L29" s="332">
        <f t="shared" si="10"/>
        <v>43373</v>
      </c>
      <c r="M29" s="332">
        <f t="shared" si="10"/>
        <v>44386</v>
      </c>
      <c r="N29" s="332">
        <f t="shared" si="10"/>
        <v>69037</v>
      </c>
      <c r="O29" s="332">
        <f t="shared" si="10"/>
        <v>78271</v>
      </c>
      <c r="P29" s="336">
        <f>SUM(D29:O29)</f>
        <v>592472</v>
      </c>
      <c r="Q29" s="333"/>
      <c r="R29" s="333"/>
      <c r="S29" s="333"/>
      <c r="T29" s="333"/>
      <c r="U29" s="729"/>
      <c r="V29" s="139"/>
      <c r="W29" s="139"/>
      <c r="X29" s="139"/>
      <c r="Y29" s="729"/>
      <c r="Z29" s="729"/>
      <c r="AA29" s="729"/>
      <c r="AB29" s="139"/>
      <c r="AC29" s="729"/>
      <c r="AD29" s="729"/>
      <c r="AE29" s="729"/>
      <c r="AF29" s="729"/>
      <c r="AG29" s="729"/>
      <c r="AH29" s="729"/>
      <c r="AI29" s="729"/>
      <c r="AJ29" s="729"/>
      <c r="AK29" s="729"/>
      <c r="AL29" s="729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</row>
    <row r="30" spans="1:57" s="46" customFormat="1" ht="28.5" customHeight="1" thickBot="1">
      <c r="A30" s="46" t="s">
        <v>48</v>
      </c>
      <c r="B30" s="310" t="s">
        <v>47</v>
      </c>
      <c r="C30" s="312" t="s">
        <v>334</v>
      </c>
      <c r="D30" s="337">
        <f>D16-D29</f>
        <v>5097</v>
      </c>
      <c r="E30" s="337">
        <f aca="true" t="shared" si="11" ref="E30:N30">E16-E29</f>
        <v>8097</v>
      </c>
      <c r="F30" s="337">
        <f t="shared" si="11"/>
        <v>-2981</v>
      </c>
      <c r="G30" s="337">
        <f t="shared" si="11"/>
        <v>813</v>
      </c>
      <c r="H30" s="337">
        <f t="shared" si="11"/>
        <v>-824</v>
      </c>
      <c r="I30" s="337">
        <f t="shared" si="11"/>
        <v>-8025</v>
      </c>
      <c r="J30" s="337">
        <f t="shared" si="11"/>
        <v>-687</v>
      </c>
      <c r="K30" s="337">
        <f t="shared" si="11"/>
        <v>-687</v>
      </c>
      <c r="L30" s="337">
        <f t="shared" si="11"/>
        <v>13665</v>
      </c>
      <c r="M30" s="337">
        <f t="shared" si="11"/>
        <v>-1485</v>
      </c>
      <c r="N30" s="337">
        <f t="shared" si="11"/>
        <v>22389</v>
      </c>
      <c r="O30" s="337">
        <f>O16-O29</f>
        <v>-35372</v>
      </c>
      <c r="P30" s="338" t="s">
        <v>332</v>
      </c>
      <c r="Q30" s="339"/>
      <c r="R30" s="339"/>
      <c r="S30" s="339"/>
      <c r="T30" s="339"/>
      <c r="U30" s="7"/>
      <c r="V30" s="139"/>
      <c r="W30" s="139"/>
      <c r="X30" s="13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3:57" s="46" customFormat="1" ht="28.5" customHeight="1">
      <c r="C31" s="728"/>
      <c r="U31" s="7"/>
      <c r="V31" s="139"/>
      <c r="W31" s="139"/>
      <c r="X31" s="13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7" spans="2:15" ht="13.5" customHeight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2:15" ht="13.5" customHeight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2:20" ht="13.5" customHeight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2:20" ht="13.5" customHeigh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2:20" ht="13.5" customHeight="1">
      <c r="B41" s="139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139"/>
      <c r="S41" s="139"/>
      <c r="T41" s="139"/>
    </row>
    <row r="42" spans="2:20" ht="12.75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2:20" ht="13.5" customHeight="1" hidden="1">
      <c r="B43" s="139"/>
      <c r="C43" s="72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2:20" ht="13.5" customHeight="1" hidden="1">
      <c r="B44" s="139"/>
      <c r="C44" s="72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2:20" ht="13.5" customHeight="1" hidden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2:20" ht="13.5" customHeight="1" hidden="1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2:20" ht="13.5" customHeight="1" hidden="1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2:20" ht="13.5" customHeight="1" hidden="1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2:20" ht="13.5" customHeight="1" hidden="1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2:20" ht="13.5" customHeight="1" hidden="1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2:20" ht="13.5" customHeight="1" hidden="1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2:20" ht="13.5" customHeight="1" hidden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2:20" ht="13.5" customHeight="1" hidden="1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2:20" ht="13.5" customHeight="1" hidden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2:20" ht="13.5" customHeight="1" hidden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</row>
    <row r="56" spans="2:20" ht="13.5" customHeight="1" hidden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2:20" ht="13.5" customHeight="1" hidden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2:20" ht="13.5" customHeight="1" hidden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2:20" ht="13.5" customHeight="1" hidden="1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spans="2:20" ht="13.5" customHeight="1" hidden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2:20" ht="13.5" customHeight="1" hidden="1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</row>
    <row r="62" spans="2:20" ht="13.5" customHeight="1" hidden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2:20" ht="13.5" customHeight="1" hidden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</row>
    <row r="64" spans="2:20" ht="13.5" customHeight="1" hidden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2:20" ht="13.5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</row>
    <row r="66" spans="2:20" ht="13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2:20" ht="13.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</row>
    <row r="68" spans="2:20" ht="13.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2:20" ht="13.5" customHeight="1">
      <c r="B69" s="139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139"/>
      <c r="S69" s="139"/>
      <c r="T69" s="139"/>
    </row>
    <row r="70" spans="2:20" ht="13.5" customHeight="1">
      <c r="B70" s="139"/>
      <c r="C70" s="732"/>
      <c r="D70" s="733"/>
      <c r="E70" s="733"/>
      <c r="F70" s="733"/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139"/>
      <c r="S70" s="139"/>
      <c r="T70" s="139"/>
    </row>
    <row r="71" spans="2:20" ht="13.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pans="2:20" ht="13.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</row>
    <row r="73" spans="2:20" ht="13.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29"/>
      <c r="Q73" s="729"/>
      <c r="R73" s="729"/>
      <c r="S73" s="729"/>
      <c r="T73" s="729"/>
    </row>
    <row r="74" spans="2:20" ht="13.5" customHeight="1">
      <c r="B74" s="139"/>
      <c r="C74" s="139"/>
      <c r="D74" s="734"/>
      <c r="E74" s="735"/>
      <c r="F74" s="734"/>
      <c r="G74" s="735"/>
      <c r="H74" s="735"/>
      <c r="I74" s="735"/>
      <c r="J74" s="735"/>
      <c r="K74" s="735"/>
      <c r="L74" s="735"/>
      <c r="M74" s="734"/>
      <c r="N74" s="735"/>
      <c r="O74" s="735"/>
      <c r="P74" s="736"/>
      <c r="Q74" s="736"/>
      <c r="R74" s="736"/>
      <c r="S74" s="736"/>
      <c r="T74" s="736"/>
    </row>
    <row r="75" spans="2:20" ht="13.5" customHeight="1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29"/>
      <c r="Q75" s="729"/>
      <c r="R75" s="729"/>
      <c r="S75" s="729"/>
      <c r="T75" s="729"/>
    </row>
    <row r="76" spans="2:20" ht="13.5" customHeight="1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29"/>
      <c r="Q76" s="729"/>
      <c r="R76" s="729"/>
      <c r="S76" s="729"/>
      <c r="T76" s="729"/>
    </row>
    <row r="77" spans="2:20" ht="13.5" customHeight="1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729"/>
      <c r="Q77" s="729"/>
      <c r="R77" s="729"/>
      <c r="S77" s="729"/>
      <c r="T77" s="729"/>
    </row>
    <row r="78" spans="2:20" ht="13.5" customHeight="1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729"/>
      <c r="Q78" s="729"/>
      <c r="R78" s="729"/>
      <c r="S78" s="729"/>
      <c r="T78" s="729"/>
    </row>
    <row r="79" spans="2:20" ht="13.5" customHeight="1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729"/>
      <c r="Q79" s="729"/>
      <c r="R79" s="729"/>
      <c r="S79" s="729"/>
      <c r="T79" s="729"/>
    </row>
    <row r="80" spans="2:20" ht="13.5" customHeight="1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</row>
    <row r="81" spans="2:20" ht="13.5" customHeight="1">
      <c r="B81" s="139"/>
      <c r="C81" s="737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</row>
    <row r="82" spans="2:20" ht="13.5" customHeight="1">
      <c r="B82" s="139"/>
      <c r="C82" s="737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29"/>
      <c r="Q82" s="729"/>
      <c r="R82" s="729"/>
      <c r="S82" s="729"/>
      <c r="T82" s="729"/>
    </row>
    <row r="83" spans="2:20" ht="13.5" customHeight="1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29"/>
      <c r="Q83" s="729"/>
      <c r="R83" s="729"/>
      <c r="S83" s="729"/>
      <c r="T83" s="729"/>
    </row>
    <row r="84" spans="2:20" ht="13.5" customHeight="1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29"/>
      <c r="Q84" s="729"/>
      <c r="R84" s="729"/>
      <c r="S84" s="729"/>
      <c r="T84" s="729"/>
    </row>
    <row r="85" spans="2:20" ht="13.5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729"/>
      <c r="Q85" s="729"/>
      <c r="R85" s="729"/>
      <c r="S85" s="729"/>
      <c r="T85" s="729"/>
    </row>
    <row r="86" spans="2:20" ht="13.5" customHeight="1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729"/>
      <c r="Q86" s="729"/>
      <c r="R86" s="729"/>
      <c r="S86" s="729"/>
      <c r="T86" s="729"/>
    </row>
    <row r="87" spans="2:20" ht="13.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729"/>
      <c r="Q87" s="729"/>
      <c r="R87" s="729"/>
      <c r="S87" s="729"/>
      <c r="T87" s="729"/>
    </row>
    <row r="88" spans="2:20" ht="13.5" customHeight="1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729"/>
      <c r="Q88" s="729"/>
      <c r="R88" s="729"/>
      <c r="S88" s="729"/>
      <c r="T88" s="729"/>
    </row>
    <row r="89" spans="2:20" ht="13.5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738"/>
      <c r="Q89" s="738"/>
      <c r="R89" s="738"/>
      <c r="S89" s="738"/>
      <c r="T89" s="738"/>
    </row>
    <row r="90" spans="2:20" ht="13.5" customHeight="1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38"/>
      <c r="Q90" s="738"/>
      <c r="R90" s="738"/>
      <c r="S90" s="738"/>
      <c r="T90" s="738"/>
    </row>
    <row r="91" spans="2:20" ht="13.5" customHeight="1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738"/>
      <c r="Q91" s="738"/>
      <c r="R91" s="738"/>
      <c r="S91" s="738"/>
      <c r="T91" s="738"/>
    </row>
    <row r="92" spans="2:20" ht="13.5" customHeight="1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738"/>
      <c r="Q92" s="738"/>
      <c r="R92" s="738"/>
      <c r="S92" s="738"/>
      <c r="T92" s="738"/>
    </row>
    <row r="93" spans="2:20" ht="13.5" customHeight="1">
      <c r="B93" s="7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</row>
    <row r="94" spans="2:20" ht="13.5" customHeight="1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29"/>
      <c r="Q94" s="729"/>
      <c r="R94" s="729"/>
      <c r="S94" s="729"/>
      <c r="T94" s="729"/>
    </row>
    <row r="95" spans="2:20" ht="13.5" customHeight="1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</row>
    <row r="96" spans="2:20" ht="13.5" customHeight="1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729"/>
      <c r="Q96" s="729"/>
      <c r="R96" s="729"/>
      <c r="S96" s="729"/>
      <c r="T96" s="729"/>
    </row>
    <row r="97" spans="2:20" ht="13.5" customHeight="1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729"/>
      <c r="Q97" s="729"/>
      <c r="R97" s="729"/>
      <c r="S97" s="729"/>
      <c r="T97" s="729"/>
    </row>
    <row r="98" spans="2:20" ht="13.5" customHeight="1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729"/>
      <c r="Q98" s="729"/>
      <c r="R98" s="729"/>
      <c r="S98" s="729"/>
      <c r="T98" s="729"/>
    </row>
    <row r="99" spans="2:20" ht="13.5" customHeight="1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729"/>
      <c r="Q99" s="729"/>
      <c r="R99" s="729"/>
      <c r="S99" s="729"/>
      <c r="T99" s="729"/>
    </row>
    <row r="100" spans="2:20" ht="13.5" customHeight="1"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29"/>
      <c r="Q100" s="729"/>
      <c r="R100" s="729"/>
      <c r="S100" s="729"/>
      <c r="T100" s="729"/>
    </row>
    <row r="101" spans="2:20" ht="13.5" customHeight="1"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29"/>
      <c r="Q101" s="729"/>
      <c r="R101" s="729"/>
      <c r="S101" s="729"/>
      <c r="T101" s="729"/>
    </row>
    <row r="102" spans="2:20" ht="13.5" customHeight="1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29"/>
      <c r="Q102" s="729"/>
      <c r="R102" s="729"/>
      <c r="S102" s="729"/>
      <c r="T102" s="729"/>
    </row>
    <row r="103" spans="2:20" ht="13.5" customHeight="1"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29"/>
      <c r="Q103" s="729"/>
      <c r="R103" s="729"/>
      <c r="S103" s="729"/>
      <c r="T103" s="729"/>
    </row>
    <row r="104" spans="2:20" ht="13.5" customHeight="1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29"/>
      <c r="Q104" s="729"/>
      <c r="R104" s="729"/>
      <c r="S104" s="729"/>
      <c r="T104" s="729"/>
    </row>
    <row r="105" spans="2:20" ht="13.5" customHeight="1"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29"/>
      <c r="Q105" s="729"/>
      <c r="R105" s="729"/>
      <c r="S105" s="729"/>
      <c r="T105" s="729"/>
    </row>
    <row r="106" spans="2:20" ht="13.5" customHeight="1"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729"/>
      <c r="Q106" s="729"/>
      <c r="R106" s="729"/>
      <c r="S106" s="729"/>
      <c r="T106" s="729"/>
    </row>
    <row r="107" spans="2:20" ht="13.5" customHeight="1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729"/>
      <c r="Q107" s="729"/>
      <c r="R107" s="729"/>
      <c r="S107" s="729"/>
      <c r="T107" s="729"/>
    </row>
    <row r="108" spans="2:20" ht="13.5" customHeight="1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29"/>
      <c r="Q108" s="729"/>
      <c r="R108" s="729"/>
      <c r="S108" s="729"/>
      <c r="T108" s="729"/>
    </row>
    <row r="109" spans="2:20" ht="13.5" customHeight="1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29"/>
      <c r="Q109" s="729"/>
      <c r="R109" s="729"/>
      <c r="S109" s="729"/>
      <c r="T109" s="729"/>
    </row>
    <row r="110" spans="2:20" ht="13.5" customHeight="1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729"/>
      <c r="Q110" s="729"/>
      <c r="R110" s="729"/>
      <c r="S110" s="729"/>
      <c r="T110" s="729"/>
    </row>
    <row r="111" spans="2:20" ht="13.5" customHeight="1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29"/>
      <c r="Q111" s="729"/>
      <c r="R111" s="729"/>
      <c r="S111" s="729"/>
      <c r="T111" s="729"/>
    </row>
    <row r="112" spans="2:20" ht="13.5" customHeight="1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29"/>
      <c r="Q112" s="729"/>
      <c r="R112" s="729"/>
      <c r="S112" s="729"/>
      <c r="T112" s="729"/>
    </row>
    <row r="113" spans="2:20" ht="13.5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29"/>
      <c r="Q113" s="729"/>
      <c r="R113" s="729"/>
      <c r="S113" s="729"/>
      <c r="T113" s="729"/>
    </row>
    <row r="114" spans="2:20" ht="13.5" customHeight="1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29"/>
      <c r="Q114" s="729"/>
      <c r="R114" s="729"/>
      <c r="S114" s="729"/>
      <c r="T114" s="729"/>
    </row>
    <row r="115" spans="2:20" ht="13.5" customHeight="1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729"/>
      <c r="Q115" s="729"/>
      <c r="R115" s="729"/>
      <c r="S115" s="729"/>
      <c r="T115" s="729"/>
    </row>
    <row r="116" spans="2:20" ht="13.5" customHeight="1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729"/>
      <c r="Q116" s="729"/>
      <c r="R116" s="729"/>
      <c r="S116" s="729"/>
      <c r="T116" s="729"/>
    </row>
    <row r="117" spans="2:20" ht="13.5" customHeight="1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729"/>
      <c r="Q117" s="729"/>
      <c r="R117" s="729"/>
      <c r="S117" s="729"/>
      <c r="T117" s="729"/>
    </row>
    <row r="118" spans="2:20" ht="13.5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729"/>
      <c r="Q118" s="729"/>
      <c r="R118" s="729"/>
      <c r="S118" s="729"/>
      <c r="T118" s="729"/>
    </row>
    <row r="119" spans="2:20" ht="13.5" customHeight="1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729"/>
      <c r="Q119" s="729"/>
      <c r="R119" s="729"/>
      <c r="S119" s="729"/>
      <c r="T119" s="729"/>
    </row>
    <row r="120" spans="2:20" ht="13.5" customHeight="1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729"/>
      <c r="Q120" s="729"/>
      <c r="R120" s="729"/>
      <c r="S120" s="729"/>
      <c r="T120" s="729"/>
    </row>
    <row r="121" spans="2:20" ht="13.5" customHeight="1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729"/>
      <c r="Q121" s="729"/>
      <c r="R121" s="729"/>
      <c r="S121" s="729"/>
      <c r="T121" s="729"/>
    </row>
    <row r="122" spans="2:20" ht="13.5" customHeight="1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729"/>
      <c r="Q122" s="729"/>
      <c r="R122" s="729"/>
      <c r="S122" s="729"/>
      <c r="T122" s="729"/>
    </row>
    <row r="123" spans="2:20" ht="13.5" customHeight="1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729"/>
      <c r="Q123" s="729"/>
      <c r="R123" s="729"/>
      <c r="S123" s="729"/>
      <c r="T123" s="729"/>
    </row>
    <row r="124" spans="2:20" ht="13.5" customHeight="1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729"/>
      <c r="Q124" s="729"/>
      <c r="R124" s="729"/>
      <c r="S124" s="729"/>
      <c r="T124" s="729"/>
    </row>
    <row r="125" spans="2:20" ht="13.5" customHeight="1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729"/>
      <c r="Q125" s="729"/>
      <c r="R125" s="729"/>
      <c r="S125" s="729"/>
      <c r="T125" s="729"/>
    </row>
    <row r="126" spans="2:20" ht="13.5" customHeight="1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729"/>
      <c r="Q126" s="729"/>
      <c r="R126" s="729"/>
      <c r="S126" s="729"/>
      <c r="T126" s="729"/>
    </row>
    <row r="127" spans="2:20" ht="13.5" customHeight="1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729"/>
      <c r="Q127" s="729"/>
      <c r="R127" s="729"/>
      <c r="S127" s="729"/>
      <c r="T127" s="729"/>
    </row>
    <row r="128" spans="2:20" ht="13.5" customHeight="1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729"/>
      <c r="Q128" s="729"/>
      <c r="R128" s="729"/>
      <c r="S128" s="729"/>
      <c r="T128" s="729"/>
    </row>
    <row r="129" spans="2:20" ht="13.5" customHeight="1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729"/>
      <c r="Q129" s="729"/>
      <c r="R129" s="729"/>
      <c r="S129" s="729"/>
      <c r="T129" s="729"/>
    </row>
    <row r="130" spans="2:20" ht="13.5" customHeight="1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729"/>
      <c r="Q130" s="729"/>
      <c r="R130" s="729"/>
      <c r="S130" s="729"/>
      <c r="T130" s="729"/>
    </row>
    <row r="131" spans="2:20" ht="13.5" customHeight="1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729"/>
      <c r="Q131" s="729"/>
      <c r="R131" s="729"/>
      <c r="S131" s="729"/>
      <c r="T131" s="729"/>
    </row>
    <row r="132" spans="2:20" ht="13.5" customHeight="1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729"/>
      <c r="Q132" s="729"/>
      <c r="R132" s="729"/>
      <c r="S132" s="729"/>
      <c r="T132" s="729"/>
    </row>
    <row r="133" spans="2:20" ht="13.5" customHeight="1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729"/>
      <c r="Q133" s="729"/>
      <c r="R133" s="729"/>
      <c r="S133" s="729"/>
      <c r="T133" s="729"/>
    </row>
    <row r="134" spans="2:20" ht="13.5" customHeight="1"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729"/>
      <c r="Q134" s="729"/>
      <c r="R134" s="729"/>
      <c r="S134" s="729"/>
      <c r="T134" s="729"/>
    </row>
    <row r="135" spans="2:20" ht="13.5" customHeight="1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729"/>
      <c r="Q135" s="729"/>
      <c r="R135" s="729"/>
      <c r="S135" s="729"/>
      <c r="T135" s="729"/>
    </row>
    <row r="136" spans="2:20" ht="13.5" customHeight="1"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729"/>
      <c r="Q136" s="729"/>
      <c r="R136" s="729"/>
      <c r="S136" s="729"/>
      <c r="T136" s="729"/>
    </row>
    <row r="137" spans="2:20" ht="13.5" customHeight="1"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729"/>
      <c r="Q137" s="729"/>
      <c r="R137" s="729"/>
      <c r="S137" s="729"/>
      <c r="T137" s="729"/>
    </row>
    <row r="138" spans="2:20" ht="13.5" customHeight="1"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729"/>
      <c r="Q138" s="729"/>
      <c r="R138" s="729"/>
      <c r="S138" s="729"/>
      <c r="T138" s="729"/>
    </row>
    <row r="139" spans="2:20" ht="13.5" customHeight="1"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729"/>
      <c r="Q139" s="729"/>
      <c r="R139" s="729"/>
      <c r="S139" s="729"/>
      <c r="T139" s="729"/>
    </row>
    <row r="140" spans="2:20" ht="13.5" customHeight="1"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729"/>
      <c r="Q140" s="729"/>
      <c r="R140" s="729"/>
      <c r="S140" s="729"/>
      <c r="T140" s="729"/>
    </row>
    <row r="141" spans="2:20" ht="13.5" customHeight="1"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729"/>
      <c r="Q141" s="729"/>
      <c r="R141" s="729"/>
      <c r="S141" s="729"/>
      <c r="T141" s="729"/>
    </row>
    <row r="142" spans="2:20" ht="13.5" customHeight="1"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729"/>
      <c r="Q142" s="729"/>
      <c r="R142" s="729"/>
      <c r="S142" s="729"/>
      <c r="T142" s="729"/>
    </row>
    <row r="143" spans="2:20" ht="13.5" customHeight="1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729"/>
      <c r="Q143" s="729"/>
      <c r="R143" s="729"/>
      <c r="S143" s="729"/>
      <c r="T143" s="729"/>
    </row>
    <row r="144" spans="2:20" ht="13.5" customHeight="1"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729"/>
      <c r="Q144" s="729"/>
      <c r="R144" s="729"/>
      <c r="S144" s="729"/>
      <c r="T144" s="729"/>
    </row>
    <row r="145" spans="2:20" ht="13.5" customHeight="1"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729"/>
      <c r="Q145" s="729"/>
      <c r="R145" s="729"/>
      <c r="S145" s="729"/>
      <c r="T145" s="729"/>
    </row>
    <row r="146" spans="2:20" ht="13.5" customHeight="1"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729"/>
      <c r="Q146" s="729"/>
      <c r="R146" s="729"/>
      <c r="S146" s="729"/>
      <c r="T146" s="729"/>
    </row>
    <row r="147" spans="2:20" ht="13.5" customHeight="1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729"/>
      <c r="Q147" s="729"/>
      <c r="R147" s="729"/>
      <c r="S147" s="729"/>
      <c r="T147" s="729"/>
    </row>
    <row r="148" spans="2:20" ht="13.5" customHeight="1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729"/>
      <c r="Q148" s="729"/>
      <c r="R148" s="729"/>
      <c r="S148" s="729"/>
      <c r="T148" s="729"/>
    </row>
    <row r="149" spans="2:20" ht="13.5" customHeight="1"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729"/>
      <c r="Q149" s="729"/>
      <c r="R149" s="729"/>
      <c r="S149" s="729"/>
      <c r="T149" s="729"/>
    </row>
    <row r="150" spans="2:20" ht="13.5" customHeight="1"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729"/>
      <c r="Q150" s="729"/>
      <c r="R150" s="729"/>
      <c r="S150" s="729"/>
      <c r="T150" s="729"/>
    </row>
    <row r="151" spans="2:20" ht="13.5" customHeight="1"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729"/>
      <c r="Q151" s="729"/>
      <c r="R151" s="729"/>
      <c r="S151" s="729"/>
      <c r="T151" s="729"/>
    </row>
    <row r="152" spans="2:20" ht="13.5" customHeight="1"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729"/>
      <c r="Q152" s="729"/>
      <c r="R152" s="729"/>
      <c r="S152" s="729"/>
      <c r="T152" s="729"/>
    </row>
    <row r="153" spans="2:20" ht="13.5" customHeight="1"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729"/>
      <c r="Q153" s="729"/>
      <c r="R153" s="729"/>
      <c r="S153" s="729"/>
      <c r="T153" s="729"/>
    </row>
    <row r="154" spans="2:20" ht="13.5" customHeight="1"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729"/>
      <c r="Q154" s="729"/>
      <c r="R154" s="729"/>
      <c r="S154" s="729"/>
      <c r="T154" s="729"/>
    </row>
    <row r="155" spans="2:20" ht="13.5" customHeight="1"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729"/>
      <c r="Q155" s="729"/>
      <c r="R155" s="729"/>
      <c r="S155" s="729"/>
      <c r="T155" s="729"/>
    </row>
    <row r="156" spans="2:20" ht="13.5" customHeight="1"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729"/>
      <c r="Q156" s="729"/>
      <c r="R156" s="729"/>
      <c r="S156" s="729"/>
      <c r="T156" s="729"/>
    </row>
    <row r="157" spans="2:20" ht="13.5" customHeight="1"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729"/>
      <c r="Q157" s="729"/>
      <c r="R157" s="729"/>
      <c r="S157" s="729"/>
      <c r="T157" s="729"/>
    </row>
    <row r="158" spans="2:20" ht="13.5" customHeight="1"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729"/>
      <c r="Q158" s="729"/>
      <c r="R158" s="729"/>
      <c r="S158" s="729"/>
      <c r="T158" s="729"/>
    </row>
    <row r="159" spans="2:20" ht="13.5" customHeight="1"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729"/>
      <c r="Q159" s="729"/>
      <c r="R159" s="729"/>
      <c r="S159" s="729"/>
      <c r="T159" s="729"/>
    </row>
    <row r="160" spans="2:20" ht="13.5" customHeight="1"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729"/>
      <c r="Q160" s="729"/>
      <c r="R160" s="729"/>
      <c r="S160" s="729"/>
      <c r="T160" s="729"/>
    </row>
    <row r="161" spans="2:20" ht="13.5" customHeight="1"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729"/>
      <c r="Q161" s="729"/>
      <c r="R161" s="729"/>
      <c r="S161" s="729"/>
      <c r="T161" s="729"/>
    </row>
    <row r="162" spans="2:20" ht="13.5" customHeight="1"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729"/>
      <c r="Q162" s="729"/>
      <c r="R162" s="729"/>
      <c r="S162" s="729"/>
      <c r="T162" s="729"/>
    </row>
    <row r="163" spans="2:20" ht="13.5" customHeight="1"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729"/>
      <c r="Q163" s="729"/>
      <c r="R163" s="729"/>
      <c r="S163" s="729"/>
      <c r="T163" s="729"/>
    </row>
    <row r="164" spans="2:20" ht="13.5" customHeight="1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729"/>
      <c r="Q164" s="729"/>
      <c r="R164" s="729"/>
      <c r="S164" s="729"/>
      <c r="T164" s="729"/>
    </row>
    <row r="165" spans="2:20" ht="13.5" customHeight="1"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729"/>
      <c r="Q165" s="729"/>
      <c r="R165" s="729"/>
      <c r="S165" s="729"/>
      <c r="T165" s="729"/>
    </row>
    <row r="166" spans="2:20" ht="13.5" customHeight="1"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729"/>
      <c r="Q166" s="729"/>
      <c r="R166" s="729"/>
      <c r="S166" s="729"/>
      <c r="T166" s="729"/>
    </row>
    <row r="167" spans="2:20" ht="13.5" customHeight="1"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729"/>
      <c r="Q167" s="729"/>
      <c r="R167" s="729"/>
      <c r="S167" s="729"/>
      <c r="T167" s="729"/>
    </row>
    <row r="168" spans="2:20" ht="13.5" customHeight="1"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729"/>
      <c r="Q168" s="729"/>
      <c r="R168" s="729"/>
      <c r="S168" s="729"/>
      <c r="T168" s="729"/>
    </row>
    <row r="169" spans="2:20" ht="13.5" customHeight="1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729"/>
      <c r="Q169" s="729"/>
      <c r="R169" s="729"/>
      <c r="S169" s="729"/>
      <c r="T169" s="729"/>
    </row>
    <row r="170" spans="2:20" ht="13.5" customHeight="1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729"/>
      <c r="Q170" s="729"/>
      <c r="R170" s="729"/>
      <c r="S170" s="729"/>
      <c r="T170" s="729"/>
    </row>
    <row r="171" spans="2:20" ht="13.5" customHeight="1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729"/>
      <c r="Q171" s="729"/>
      <c r="R171" s="729"/>
      <c r="S171" s="729"/>
      <c r="T171" s="729"/>
    </row>
    <row r="172" spans="2:20" ht="13.5" customHeight="1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729"/>
      <c r="Q172" s="729"/>
      <c r="R172" s="729"/>
      <c r="S172" s="729"/>
      <c r="T172" s="729"/>
    </row>
    <row r="173" spans="2:20" ht="13.5" customHeight="1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729"/>
      <c r="Q173" s="729"/>
      <c r="R173" s="729"/>
      <c r="S173" s="729"/>
      <c r="T173" s="729"/>
    </row>
    <row r="174" spans="2:20" ht="13.5" customHeight="1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729"/>
      <c r="Q174" s="729"/>
      <c r="R174" s="729"/>
      <c r="S174" s="729"/>
      <c r="T174" s="729"/>
    </row>
    <row r="175" spans="2:20" ht="13.5" customHeight="1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729"/>
      <c r="Q175" s="729"/>
      <c r="R175" s="729"/>
      <c r="S175" s="729"/>
      <c r="T175" s="729"/>
    </row>
    <row r="176" spans="2:20" ht="13.5" customHeight="1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729"/>
      <c r="Q176" s="729"/>
      <c r="R176" s="729"/>
      <c r="S176" s="729"/>
      <c r="T176" s="729"/>
    </row>
    <row r="177" spans="2:20" ht="13.5" customHeight="1"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729"/>
      <c r="Q177" s="729"/>
      <c r="R177" s="729"/>
      <c r="S177" s="729"/>
      <c r="T177" s="729"/>
    </row>
    <row r="178" spans="2:20" ht="13.5" customHeight="1"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729"/>
      <c r="Q178" s="729"/>
      <c r="R178" s="729"/>
      <c r="S178" s="729"/>
      <c r="T178" s="729"/>
    </row>
    <row r="179" spans="2:20" ht="13.5" customHeight="1"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729"/>
      <c r="Q179" s="729"/>
      <c r="R179" s="729"/>
      <c r="S179" s="729"/>
      <c r="T179" s="729"/>
    </row>
    <row r="180" spans="2:20" ht="13.5" customHeight="1"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729"/>
      <c r="Q180" s="729"/>
      <c r="R180" s="729"/>
      <c r="S180" s="729"/>
      <c r="T180" s="729"/>
    </row>
    <row r="181" spans="2:20" ht="13.5" customHeight="1"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729"/>
      <c r="Q181" s="729"/>
      <c r="R181" s="729"/>
      <c r="S181" s="729"/>
      <c r="T181" s="729"/>
    </row>
    <row r="182" spans="2:20" ht="13.5" customHeight="1"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729"/>
      <c r="Q182" s="729"/>
      <c r="R182" s="729"/>
      <c r="S182" s="729"/>
      <c r="T182" s="729"/>
    </row>
    <row r="183" spans="2:20" ht="13.5" customHeight="1"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729"/>
      <c r="Q183" s="729"/>
      <c r="R183" s="729"/>
      <c r="S183" s="729"/>
      <c r="T183" s="729"/>
    </row>
    <row r="184" spans="2:20" ht="13.5" customHeight="1"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729"/>
      <c r="Q184" s="729"/>
      <c r="R184" s="729"/>
      <c r="S184" s="729"/>
      <c r="T184" s="729"/>
    </row>
    <row r="185" spans="2:20" ht="13.5" customHeight="1"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729"/>
      <c r="Q185" s="729"/>
      <c r="R185" s="729"/>
      <c r="S185" s="729"/>
      <c r="T185" s="729"/>
    </row>
    <row r="186" spans="2:20" ht="13.5" customHeight="1"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729"/>
      <c r="Q186" s="729"/>
      <c r="R186" s="729"/>
      <c r="S186" s="729"/>
      <c r="T186" s="729"/>
    </row>
    <row r="187" spans="2:20" ht="13.5" customHeight="1"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729"/>
      <c r="Q187" s="729"/>
      <c r="R187" s="729"/>
      <c r="S187" s="729"/>
      <c r="T187" s="729"/>
    </row>
    <row r="188" spans="2:20" ht="13.5" customHeight="1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729"/>
      <c r="Q188" s="729"/>
      <c r="R188" s="729"/>
      <c r="S188" s="729"/>
      <c r="T188" s="729"/>
    </row>
    <row r="189" spans="2:20" ht="13.5" customHeight="1"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729"/>
      <c r="Q189" s="729"/>
      <c r="R189" s="729"/>
      <c r="S189" s="729"/>
      <c r="T189" s="729"/>
    </row>
    <row r="190" spans="2:20" ht="13.5" customHeight="1"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729"/>
      <c r="Q190" s="729"/>
      <c r="R190" s="729"/>
      <c r="S190" s="729"/>
      <c r="T190" s="729"/>
    </row>
    <row r="191" spans="2:20" ht="13.5" customHeight="1"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729"/>
      <c r="Q191" s="729"/>
      <c r="R191" s="729"/>
      <c r="S191" s="729"/>
      <c r="T191" s="729"/>
    </row>
    <row r="192" spans="2:20" ht="13.5" customHeight="1"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729"/>
      <c r="Q192" s="729"/>
      <c r="R192" s="729"/>
      <c r="S192" s="729"/>
      <c r="T192" s="729"/>
    </row>
    <row r="193" spans="2:20" ht="13.5" customHeight="1"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729"/>
      <c r="Q193" s="729"/>
      <c r="R193" s="729"/>
      <c r="S193" s="729"/>
      <c r="T193" s="729"/>
    </row>
    <row r="194" spans="2:20" ht="13.5" customHeight="1"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729"/>
      <c r="Q194" s="729"/>
      <c r="R194" s="729"/>
      <c r="S194" s="729"/>
      <c r="T194" s="729"/>
    </row>
    <row r="195" spans="2:20" ht="13.5" customHeight="1"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729"/>
      <c r="Q195" s="729"/>
      <c r="R195" s="729"/>
      <c r="S195" s="729"/>
      <c r="T195" s="729"/>
    </row>
    <row r="196" spans="2:20" ht="13.5" customHeight="1"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729"/>
      <c r="Q196" s="729"/>
      <c r="R196" s="729"/>
      <c r="S196" s="729"/>
      <c r="T196" s="729"/>
    </row>
    <row r="197" spans="2:20" ht="13.5" customHeight="1"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729"/>
      <c r="Q197" s="729"/>
      <c r="R197" s="729"/>
      <c r="S197" s="729"/>
      <c r="T197" s="729"/>
    </row>
    <row r="198" spans="2:20" ht="13.5" customHeight="1"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729"/>
      <c r="Q198" s="729"/>
      <c r="R198" s="729"/>
      <c r="S198" s="729"/>
      <c r="T198" s="729"/>
    </row>
    <row r="199" spans="2:20" ht="13.5" customHeight="1"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729"/>
      <c r="Q199" s="729"/>
      <c r="R199" s="729"/>
      <c r="S199" s="729"/>
      <c r="T199" s="729"/>
    </row>
    <row r="200" spans="2:20" ht="13.5" customHeight="1"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729"/>
      <c r="Q200" s="729"/>
      <c r="R200" s="729"/>
      <c r="S200" s="729"/>
      <c r="T200" s="729"/>
    </row>
    <row r="201" spans="2:20" ht="13.5" customHeight="1"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729"/>
      <c r="Q201" s="729"/>
      <c r="R201" s="729"/>
      <c r="S201" s="729"/>
      <c r="T201" s="729"/>
    </row>
    <row r="202" spans="2:20" ht="13.5" customHeight="1"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729"/>
      <c r="Q202" s="729"/>
      <c r="R202" s="729"/>
      <c r="S202" s="729"/>
      <c r="T202" s="729"/>
    </row>
    <row r="203" spans="2:20" ht="13.5" customHeight="1"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729"/>
      <c r="Q203" s="729"/>
      <c r="R203" s="729"/>
      <c r="S203" s="729"/>
      <c r="T203" s="729"/>
    </row>
    <row r="204" spans="2:20" ht="13.5" customHeight="1"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729"/>
      <c r="Q204" s="729"/>
      <c r="R204" s="729"/>
      <c r="S204" s="729"/>
      <c r="T204" s="729"/>
    </row>
    <row r="205" spans="2:20" ht="13.5" customHeight="1"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729"/>
      <c r="Q205" s="729"/>
      <c r="R205" s="729"/>
      <c r="S205" s="729"/>
      <c r="T205" s="729"/>
    </row>
    <row r="206" spans="2:20" ht="13.5" customHeight="1"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729"/>
      <c r="Q206" s="729"/>
      <c r="R206" s="729"/>
      <c r="S206" s="729"/>
      <c r="T206" s="729"/>
    </row>
    <row r="207" spans="2:20" ht="13.5" customHeight="1"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729"/>
      <c r="Q207" s="729"/>
      <c r="R207" s="729"/>
      <c r="S207" s="729"/>
      <c r="T207" s="729"/>
    </row>
    <row r="208" spans="2:20" ht="13.5" customHeight="1"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729"/>
      <c r="Q208" s="729"/>
      <c r="R208" s="729"/>
      <c r="S208" s="729"/>
      <c r="T208" s="729"/>
    </row>
    <row r="209" spans="2:20" ht="13.5" customHeight="1"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729"/>
      <c r="Q209" s="729"/>
      <c r="R209" s="729"/>
      <c r="S209" s="729"/>
      <c r="T209" s="729"/>
    </row>
    <row r="210" spans="2:20" ht="13.5" customHeight="1"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729"/>
      <c r="Q210" s="729"/>
      <c r="R210" s="729"/>
      <c r="S210" s="729"/>
      <c r="T210" s="729"/>
    </row>
    <row r="211" spans="2:20" ht="13.5" customHeight="1"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729"/>
      <c r="Q211" s="729"/>
      <c r="R211" s="729"/>
      <c r="S211" s="729"/>
      <c r="T211" s="729"/>
    </row>
    <row r="212" spans="2:20" ht="13.5" customHeight="1"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729"/>
      <c r="Q212" s="729"/>
      <c r="R212" s="729"/>
      <c r="S212" s="729"/>
      <c r="T212" s="729"/>
    </row>
    <row r="213" spans="2:20" ht="13.5" customHeight="1"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729"/>
      <c r="Q213" s="729"/>
      <c r="R213" s="729"/>
      <c r="S213" s="729"/>
      <c r="T213" s="729"/>
    </row>
    <row r="214" spans="2:20" ht="13.5" customHeight="1"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729"/>
      <c r="Q214" s="729"/>
      <c r="R214" s="729"/>
      <c r="S214" s="729"/>
      <c r="T214" s="729"/>
    </row>
    <row r="215" spans="2:20" ht="13.5" customHeight="1"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729"/>
      <c r="Q215" s="729"/>
      <c r="R215" s="729"/>
      <c r="S215" s="729"/>
      <c r="T215" s="729"/>
    </row>
    <row r="216" spans="2:20" ht="13.5" customHeight="1"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729"/>
      <c r="Q216" s="729"/>
      <c r="R216" s="729"/>
      <c r="S216" s="729"/>
      <c r="T216" s="729"/>
    </row>
    <row r="217" spans="2:20" ht="13.5" customHeight="1"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729"/>
      <c r="Q217" s="729"/>
      <c r="R217" s="729"/>
      <c r="S217" s="729"/>
      <c r="T217" s="729"/>
    </row>
    <row r="218" spans="2:20" ht="13.5" customHeight="1"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729"/>
      <c r="Q218" s="729"/>
      <c r="R218" s="729"/>
      <c r="S218" s="729"/>
      <c r="T218" s="729"/>
    </row>
    <row r="219" spans="2:20" ht="13.5" customHeight="1"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729"/>
      <c r="Q219" s="729"/>
      <c r="R219" s="729"/>
      <c r="S219" s="729"/>
      <c r="T219" s="729"/>
    </row>
    <row r="220" spans="2:20" ht="13.5" customHeight="1"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729"/>
      <c r="Q220" s="729"/>
      <c r="R220" s="729"/>
      <c r="S220" s="729"/>
      <c r="T220" s="729"/>
    </row>
    <row r="221" spans="2:20" ht="13.5" customHeight="1"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729"/>
      <c r="Q221" s="729"/>
      <c r="R221" s="729"/>
      <c r="S221" s="729"/>
      <c r="T221" s="729"/>
    </row>
    <row r="222" spans="2:20" ht="13.5" customHeight="1"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729"/>
      <c r="Q222" s="729"/>
      <c r="R222" s="729"/>
      <c r="S222" s="729"/>
      <c r="T222" s="729"/>
    </row>
    <row r="223" spans="2:20" ht="13.5" customHeight="1"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729"/>
      <c r="Q223" s="729"/>
      <c r="R223" s="729"/>
      <c r="S223" s="729"/>
      <c r="T223" s="729"/>
    </row>
    <row r="224" spans="2:20" ht="13.5" customHeight="1"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729"/>
      <c r="Q224" s="729"/>
      <c r="R224" s="729"/>
      <c r="S224" s="729"/>
      <c r="T224" s="729"/>
    </row>
    <row r="225" spans="2:20" ht="13.5" customHeight="1"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729"/>
      <c r="Q225" s="729"/>
      <c r="R225" s="729"/>
      <c r="S225" s="729"/>
      <c r="T225" s="729"/>
    </row>
    <row r="226" spans="2:20" ht="13.5" customHeight="1"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729"/>
      <c r="Q226" s="729"/>
      <c r="R226" s="729"/>
      <c r="S226" s="729"/>
      <c r="T226" s="729"/>
    </row>
    <row r="227" spans="2:20" ht="13.5" customHeight="1"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729"/>
      <c r="Q227" s="729"/>
      <c r="R227" s="729"/>
      <c r="S227" s="729"/>
      <c r="T227" s="729"/>
    </row>
    <row r="228" spans="2:20" ht="13.5" customHeight="1"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729"/>
      <c r="Q228" s="729"/>
      <c r="R228" s="729"/>
      <c r="S228" s="729"/>
      <c r="T228" s="729"/>
    </row>
    <row r="229" spans="2:20" ht="13.5" customHeight="1"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729"/>
      <c r="Q229" s="729"/>
      <c r="R229" s="729"/>
      <c r="S229" s="729"/>
      <c r="T229" s="729"/>
    </row>
    <row r="230" spans="2:20" ht="13.5" customHeight="1"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729"/>
      <c r="Q230" s="729"/>
      <c r="R230" s="729"/>
      <c r="S230" s="729"/>
      <c r="T230" s="729"/>
    </row>
    <row r="231" spans="2:20" ht="13.5" customHeight="1"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729"/>
      <c r="Q231" s="729"/>
      <c r="R231" s="729"/>
      <c r="S231" s="729"/>
      <c r="T231" s="729"/>
    </row>
    <row r="232" spans="2:20" ht="13.5" customHeight="1"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729"/>
      <c r="Q232" s="729"/>
      <c r="R232" s="729"/>
      <c r="S232" s="729"/>
      <c r="T232" s="729"/>
    </row>
    <row r="233" spans="2:20" ht="13.5" customHeight="1"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729"/>
      <c r="Q233" s="729"/>
      <c r="R233" s="729"/>
      <c r="S233" s="729"/>
      <c r="T233" s="729"/>
    </row>
    <row r="234" spans="2:20" ht="13.5" customHeight="1"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729"/>
      <c r="Q234" s="729"/>
      <c r="R234" s="729"/>
      <c r="S234" s="729"/>
      <c r="T234" s="729"/>
    </row>
    <row r="235" spans="2:20" ht="13.5" customHeight="1"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729"/>
      <c r="Q235" s="729"/>
      <c r="R235" s="729"/>
      <c r="S235" s="729"/>
      <c r="T235" s="729"/>
    </row>
    <row r="236" spans="2:20" ht="13.5" customHeight="1"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729"/>
      <c r="Q236" s="729"/>
      <c r="R236" s="729"/>
      <c r="S236" s="729"/>
      <c r="T236" s="729"/>
    </row>
    <row r="237" spans="2:20" ht="13.5" customHeight="1"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729"/>
      <c r="Q237" s="729"/>
      <c r="R237" s="729"/>
      <c r="S237" s="729"/>
      <c r="T237" s="729"/>
    </row>
    <row r="238" spans="2:20" ht="13.5" customHeight="1"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729"/>
      <c r="Q238" s="729"/>
      <c r="R238" s="729"/>
      <c r="S238" s="729"/>
      <c r="T238" s="729"/>
    </row>
    <row r="239" spans="2:20" ht="13.5" customHeight="1"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729"/>
      <c r="Q239" s="729"/>
      <c r="R239" s="729"/>
      <c r="S239" s="729"/>
      <c r="T239" s="729"/>
    </row>
    <row r="240" spans="2:20" ht="13.5" customHeight="1"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729"/>
      <c r="Q240" s="729"/>
      <c r="R240" s="729"/>
      <c r="S240" s="729"/>
      <c r="T240" s="729"/>
    </row>
    <row r="241" spans="2:20" ht="13.5" customHeight="1"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729"/>
      <c r="Q241" s="729"/>
      <c r="R241" s="729"/>
      <c r="S241" s="729"/>
      <c r="T241" s="729"/>
    </row>
    <row r="242" spans="2:20" ht="13.5" customHeight="1"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729"/>
      <c r="Q242" s="729"/>
      <c r="R242" s="729"/>
      <c r="S242" s="729"/>
      <c r="T242" s="729"/>
    </row>
    <row r="243" spans="2:20" ht="13.5" customHeight="1"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729"/>
      <c r="Q243" s="729"/>
      <c r="R243" s="729"/>
      <c r="S243" s="729"/>
      <c r="T243" s="729"/>
    </row>
    <row r="244" spans="2:20" ht="13.5" customHeight="1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729"/>
      <c r="Q244" s="729"/>
      <c r="R244" s="729"/>
      <c r="S244" s="729"/>
      <c r="T244" s="729"/>
    </row>
    <row r="245" spans="2:20" ht="13.5" customHeight="1"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729"/>
      <c r="Q245" s="729"/>
      <c r="R245" s="729"/>
      <c r="S245" s="729"/>
      <c r="T245" s="729"/>
    </row>
    <row r="246" spans="2:20" ht="13.5" customHeight="1"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729"/>
      <c r="Q246" s="729"/>
      <c r="R246" s="729"/>
      <c r="S246" s="729"/>
      <c r="T246" s="729"/>
    </row>
    <row r="247" spans="2:20" ht="13.5" customHeight="1"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729"/>
      <c r="Q247" s="729"/>
      <c r="R247" s="729"/>
      <c r="S247" s="729"/>
      <c r="T247" s="729"/>
    </row>
    <row r="248" spans="2:20" ht="13.5" customHeight="1"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729"/>
      <c r="Q248" s="729"/>
      <c r="R248" s="729"/>
      <c r="S248" s="729"/>
      <c r="T248" s="729"/>
    </row>
    <row r="249" spans="2:20" ht="13.5" customHeight="1"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729"/>
      <c r="Q249" s="729"/>
      <c r="R249" s="729"/>
      <c r="S249" s="729"/>
      <c r="T249" s="729"/>
    </row>
    <row r="250" spans="2:20" ht="13.5" customHeight="1"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729"/>
      <c r="Q250" s="729"/>
      <c r="R250" s="729"/>
      <c r="S250" s="729"/>
      <c r="T250" s="729"/>
    </row>
    <row r="251" spans="2:20" ht="13.5" customHeight="1"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729"/>
      <c r="Q251" s="729"/>
      <c r="R251" s="729"/>
      <c r="S251" s="729"/>
      <c r="T251" s="729"/>
    </row>
    <row r="252" spans="2:20" ht="13.5" customHeight="1"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729"/>
      <c r="Q252" s="729"/>
      <c r="R252" s="729"/>
      <c r="S252" s="729"/>
      <c r="T252" s="729"/>
    </row>
    <row r="253" spans="2:20" ht="13.5" customHeight="1"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729"/>
      <c r="Q253" s="729"/>
      <c r="R253" s="729"/>
      <c r="S253" s="729"/>
      <c r="T253" s="729"/>
    </row>
    <row r="254" spans="2:20" ht="13.5" customHeight="1"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729"/>
      <c r="Q254" s="729"/>
      <c r="R254" s="729"/>
      <c r="S254" s="729"/>
      <c r="T254" s="729"/>
    </row>
    <row r="255" spans="2:20" ht="13.5" customHeight="1"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729"/>
      <c r="Q255" s="729"/>
      <c r="R255" s="729"/>
      <c r="S255" s="729"/>
      <c r="T255" s="729"/>
    </row>
    <row r="256" spans="2:20" ht="13.5" customHeight="1"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729"/>
      <c r="Q256" s="729"/>
      <c r="R256" s="729"/>
      <c r="S256" s="729"/>
      <c r="T256" s="729"/>
    </row>
    <row r="257" spans="2:20" ht="13.5" customHeight="1"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729"/>
      <c r="Q257" s="729"/>
      <c r="R257" s="729"/>
      <c r="S257" s="729"/>
      <c r="T257" s="729"/>
    </row>
    <row r="258" spans="2:20" ht="13.5" customHeight="1"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729"/>
      <c r="Q258" s="729"/>
      <c r="R258" s="729"/>
      <c r="S258" s="729"/>
      <c r="T258" s="729"/>
    </row>
    <row r="259" spans="2:20" ht="13.5" customHeight="1"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729"/>
      <c r="Q259" s="729"/>
      <c r="R259" s="729"/>
      <c r="S259" s="729"/>
      <c r="T259" s="729"/>
    </row>
    <row r="260" spans="2:20" ht="13.5" customHeight="1"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729"/>
      <c r="Q260" s="729"/>
      <c r="R260" s="729"/>
      <c r="S260" s="729"/>
      <c r="T260" s="729"/>
    </row>
    <row r="261" spans="2:20" ht="13.5" customHeight="1"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729"/>
      <c r="Q261" s="729"/>
      <c r="R261" s="729"/>
      <c r="S261" s="729"/>
      <c r="T261" s="729"/>
    </row>
    <row r="262" spans="2:20" ht="13.5" customHeight="1"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729"/>
      <c r="Q262" s="729"/>
      <c r="R262" s="729"/>
      <c r="S262" s="729"/>
      <c r="T262" s="729"/>
    </row>
    <row r="263" spans="2:20" ht="13.5" customHeight="1"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729"/>
      <c r="Q263" s="729"/>
      <c r="R263" s="729"/>
      <c r="S263" s="729"/>
      <c r="T263" s="729"/>
    </row>
    <row r="264" spans="2:20" ht="13.5" customHeight="1"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729"/>
      <c r="Q264" s="729"/>
      <c r="R264" s="729"/>
      <c r="S264" s="729"/>
      <c r="T264" s="729"/>
    </row>
    <row r="265" spans="2:20" ht="13.5" customHeight="1"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729"/>
      <c r="Q265" s="729"/>
      <c r="R265" s="729"/>
      <c r="S265" s="729"/>
      <c r="T265" s="729"/>
    </row>
    <row r="266" spans="2:20" ht="13.5" customHeight="1"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729"/>
      <c r="Q266" s="729"/>
      <c r="R266" s="729"/>
      <c r="S266" s="729"/>
      <c r="T266" s="729"/>
    </row>
    <row r="267" spans="2:20" ht="13.5" customHeight="1"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729"/>
      <c r="Q267" s="729"/>
      <c r="R267" s="729"/>
      <c r="S267" s="729"/>
      <c r="T267" s="729"/>
    </row>
    <row r="268" spans="2:20" ht="13.5" customHeight="1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729"/>
      <c r="Q268" s="729"/>
      <c r="R268" s="729"/>
      <c r="S268" s="729"/>
      <c r="T268" s="729"/>
    </row>
    <row r="269" spans="2:20" ht="13.5" customHeight="1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729"/>
      <c r="Q269" s="729"/>
      <c r="R269" s="729"/>
      <c r="S269" s="729"/>
      <c r="T269" s="729"/>
    </row>
    <row r="270" spans="2:20" ht="13.5" customHeight="1"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729"/>
      <c r="Q270" s="729"/>
      <c r="R270" s="729"/>
      <c r="S270" s="729"/>
      <c r="T270" s="729"/>
    </row>
    <row r="271" spans="2:20" ht="13.5" customHeight="1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729"/>
      <c r="Q271" s="729"/>
      <c r="R271" s="729"/>
      <c r="S271" s="729"/>
      <c r="T271" s="729"/>
    </row>
    <row r="272" spans="2:20" ht="13.5" customHeight="1"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729"/>
      <c r="Q272" s="729"/>
      <c r="R272" s="729"/>
      <c r="S272" s="729"/>
      <c r="T272" s="729"/>
    </row>
    <row r="273" spans="2:20" ht="13.5" customHeight="1"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729"/>
      <c r="Q273" s="729"/>
      <c r="R273" s="729"/>
      <c r="S273" s="729"/>
      <c r="T273" s="729"/>
    </row>
    <row r="274" spans="2:20" ht="13.5" customHeight="1"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729"/>
      <c r="Q274" s="729"/>
      <c r="R274" s="729"/>
      <c r="S274" s="729"/>
      <c r="T274" s="729"/>
    </row>
    <row r="275" spans="2:20" ht="13.5" customHeight="1"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729"/>
      <c r="Q275" s="729"/>
      <c r="R275" s="729"/>
      <c r="S275" s="729"/>
      <c r="T275" s="729"/>
    </row>
    <row r="276" spans="2:20" ht="13.5" customHeight="1"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729"/>
      <c r="Q276" s="729"/>
      <c r="R276" s="729"/>
      <c r="S276" s="729"/>
      <c r="T276" s="729"/>
    </row>
    <row r="277" spans="2:20" ht="13.5" customHeight="1"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729"/>
      <c r="Q277" s="729"/>
      <c r="R277" s="729"/>
      <c r="S277" s="729"/>
      <c r="T277" s="729"/>
    </row>
    <row r="278" spans="2:20" ht="13.5" customHeight="1"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729"/>
      <c r="Q278" s="729"/>
      <c r="R278" s="729"/>
      <c r="S278" s="729"/>
      <c r="T278" s="729"/>
    </row>
    <row r="279" spans="2:20" ht="13.5" customHeight="1"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729"/>
      <c r="Q279" s="729"/>
      <c r="R279" s="729"/>
      <c r="S279" s="729"/>
      <c r="T279" s="729"/>
    </row>
    <row r="280" spans="2:20" ht="13.5" customHeight="1"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729"/>
      <c r="Q280" s="729"/>
      <c r="R280" s="729"/>
      <c r="S280" s="729"/>
      <c r="T280" s="729"/>
    </row>
    <row r="281" spans="2:20" ht="13.5" customHeight="1"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729"/>
      <c r="Q281" s="729"/>
      <c r="R281" s="729"/>
      <c r="S281" s="729"/>
      <c r="T281" s="729"/>
    </row>
    <row r="282" spans="2:20" ht="13.5" customHeight="1"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729"/>
      <c r="Q282" s="729"/>
      <c r="R282" s="729"/>
      <c r="S282" s="729"/>
      <c r="T282" s="729"/>
    </row>
    <row r="283" spans="2:20" ht="13.5" customHeight="1"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729"/>
      <c r="Q283" s="729"/>
      <c r="R283" s="729"/>
      <c r="S283" s="729"/>
      <c r="T283" s="729"/>
    </row>
    <row r="284" spans="2:20" ht="13.5" customHeight="1"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729"/>
      <c r="Q284" s="729"/>
      <c r="R284" s="729"/>
      <c r="S284" s="729"/>
      <c r="T284" s="729"/>
    </row>
    <row r="285" spans="2:20" ht="13.5" customHeight="1"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729"/>
      <c r="Q285" s="729"/>
      <c r="R285" s="729"/>
      <c r="S285" s="729"/>
      <c r="T285" s="729"/>
    </row>
    <row r="286" spans="2:20" ht="13.5" customHeight="1"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729"/>
      <c r="Q286" s="729"/>
      <c r="R286" s="729"/>
      <c r="S286" s="729"/>
      <c r="T286" s="729"/>
    </row>
    <row r="287" spans="2:20" ht="13.5" customHeight="1"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729"/>
      <c r="Q287" s="729"/>
      <c r="R287" s="729"/>
      <c r="S287" s="729"/>
      <c r="T287" s="729"/>
    </row>
    <row r="288" spans="2:20" ht="13.5" customHeight="1"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729"/>
      <c r="Q288" s="729"/>
      <c r="R288" s="729"/>
      <c r="S288" s="729"/>
      <c r="T288" s="729"/>
    </row>
    <row r="289" spans="2:20" ht="13.5" customHeight="1"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729"/>
      <c r="Q289" s="729"/>
      <c r="R289" s="729"/>
      <c r="S289" s="729"/>
      <c r="T289" s="729"/>
    </row>
    <row r="290" spans="2:20" ht="13.5" customHeight="1"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729"/>
      <c r="Q290" s="729"/>
      <c r="R290" s="729"/>
      <c r="S290" s="729"/>
      <c r="T290" s="729"/>
    </row>
    <row r="291" spans="2:20" ht="13.5" customHeight="1"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729"/>
      <c r="Q291" s="729"/>
      <c r="R291" s="729"/>
      <c r="S291" s="729"/>
      <c r="T291" s="729"/>
    </row>
    <row r="292" spans="2:20" ht="13.5" customHeight="1"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729"/>
      <c r="Q292" s="729"/>
      <c r="R292" s="729"/>
      <c r="S292" s="729"/>
      <c r="T292" s="729"/>
    </row>
    <row r="293" spans="2:20" ht="13.5" customHeight="1"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729"/>
      <c r="Q293" s="729"/>
      <c r="R293" s="729"/>
      <c r="S293" s="729"/>
      <c r="T293" s="729"/>
    </row>
    <row r="294" spans="2:20" ht="13.5" customHeight="1"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729"/>
      <c r="Q294" s="729"/>
      <c r="R294" s="729"/>
      <c r="S294" s="729"/>
      <c r="T294" s="729"/>
    </row>
    <row r="295" spans="2:20" ht="13.5" customHeight="1"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729"/>
      <c r="Q295" s="729"/>
      <c r="R295" s="729"/>
      <c r="S295" s="729"/>
      <c r="T295" s="729"/>
    </row>
    <row r="296" spans="2:20" ht="13.5" customHeight="1"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729"/>
      <c r="Q296" s="729"/>
      <c r="R296" s="729"/>
      <c r="S296" s="729"/>
      <c r="T296" s="729"/>
    </row>
    <row r="297" spans="2:20" ht="13.5" customHeight="1"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729"/>
      <c r="Q297" s="729"/>
      <c r="R297" s="729"/>
      <c r="S297" s="729"/>
      <c r="T297" s="729"/>
    </row>
    <row r="298" spans="2:20" ht="13.5" customHeight="1"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729"/>
      <c r="Q298" s="729"/>
      <c r="R298" s="729"/>
      <c r="S298" s="729"/>
      <c r="T298" s="729"/>
    </row>
    <row r="299" spans="2:20" ht="13.5" customHeight="1"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729"/>
      <c r="Q299" s="729"/>
      <c r="R299" s="729"/>
      <c r="S299" s="729"/>
      <c r="T299" s="729"/>
    </row>
    <row r="300" spans="2:20" ht="13.5" customHeight="1"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729"/>
      <c r="Q300" s="729"/>
      <c r="R300" s="729"/>
      <c r="S300" s="729"/>
      <c r="T300" s="729"/>
    </row>
    <row r="301" spans="2:20" ht="13.5" customHeight="1"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729"/>
      <c r="Q301" s="729"/>
      <c r="R301" s="729"/>
      <c r="S301" s="729"/>
      <c r="T301" s="729"/>
    </row>
    <row r="302" spans="2:20" ht="13.5" customHeight="1"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729"/>
      <c r="Q302" s="729"/>
      <c r="R302" s="729"/>
      <c r="S302" s="729"/>
      <c r="T302" s="729"/>
    </row>
    <row r="303" spans="2:20" ht="13.5" customHeight="1"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729"/>
      <c r="Q303" s="729"/>
      <c r="R303" s="729"/>
      <c r="S303" s="729"/>
      <c r="T303" s="729"/>
    </row>
    <row r="304" spans="2:20" ht="13.5" customHeight="1"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729"/>
      <c r="Q304" s="729"/>
      <c r="R304" s="729"/>
      <c r="S304" s="729"/>
      <c r="T304" s="729"/>
    </row>
    <row r="305" spans="2:20" ht="13.5" customHeight="1"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729"/>
      <c r="Q305" s="729"/>
      <c r="R305" s="729"/>
      <c r="S305" s="729"/>
      <c r="T305" s="729"/>
    </row>
    <row r="306" spans="2:20" ht="13.5" customHeight="1"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729"/>
      <c r="Q306" s="729"/>
      <c r="R306" s="729"/>
      <c r="S306" s="729"/>
      <c r="T306" s="729"/>
    </row>
    <row r="307" spans="2:20" ht="13.5" customHeight="1"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729"/>
      <c r="Q307" s="729"/>
      <c r="R307" s="729"/>
      <c r="S307" s="729"/>
      <c r="T307" s="729"/>
    </row>
    <row r="308" spans="2:20" ht="13.5" customHeight="1"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729"/>
      <c r="Q308" s="729"/>
      <c r="R308" s="729"/>
      <c r="S308" s="729"/>
      <c r="T308" s="729"/>
    </row>
    <row r="309" spans="2:20" ht="13.5" customHeight="1"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729"/>
      <c r="Q309" s="729"/>
      <c r="R309" s="729"/>
      <c r="S309" s="729"/>
      <c r="T309" s="729"/>
    </row>
    <row r="310" spans="2:20" ht="13.5" customHeight="1"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729"/>
      <c r="Q310" s="729"/>
      <c r="R310" s="729"/>
      <c r="S310" s="729"/>
      <c r="T310" s="729"/>
    </row>
    <row r="311" spans="2:20" ht="13.5" customHeight="1"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729"/>
      <c r="Q311" s="729"/>
      <c r="R311" s="729"/>
      <c r="S311" s="729"/>
      <c r="T311" s="729"/>
    </row>
    <row r="312" spans="2:20" ht="13.5" customHeight="1"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729"/>
      <c r="Q312" s="729"/>
      <c r="R312" s="729"/>
      <c r="S312" s="729"/>
      <c r="T312" s="729"/>
    </row>
    <row r="313" spans="2:20" ht="13.5" customHeight="1"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729"/>
      <c r="Q313" s="729"/>
      <c r="R313" s="729"/>
      <c r="S313" s="729"/>
      <c r="T313" s="729"/>
    </row>
    <row r="314" spans="2:20" ht="13.5" customHeight="1"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729"/>
      <c r="Q314" s="729"/>
      <c r="R314" s="729"/>
      <c r="S314" s="729"/>
      <c r="T314" s="729"/>
    </row>
    <row r="315" spans="2:20" ht="13.5" customHeight="1"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729"/>
      <c r="Q315" s="729"/>
      <c r="R315" s="729"/>
      <c r="S315" s="729"/>
      <c r="T315" s="729"/>
    </row>
    <row r="316" spans="2:20" ht="13.5" customHeight="1"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729"/>
      <c r="Q316" s="729"/>
      <c r="R316" s="729"/>
      <c r="S316" s="729"/>
      <c r="T316" s="729"/>
    </row>
    <row r="317" spans="2:20" ht="13.5" customHeight="1"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729"/>
      <c r="Q317" s="729"/>
      <c r="R317" s="729"/>
      <c r="S317" s="729"/>
      <c r="T317" s="729"/>
    </row>
    <row r="318" spans="2:20" ht="13.5" customHeight="1"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729"/>
      <c r="Q318" s="729"/>
      <c r="R318" s="729"/>
      <c r="S318" s="729"/>
      <c r="T318" s="729"/>
    </row>
    <row r="319" spans="2:20" ht="13.5" customHeight="1"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729"/>
      <c r="Q319" s="729"/>
      <c r="R319" s="729"/>
      <c r="S319" s="729"/>
      <c r="T319" s="729"/>
    </row>
    <row r="320" spans="2:20" ht="13.5" customHeight="1"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729"/>
      <c r="Q320" s="729"/>
      <c r="R320" s="729"/>
      <c r="S320" s="729"/>
      <c r="T320" s="729"/>
    </row>
    <row r="321" spans="2:20" ht="13.5" customHeight="1"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729"/>
      <c r="Q321" s="729"/>
      <c r="R321" s="729"/>
      <c r="S321" s="729"/>
      <c r="T321" s="729"/>
    </row>
    <row r="322" spans="2:20" ht="13.5" customHeight="1"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729"/>
      <c r="Q322" s="729"/>
      <c r="R322" s="729"/>
      <c r="S322" s="729"/>
      <c r="T322" s="729"/>
    </row>
    <row r="323" spans="2:20" ht="13.5" customHeight="1"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729"/>
      <c r="Q323" s="729"/>
      <c r="R323" s="729"/>
      <c r="S323" s="729"/>
      <c r="T323" s="729"/>
    </row>
    <row r="324" spans="2:20" ht="13.5" customHeight="1"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729"/>
      <c r="Q324" s="729"/>
      <c r="R324" s="729"/>
      <c r="S324" s="729"/>
      <c r="T324" s="729"/>
    </row>
    <row r="325" spans="2:20" ht="13.5" customHeight="1"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729"/>
      <c r="Q325" s="729"/>
      <c r="R325" s="729"/>
      <c r="S325" s="729"/>
      <c r="T325" s="729"/>
    </row>
    <row r="326" spans="2:20" ht="13.5" customHeight="1"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729"/>
      <c r="Q326" s="729"/>
      <c r="R326" s="729"/>
      <c r="S326" s="729"/>
      <c r="T326" s="729"/>
    </row>
    <row r="327" spans="2:20" ht="13.5" customHeight="1"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729"/>
      <c r="Q327" s="729"/>
      <c r="R327" s="729"/>
      <c r="S327" s="729"/>
      <c r="T327" s="729"/>
    </row>
    <row r="328" spans="2:20" ht="13.5" customHeight="1"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729"/>
      <c r="Q328" s="729"/>
      <c r="R328" s="729"/>
      <c r="S328" s="729"/>
      <c r="T328" s="729"/>
    </row>
    <row r="329" spans="2:20" ht="13.5" customHeight="1"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729"/>
      <c r="Q329" s="729"/>
      <c r="R329" s="729"/>
      <c r="S329" s="729"/>
      <c r="T329" s="729"/>
    </row>
    <row r="330" spans="2:20" ht="13.5" customHeight="1"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729"/>
      <c r="Q330" s="729"/>
      <c r="R330" s="729"/>
      <c r="S330" s="729"/>
      <c r="T330" s="729"/>
    </row>
    <row r="331" spans="2:20" ht="13.5" customHeight="1"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729"/>
      <c r="Q331" s="729"/>
      <c r="R331" s="729"/>
      <c r="S331" s="729"/>
      <c r="T331" s="729"/>
    </row>
    <row r="332" spans="2:20" ht="13.5" customHeight="1"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729"/>
      <c r="Q332" s="729"/>
      <c r="R332" s="729"/>
      <c r="S332" s="729"/>
      <c r="T332" s="729"/>
    </row>
    <row r="333" spans="2:20" ht="13.5" customHeight="1"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729"/>
      <c r="Q333" s="729"/>
      <c r="R333" s="729"/>
      <c r="S333" s="729"/>
      <c r="T333" s="729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2/2014.(I.24.) Önkormányzati költségvetési rendelethez ( 11 )</oddHeader>
    <oddFooter>&amp;L( 11 ) a 3/2014.(II.11.) önkormányzati rendelettel módosított szöveg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BD261"/>
  <sheetViews>
    <sheetView zoomScalePageLayoutView="0" workbookViewId="0" topLeftCell="A1">
      <selection activeCell="C29" sqref="C29"/>
    </sheetView>
  </sheetViews>
  <sheetFormatPr defaultColWidth="9.140625" defaultRowHeight="13.5" customHeight="1"/>
  <cols>
    <col min="1" max="1" width="4.7109375" style="107" customWidth="1"/>
    <col min="2" max="2" width="23.7109375" style="107" customWidth="1"/>
    <col min="3" max="4" width="12.7109375" style="107" bestFit="1" customWidth="1"/>
    <col min="5" max="5" width="10.140625" style="107" bestFit="1" customWidth="1"/>
    <col min="6" max="6" width="8.28125" style="107" bestFit="1" customWidth="1"/>
    <col min="7" max="9" width="10.140625" style="107" bestFit="1" customWidth="1"/>
    <col min="10" max="10" width="9.8515625" style="107" bestFit="1" customWidth="1"/>
    <col min="11" max="11" width="11.00390625" style="107" bestFit="1" customWidth="1"/>
    <col min="12" max="12" width="10.140625" style="107" bestFit="1" customWidth="1"/>
    <col min="13" max="13" width="11.57421875" style="107" bestFit="1" customWidth="1"/>
    <col min="14" max="14" width="11.140625" style="107" bestFit="1" customWidth="1"/>
    <col min="15" max="15" width="11.140625" style="319" bestFit="1" customWidth="1"/>
    <col min="16" max="19" width="11.140625" style="319" customWidth="1"/>
    <col min="20" max="20" width="12.7109375" style="318" bestFit="1" customWidth="1"/>
    <col min="21" max="27" width="11.7109375" style="318" customWidth="1"/>
    <col min="28" max="29" width="9.7109375" style="318" customWidth="1"/>
    <col min="30" max="30" width="10.57421875" style="318" customWidth="1"/>
    <col min="31" max="31" width="13.00390625" style="318" customWidth="1"/>
    <col min="32" max="32" width="9.28125" style="318" customWidth="1"/>
    <col min="33" max="56" width="9.140625" style="318" customWidth="1"/>
    <col min="57" max="16384" width="9.140625" style="107" customWidth="1"/>
  </cols>
  <sheetData>
    <row r="3" spans="1:19" ht="32.25" customHeight="1" thickBot="1">
      <c r="A3" s="773" t="s">
        <v>467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320"/>
      <c r="Q3" s="320"/>
      <c r="R3" s="320"/>
      <c r="S3" s="320"/>
    </row>
    <row r="4" spans="1:19" ht="13.5" customHeight="1" thickBot="1">
      <c r="A4" s="286" t="s">
        <v>297</v>
      </c>
      <c r="B4" s="287" t="s">
        <v>63</v>
      </c>
      <c r="C4" s="287" t="s">
        <v>298</v>
      </c>
      <c r="D4" s="287" t="s">
        <v>299</v>
      </c>
      <c r="E4" s="287" t="s">
        <v>300</v>
      </c>
      <c r="F4" s="287" t="s">
        <v>301</v>
      </c>
      <c r="G4" s="287" t="s">
        <v>302</v>
      </c>
      <c r="H4" s="287" t="s">
        <v>303</v>
      </c>
      <c r="I4" s="287" t="s">
        <v>304</v>
      </c>
      <c r="J4" s="287" t="s">
        <v>305</v>
      </c>
      <c r="K4" s="287" t="s">
        <v>306</v>
      </c>
      <c r="L4" s="287" t="s">
        <v>307</v>
      </c>
      <c r="M4" s="287" t="s">
        <v>308</v>
      </c>
      <c r="N4" s="287" t="s">
        <v>309</v>
      </c>
      <c r="O4" s="288" t="s">
        <v>310</v>
      </c>
      <c r="P4" s="321"/>
      <c r="Q4" s="321"/>
      <c r="R4" s="321"/>
      <c r="S4" s="321"/>
    </row>
    <row r="5" spans="1:19" ht="13.5" customHeight="1" thickBot="1">
      <c r="A5" s="289" t="s">
        <v>20</v>
      </c>
      <c r="B5" s="290" t="s">
        <v>93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306"/>
      <c r="P5" s="322"/>
      <c r="Q5" s="322"/>
      <c r="R5" s="322"/>
      <c r="S5" s="322"/>
    </row>
    <row r="6" spans="1:19" ht="13.5" customHeight="1">
      <c r="A6" s="292" t="s">
        <v>21</v>
      </c>
      <c r="B6" s="293" t="s">
        <v>331</v>
      </c>
      <c r="C6" s="323">
        <v>77957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 t="s">
        <v>332</v>
      </c>
      <c r="P6" s="326"/>
      <c r="Q6" s="326"/>
      <c r="R6" s="326"/>
      <c r="S6" s="326"/>
    </row>
    <row r="7" spans="1:19" ht="13.5" customHeight="1">
      <c r="A7" s="296" t="s">
        <v>22</v>
      </c>
      <c r="B7" s="297" t="s">
        <v>312</v>
      </c>
      <c r="C7" s="327">
        <f>+'15_mell'!D8+'20_mell'!D9+'19_mell'!D9+'18_mell'!D9+'17_mell'!D11</f>
        <v>8289</v>
      </c>
      <c r="D7" s="327">
        <f>+'15_mell'!E8+'20_mell'!E9+'19_mell'!E9+'18_mell'!E9+'17_mell'!E11</f>
        <v>8289</v>
      </c>
      <c r="E7" s="327">
        <f>+'15_mell'!F8+'20_mell'!F9+'19_mell'!F9+'18_mell'!F9+'17_mell'!F11</f>
        <v>8289</v>
      </c>
      <c r="F7" s="327">
        <f>+'15_mell'!G8+'20_mell'!G9+'19_mell'!G9+'18_mell'!G9+'17_mell'!G11</f>
        <v>8289</v>
      </c>
      <c r="G7" s="327">
        <f>+'15_mell'!H8+'20_mell'!H9+'19_mell'!H9+'18_mell'!H9+'17_mell'!H11</f>
        <v>8289</v>
      </c>
      <c r="H7" s="327">
        <f>+'15_mell'!I8+'20_mell'!I9+'19_mell'!I9+'18_mell'!I9+'17_mell'!I11</f>
        <v>8289</v>
      </c>
      <c r="I7" s="327">
        <f>+'15_mell'!J8+'20_mell'!J9+'19_mell'!J9+'18_mell'!J9+'17_mell'!J11</f>
        <v>8289</v>
      </c>
      <c r="J7" s="327">
        <f>+'15_mell'!K8+'20_mell'!K9+'19_mell'!K9+'18_mell'!K9+'17_mell'!K11</f>
        <v>8289</v>
      </c>
      <c r="K7" s="327">
        <f>+'15_mell'!L8+'20_mell'!L9+'19_mell'!L9+'18_mell'!L9+'17_mell'!L11</f>
        <v>8289</v>
      </c>
      <c r="L7" s="327">
        <f>+'15_mell'!M8+'20_mell'!M9+'19_mell'!M9+'18_mell'!M9+'17_mell'!M11</f>
        <v>8289</v>
      </c>
      <c r="M7" s="327">
        <f>+'15_mell'!N8+'20_mell'!N9+'19_mell'!N9+'18_mell'!N9+'17_mell'!N11</f>
        <v>8289</v>
      </c>
      <c r="N7" s="327">
        <f>+'15_mell'!O8+'20_mell'!O9+'19_mell'!O9+'18_mell'!O9+'17_mell'!O11</f>
        <v>8292</v>
      </c>
      <c r="O7" s="328">
        <f>SUM(C7:N7)</f>
        <v>99471</v>
      </c>
      <c r="P7" s="329"/>
      <c r="Q7" s="329"/>
      <c r="R7" s="329"/>
      <c r="S7" s="329"/>
    </row>
    <row r="8" spans="1:19" ht="22.5" customHeight="1">
      <c r="A8" s="296" t="s">
        <v>23</v>
      </c>
      <c r="B8" s="300" t="s">
        <v>358</v>
      </c>
      <c r="C8" s="327">
        <f>+'15_mell'!D9+'20_mell'!D10+'19_mell'!D10+'18_mell'!D10+'17_mell'!D12</f>
        <v>20064</v>
      </c>
      <c r="D8" s="330">
        <f>+'15_mell'!E9</f>
        <v>20064</v>
      </c>
      <c r="E8" s="330">
        <f>+'15_mell'!F9</f>
        <v>20064</v>
      </c>
      <c r="F8" s="330">
        <f>+'15_mell'!G9</f>
        <v>20064</v>
      </c>
      <c r="G8" s="330">
        <f>+'15_mell'!H9</f>
        <v>20064</v>
      </c>
      <c r="H8" s="330">
        <f>+'15_mell'!I9</f>
        <v>20064</v>
      </c>
      <c r="I8" s="330">
        <f>+'15_mell'!J9</f>
        <v>20064</v>
      </c>
      <c r="J8" s="330">
        <f>+'15_mell'!K9</f>
        <v>20064</v>
      </c>
      <c r="K8" s="330">
        <f>+'15_mell'!L9</f>
        <v>20064</v>
      </c>
      <c r="L8" s="330">
        <f>+'15_mell'!M9</f>
        <v>20064</v>
      </c>
      <c r="M8" s="330">
        <f>+'15_mell'!N9</f>
        <v>20064</v>
      </c>
      <c r="N8" s="330">
        <f>+'15_mell'!O9</f>
        <v>20370</v>
      </c>
      <c r="O8" s="331">
        <f>SUM(C8:N8)</f>
        <v>241074</v>
      </c>
      <c r="P8" s="329"/>
      <c r="Q8" s="329"/>
      <c r="R8" s="329"/>
      <c r="S8" s="329"/>
    </row>
    <row r="9" spans="1:19" ht="13.5" customHeight="1">
      <c r="A9" s="296" t="s">
        <v>24</v>
      </c>
      <c r="B9" s="297" t="s">
        <v>314</v>
      </c>
      <c r="C9" s="327">
        <f>+'15_mell'!D10+'20_mell'!D11+'19_mell'!D11+'18_mell'!D11+'17_mell'!D13</f>
        <v>12937</v>
      </c>
      <c r="D9" s="327">
        <f>+'15_mell'!E10+'20_mell'!E11+'19_mell'!E11+'18_mell'!E11+'17_mell'!E13</f>
        <v>12937</v>
      </c>
      <c r="E9" s="327">
        <f>+'15_mell'!F10+'20_mell'!F11+'19_mell'!F11+'18_mell'!F11+'17_mell'!F13</f>
        <v>12937</v>
      </c>
      <c r="F9" s="327">
        <f>+'15_mell'!G10+'20_mell'!G11+'19_mell'!G11+'18_mell'!G11+'17_mell'!G13</f>
        <v>12937</v>
      </c>
      <c r="G9" s="327">
        <f>+'15_mell'!H10+'20_mell'!H11+'19_mell'!H11+'18_mell'!H11+'17_mell'!H13</f>
        <v>12937</v>
      </c>
      <c r="H9" s="327">
        <f>+'15_mell'!I10+'20_mell'!I11+'19_mell'!I11+'18_mell'!I11+'17_mell'!I13</f>
        <v>12937</v>
      </c>
      <c r="I9" s="327">
        <f>+'15_mell'!J10+'20_mell'!J11+'19_mell'!J11+'18_mell'!J11+'17_mell'!J13</f>
        <v>12937</v>
      </c>
      <c r="J9" s="327">
        <f>+'15_mell'!K10+'20_mell'!K11+'19_mell'!K11+'18_mell'!K11+'17_mell'!K13</f>
        <v>12937</v>
      </c>
      <c r="K9" s="327">
        <f>+'15_mell'!L10+'20_mell'!L11+'19_mell'!L11+'18_mell'!L11+'17_mell'!L13</f>
        <v>12937</v>
      </c>
      <c r="L9" s="327">
        <f>+'15_mell'!M10+'20_mell'!M11+'19_mell'!M11+'18_mell'!M11+'17_mell'!M13</f>
        <v>12937</v>
      </c>
      <c r="M9" s="327">
        <f>+'15_mell'!N10+'20_mell'!N11+'19_mell'!N11+'18_mell'!N11+'17_mell'!N13</f>
        <v>12937</v>
      </c>
      <c r="N9" s="327">
        <f>+'15_mell'!O10+'20_mell'!O11+'19_mell'!O11+'18_mell'!O11+'17_mell'!O13</f>
        <v>12935</v>
      </c>
      <c r="O9" s="328">
        <f aca="true" t="shared" si="0" ref="O9:O27">SUM(C9:N9)</f>
        <v>155242</v>
      </c>
      <c r="P9" s="329"/>
      <c r="Q9" s="329"/>
      <c r="R9" s="329"/>
      <c r="S9" s="329"/>
    </row>
    <row r="10" spans="1:19" ht="13.5" customHeight="1">
      <c r="A10" s="296" t="s">
        <v>25</v>
      </c>
      <c r="B10" s="297" t="s">
        <v>315</v>
      </c>
      <c r="C10" s="327">
        <f>+'15_mell'!D11+'20_mell'!D12+'19_mell'!D12+'18_mell'!D12+'17_mell'!D14</f>
        <v>5000</v>
      </c>
      <c r="D10" s="327">
        <f>+'15_mell'!E11+'20_mell'!E12+'19_mell'!E12+'18_mell'!E12+'17_mell'!E14</f>
        <v>10000</v>
      </c>
      <c r="E10" s="327">
        <f>+'15_mell'!F11+'20_mell'!F12+'19_mell'!F12+'18_mell'!F12+'17_mell'!F14</f>
        <v>0</v>
      </c>
      <c r="F10" s="327">
        <f>+'15_mell'!G11+'20_mell'!G12+'19_mell'!G12+'18_mell'!G12+'17_mell'!G14</f>
        <v>0</v>
      </c>
      <c r="G10" s="327">
        <f>+'15_mell'!H11+'20_mell'!H12+'19_mell'!H12+'18_mell'!H12+'17_mell'!H14</f>
        <v>0</v>
      </c>
      <c r="H10" s="327">
        <f>+'15_mell'!I11+'20_mell'!I12+'19_mell'!I12+'18_mell'!I12+'17_mell'!I14</f>
        <v>0</v>
      </c>
      <c r="I10" s="327">
        <f>+'15_mell'!J11+'20_mell'!J12+'19_mell'!J12+'18_mell'!J12+'17_mell'!J14</f>
        <v>0</v>
      </c>
      <c r="J10" s="327">
        <f>+'15_mell'!K11+'20_mell'!K12+'19_mell'!K12+'18_mell'!K12+'17_mell'!K14</f>
        <v>0</v>
      </c>
      <c r="K10" s="327">
        <f>+'15_mell'!L11+'20_mell'!L12+'19_mell'!L12+'18_mell'!L12+'17_mell'!L14</f>
        <v>14137</v>
      </c>
      <c r="L10" s="327">
        <f>+'15_mell'!M11+'20_mell'!M12+'19_mell'!M12+'18_mell'!M12+'17_mell'!M14</f>
        <v>0</v>
      </c>
      <c r="M10" s="327">
        <f>+'15_mell'!N11+'20_mell'!N12+'19_mell'!N12+'18_mell'!N12+'17_mell'!N14</f>
        <v>48525</v>
      </c>
      <c r="N10" s="327">
        <f>+'15_mell'!O11+'20_mell'!O12+'19_mell'!O12+'18_mell'!O12+'17_mell'!O14</f>
        <v>0</v>
      </c>
      <c r="O10" s="328">
        <f t="shared" si="0"/>
        <v>77662</v>
      </c>
      <c r="P10" s="329"/>
      <c r="Q10" s="329"/>
      <c r="R10" s="329"/>
      <c r="S10" s="329"/>
    </row>
    <row r="11" spans="1:26" ht="13.5" customHeight="1">
      <c r="A11" s="296" t="s">
        <v>26</v>
      </c>
      <c r="B11" s="297" t="s">
        <v>316</v>
      </c>
      <c r="C11" s="327">
        <f>+'15_mell'!D12+'20_mell'!D13+'19_mell'!D13+'18_mell'!D13+'17_mell'!D15</f>
        <v>12553</v>
      </c>
      <c r="D11" s="327">
        <f>+'15_mell'!E12+'20_mell'!E13+'19_mell'!E13+'18_mell'!E13+'17_mell'!E15</f>
        <v>12553</v>
      </c>
      <c r="E11" s="327">
        <f>+'15_mell'!F12+'20_mell'!F13+'19_mell'!F13+'18_mell'!F13+'17_mell'!F15</f>
        <v>12553</v>
      </c>
      <c r="F11" s="327">
        <f>+'15_mell'!G12+'20_mell'!G13+'19_mell'!G13+'18_mell'!G13+'17_mell'!G15</f>
        <v>12553</v>
      </c>
      <c r="G11" s="327">
        <f>+'15_mell'!H12+'20_mell'!H13+'19_mell'!H13+'18_mell'!H13+'17_mell'!H15</f>
        <v>12553</v>
      </c>
      <c r="H11" s="327">
        <f>+'15_mell'!I12+'20_mell'!I13+'19_mell'!I13+'18_mell'!I13+'17_mell'!I15</f>
        <v>12553</v>
      </c>
      <c r="I11" s="327">
        <f>+'15_mell'!J12+'20_mell'!J13+'19_mell'!J13+'18_mell'!J13+'17_mell'!J15</f>
        <v>12553</v>
      </c>
      <c r="J11" s="327">
        <f>+'15_mell'!K12+'20_mell'!K13+'19_mell'!K13+'18_mell'!K13+'17_mell'!K15</f>
        <v>12553</v>
      </c>
      <c r="K11" s="327">
        <f>+'15_mell'!L12+'20_mell'!L13+'19_mell'!L13+'18_mell'!L13+'17_mell'!L15</f>
        <v>12553</v>
      </c>
      <c r="L11" s="327">
        <f>+'15_mell'!M12+'20_mell'!M13+'19_mell'!M13+'18_mell'!M13+'17_mell'!M15</f>
        <v>12553</v>
      </c>
      <c r="M11" s="327">
        <f>+'15_mell'!N12+'20_mell'!N13+'19_mell'!N13+'18_mell'!N13+'17_mell'!N15</f>
        <v>12553</v>
      </c>
      <c r="N11" s="327">
        <f>+'15_mell'!O12+'20_mell'!O13+'19_mell'!O13+'18_mell'!O13+'17_mell'!O15</f>
        <v>12261</v>
      </c>
      <c r="O11" s="328">
        <f t="shared" si="0"/>
        <v>150344</v>
      </c>
      <c r="P11" s="329"/>
      <c r="Q11" s="329"/>
      <c r="R11" s="329"/>
      <c r="S11" s="329"/>
      <c r="T11" s="139"/>
      <c r="X11" s="139"/>
      <c r="Z11" s="139"/>
    </row>
    <row r="12" spans="1:19" ht="13.5" customHeight="1">
      <c r="A12" s="296" t="s">
        <v>27</v>
      </c>
      <c r="B12" s="297" t="s">
        <v>317</v>
      </c>
      <c r="C12" s="327">
        <f>+'15_mell'!D13+'20_mell'!D14+'19_mell'!D14+'18_mell'!D14+'17_mell'!D16</f>
        <v>13</v>
      </c>
      <c r="D12" s="327">
        <f>+'15_mell'!E13+'20_mell'!E14+'19_mell'!E14+'18_mell'!E14+'17_mell'!E16</f>
        <v>13</v>
      </c>
      <c r="E12" s="327">
        <f>+'15_mell'!F13+'20_mell'!F14+'19_mell'!F14+'18_mell'!F14+'17_mell'!F16</f>
        <v>13</v>
      </c>
      <c r="F12" s="327">
        <f>+'15_mell'!G13+'20_mell'!G14+'19_mell'!G14+'18_mell'!G14+'17_mell'!G16</f>
        <v>13</v>
      </c>
      <c r="G12" s="327">
        <f>+'15_mell'!H13+'20_mell'!H14+'19_mell'!H14+'18_mell'!H14+'17_mell'!H16</f>
        <v>13</v>
      </c>
      <c r="H12" s="327">
        <f>+'15_mell'!I13+'20_mell'!I14+'19_mell'!I14+'18_mell'!I14+'17_mell'!I16</f>
        <v>13</v>
      </c>
      <c r="I12" s="327">
        <f>+'15_mell'!J13+'20_mell'!J14+'19_mell'!J14+'18_mell'!J14+'17_mell'!J16</f>
        <v>13</v>
      </c>
      <c r="J12" s="327">
        <f>+'15_mell'!K13+'20_mell'!K14+'19_mell'!K14+'18_mell'!K14+'17_mell'!K16</f>
        <v>13</v>
      </c>
      <c r="K12" s="327">
        <f>+'15_mell'!L13+'20_mell'!L14+'19_mell'!L14+'18_mell'!L14+'17_mell'!L16</f>
        <v>13</v>
      </c>
      <c r="L12" s="327">
        <f>+'15_mell'!M13+'20_mell'!M14+'19_mell'!M14+'18_mell'!M14+'17_mell'!M16</f>
        <v>13</v>
      </c>
      <c r="M12" s="327">
        <f>+'15_mell'!N13+'20_mell'!N14+'19_mell'!N14+'18_mell'!N14+'17_mell'!N16</f>
        <v>13</v>
      </c>
      <c r="N12" s="327">
        <f>+'15_mell'!O13+'20_mell'!O14+'19_mell'!O14+'18_mell'!O14+'17_mell'!O16</f>
        <v>7</v>
      </c>
      <c r="O12" s="328">
        <f t="shared" si="0"/>
        <v>150</v>
      </c>
      <c r="P12" s="329"/>
      <c r="Q12" s="329"/>
      <c r="R12" s="329"/>
      <c r="S12" s="329"/>
    </row>
    <row r="13" spans="1:19" ht="21" customHeight="1">
      <c r="A13" s="296" t="s">
        <v>28</v>
      </c>
      <c r="B13" s="302" t="s">
        <v>318</v>
      </c>
      <c r="C13" s="327">
        <f>+'15_mell'!D14+'20_mell'!D15+'19_mell'!D15+'18_mell'!D15+'17_mell'!D17</f>
        <v>0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>
        <f t="shared" si="0"/>
        <v>0</v>
      </c>
      <c r="P13" s="329"/>
      <c r="Q13" s="329"/>
      <c r="R13" s="329"/>
      <c r="S13" s="329"/>
    </row>
    <row r="14" spans="1:19" ht="13.5" customHeight="1" thickBot="1">
      <c r="A14" s="296" t="s">
        <v>29</v>
      </c>
      <c r="B14" s="297" t="s">
        <v>333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>
        <f t="shared" si="0"/>
        <v>0</v>
      </c>
      <c r="P14" s="329"/>
      <c r="Q14" s="329"/>
      <c r="R14" s="329"/>
      <c r="S14" s="329"/>
    </row>
    <row r="15" spans="1:56" s="319" customFormat="1" ht="13.5" customHeight="1" thickBot="1">
      <c r="A15" s="289" t="s">
        <v>30</v>
      </c>
      <c r="B15" s="304" t="s">
        <v>319</v>
      </c>
      <c r="C15" s="332">
        <f>SUM(C7:C14)</f>
        <v>58856</v>
      </c>
      <c r="D15" s="332">
        <f aca="true" t="shared" si="1" ref="D15:N15">SUM(D7:D14)</f>
        <v>63856</v>
      </c>
      <c r="E15" s="332">
        <f t="shared" si="1"/>
        <v>53856</v>
      </c>
      <c r="F15" s="332">
        <f t="shared" si="1"/>
        <v>53856</v>
      </c>
      <c r="G15" s="332">
        <f t="shared" si="1"/>
        <v>53856</v>
      </c>
      <c r="H15" s="332">
        <f t="shared" si="1"/>
        <v>53856</v>
      </c>
      <c r="I15" s="332">
        <f t="shared" si="1"/>
        <v>53856</v>
      </c>
      <c r="J15" s="332">
        <f t="shared" si="1"/>
        <v>53856</v>
      </c>
      <c r="K15" s="332">
        <f t="shared" si="1"/>
        <v>67993</v>
      </c>
      <c r="L15" s="332">
        <f t="shared" si="1"/>
        <v>53856</v>
      </c>
      <c r="M15" s="332">
        <f t="shared" si="1"/>
        <v>102381</v>
      </c>
      <c r="N15" s="332">
        <f t="shared" si="1"/>
        <v>53865</v>
      </c>
      <c r="O15" s="332">
        <f>SUM(O7:O14)</f>
        <v>723943</v>
      </c>
      <c r="Q15" s="329"/>
      <c r="R15" s="333"/>
      <c r="S15" s="333"/>
      <c r="T15" s="334"/>
      <c r="U15" s="318"/>
      <c r="V15" s="318"/>
      <c r="W15" s="318"/>
      <c r="X15" s="334"/>
      <c r="Y15" s="318"/>
      <c r="Z15" s="334"/>
      <c r="AA15" s="318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</row>
    <row r="16" spans="1:56" s="319" customFormat="1" ht="13.5" customHeight="1" thickBot="1">
      <c r="A16" s="289" t="s">
        <v>31</v>
      </c>
      <c r="B16" s="290" t="s">
        <v>121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306"/>
      <c r="P16" s="333"/>
      <c r="Q16" s="329"/>
      <c r="R16" s="322"/>
      <c r="S16" s="335"/>
      <c r="T16" s="334"/>
      <c r="U16" s="318"/>
      <c r="V16" s="318"/>
      <c r="W16" s="318"/>
      <c r="X16" s="334"/>
      <c r="Y16" s="318"/>
      <c r="Z16" s="334"/>
      <c r="AA16" s="318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</row>
    <row r="17" spans="1:19" ht="13.5" customHeight="1">
      <c r="A17" s="307" t="s">
        <v>32</v>
      </c>
      <c r="B17" s="308" t="s">
        <v>212</v>
      </c>
      <c r="C17" s="330">
        <f>+'15_mell'!D18+'20_mell'!D19+'19_mell'!D19+'18_mell'!D19+'17_mell'!D21</f>
        <v>18510</v>
      </c>
      <c r="D17" s="330">
        <f>+'15_mell'!E18+'20_mell'!E19+'19_mell'!E19+'18_mell'!E19+'17_mell'!E21</f>
        <v>19410</v>
      </c>
      <c r="E17" s="330">
        <f>+'15_mell'!F18+'20_mell'!F19+'19_mell'!F19+'18_mell'!F19+'17_mell'!F21</f>
        <v>19567</v>
      </c>
      <c r="F17" s="330">
        <f>+'15_mell'!G18+'20_mell'!G19+'19_mell'!G19+'18_mell'!G19+'17_mell'!G21</f>
        <v>17773</v>
      </c>
      <c r="G17" s="330">
        <f>+'15_mell'!H18+'20_mell'!H19+'19_mell'!H19+'18_mell'!H19+'17_mell'!H21</f>
        <v>18510</v>
      </c>
      <c r="H17" s="330">
        <f>+'15_mell'!I18+'20_mell'!I19+'19_mell'!I19+'18_mell'!I19+'17_mell'!I21</f>
        <v>18510</v>
      </c>
      <c r="I17" s="330">
        <f>+'15_mell'!J18+'20_mell'!J19+'19_mell'!J19+'18_mell'!J19+'17_mell'!J21</f>
        <v>19273</v>
      </c>
      <c r="J17" s="330">
        <f>+'15_mell'!K18+'20_mell'!K19+'19_mell'!K19+'18_mell'!K19+'17_mell'!K21</f>
        <v>19273</v>
      </c>
      <c r="K17" s="330">
        <f>+'15_mell'!L18+'20_mell'!L19+'19_mell'!L19+'18_mell'!L19+'17_mell'!L21</f>
        <v>18358</v>
      </c>
      <c r="L17" s="330">
        <f>+'15_mell'!M18+'20_mell'!M19+'19_mell'!M19+'18_mell'!M19+'17_mell'!M21</f>
        <v>19280</v>
      </c>
      <c r="M17" s="330">
        <f>+'15_mell'!N18+'20_mell'!N19+'19_mell'!N19+'18_mell'!N19+'17_mell'!N21</f>
        <v>18510</v>
      </c>
      <c r="N17" s="330">
        <f>+'15_mell'!O18+'20_mell'!O19+'19_mell'!O19+'18_mell'!O19+'17_mell'!O21</f>
        <v>18506</v>
      </c>
      <c r="O17" s="331">
        <f>SUM(C17:N17)</f>
        <v>225480</v>
      </c>
      <c r="P17" s="329"/>
      <c r="Q17" s="329"/>
      <c r="R17" s="329"/>
      <c r="S17" s="329"/>
    </row>
    <row r="18" spans="1:19" ht="24.75" customHeight="1">
      <c r="A18" s="296" t="s">
        <v>33</v>
      </c>
      <c r="B18" s="302" t="s">
        <v>320</v>
      </c>
      <c r="C18" s="330">
        <f>+'15_mell'!D19+'20_mell'!D20+'19_mell'!D20+'18_mell'!D20+'17_mell'!D22</f>
        <v>4957</v>
      </c>
      <c r="D18" s="330">
        <f>+'15_mell'!E19+'20_mell'!E20+'19_mell'!E20+'18_mell'!E20+'17_mell'!E22</f>
        <v>5057</v>
      </c>
      <c r="E18" s="330">
        <f>+'15_mell'!F19+'20_mell'!F20+'19_mell'!F20+'18_mell'!F20+'17_mell'!F22</f>
        <v>4978</v>
      </c>
      <c r="F18" s="330">
        <f>+'15_mell'!G19+'20_mell'!G20+'19_mell'!G20+'18_mell'!G20+'17_mell'!G22</f>
        <v>4978</v>
      </c>
      <c r="G18" s="330">
        <f>+'15_mell'!H19+'20_mell'!H20+'19_mell'!H20+'18_mell'!H20+'17_mell'!H22</f>
        <v>4978</v>
      </c>
      <c r="H18" s="330">
        <f>+'15_mell'!I19+'20_mell'!I20+'19_mell'!I20+'18_mell'!I20+'17_mell'!I22</f>
        <v>4978</v>
      </c>
      <c r="I18" s="330">
        <f>+'15_mell'!J19+'20_mell'!J20+'19_mell'!J20+'18_mell'!J20+'17_mell'!J22</f>
        <v>4978</v>
      </c>
      <c r="J18" s="330">
        <f>+'15_mell'!K19+'20_mell'!K20+'19_mell'!K20+'18_mell'!K20+'17_mell'!K22</f>
        <v>4978</v>
      </c>
      <c r="K18" s="330">
        <f>+'15_mell'!L19+'20_mell'!L20+'19_mell'!L20+'18_mell'!L20+'17_mell'!L22</f>
        <v>4978</v>
      </c>
      <c r="L18" s="330">
        <f>+'15_mell'!M19+'20_mell'!M20+'19_mell'!M20+'18_mell'!M20+'17_mell'!M22</f>
        <v>5769</v>
      </c>
      <c r="M18" s="330">
        <f>+'15_mell'!N19+'20_mell'!N20+'19_mell'!N20+'18_mell'!N20+'17_mell'!N22</f>
        <v>4978</v>
      </c>
      <c r="N18" s="330">
        <f>+'15_mell'!O19+'20_mell'!O20+'19_mell'!O20+'18_mell'!O20+'17_mell'!O22</f>
        <v>4800</v>
      </c>
      <c r="O18" s="328">
        <f t="shared" si="0"/>
        <v>60407</v>
      </c>
      <c r="P18" s="329"/>
      <c r="Q18" s="329"/>
      <c r="R18" s="329"/>
      <c r="S18" s="329"/>
    </row>
    <row r="19" spans="1:19" ht="13.5" customHeight="1">
      <c r="A19" s="296" t="s">
        <v>34</v>
      </c>
      <c r="B19" s="297" t="s">
        <v>248</v>
      </c>
      <c r="C19" s="330">
        <f>+'15_mell'!D20+'20_mell'!D21+'19_mell'!D21+'18_mell'!D21+'17_mell'!D23</f>
        <v>18192</v>
      </c>
      <c r="D19" s="330">
        <f>+'15_mell'!E20+'20_mell'!E21+'19_mell'!E21+'18_mell'!E21+'17_mell'!E23</f>
        <v>18192</v>
      </c>
      <c r="E19" s="330">
        <f>+'15_mell'!F20+'20_mell'!F21+'19_mell'!F21+'18_mell'!F21+'17_mell'!F23</f>
        <v>18192</v>
      </c>
      <c r="F19" s="330">
        <f>+'15_mell'!G20+'20_mell'!G21+'19_mell'!G21+'18_mell'!G21+'17_mell'!G23</f>
        <v>18192</v>
      </c>
      <c r="G19" s="330">
        <f>+'15_mell'!H20+'20_mell'!H21+'19_mell'!H21+'18_mell'!H21+'17_mell'!H23</f>
        <v>19092</v>
      </c>
      <c r="H19" s="330">
        <f>+'15_mell'!I20+'20_mell'!I21+'19_mell'!I21+'18_mell'!I21+'17_mell'!I23</f>
        <v>18192</v>
      </c>
      <c r="I19" s="330">
        <f>+'15_mell'!J20+'20_mell'!J21+'19_mell'!J21+'18_mell'!J21+'17_mell'!J23</f>
        <v>18192</v>
      </c>
      <c r="J19" s="330">
        <f>+'15_mell'!K20+'20_mell'!K21+'19_mell'!K21+'18_mell'!K21+'17_mell'!K23</f>
        <v>18192</v>
      </c>
      <c r="K19" s="330">
        <f>+'15_mell'!L20+'20_mell'!L21+'19_mell'!L21+'18_mell'!L21+'17_mell'!L23</f>
        <v>18892</v>
      </c>
      <c r="L19" s="330">
        <f>+'15_mell'!M20+'20_mell'!M21+'19_mell'!M21+'18_mell'!M21+'17_mell'!M23</f>
        <v>18192</v>
      </c>
      <c r="M19" s="330">
        <f>+'15_mell'!N20+'20_mell'!N21+'19_mell'!N21+'18_mell'!N21+'17_mell'!N23</f>
        <v>18192</v>
      </c>
      <c r="N19" s="330">
        <f>+'15_mell'!O20+'20_mell'!O21+'19_mell'!O21+'18_mell'!O21+'17_mell'!O23</f>
        <v>27646</v>
      </c>
      <c r="O19" s="328">
        <f t="shared" si="0"/>
        <v>229358</v>
      </c>
      <c r="P19" s="329"/>
      <c r="Q19" s="329"/>
      <c r="R19" s="329"/>
      <c r="S19" s="329"/>
    </row>
    <row r="20" spans="1:19" ht="13.5" customHeight="1">
      <c r="A20" s="296" t="s">
        <v>35</v>
      </c>
      <c r="B20" s="297" t="s">
        <v>321</v>
      </c>
      <c r="C20" s="330">
        <f>+'15_mell'!D21+'20_mell'!D22+'19_mell'!D22+'18_mell'!D22+'17_mell'!D24</f>
        <v>0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8">
        <f t="shared" si="0"/>
        <v>0</v>
      </c>
      <c r="P20" s="329"/>
      <c r="Q20" s="329"/>
      <c r="R20" s="329"/>
      <c r="S20" s="329"/>
    </row>
    <row r="21" spans="1:19" ht="13.5" customHeight="1">
      <c r="A21" s="296" t="s">
        <v>36</v>
      </c>
      <c r="B21" s="297" t="s">
        <v>322</v>
      </c>
      <c r="C21" s="330">
        <f>+'15_mell'!D22+'20_mell'!D23+'19_mell'!D23+'18_mell'!D23+'17_mell'!D25</f>
        <v>0</v>
      </c>
      <c r="D21" s="330">
        <f>+'15_mell'!E22+'20_mell'!E23+'19_mell'!E23+'18_mell'!E23+'17_mell'!E25</f>
        <v>0</v>
      </c>
      <c r="E21" s="330">
        <f>+'15_mell'!F22+'20_mell'!F23+'19_mell'!F23+'18_mell'!F23+'17_mell'!F25</f>
        <v>0</v>
      </c>
      <c r="F21" s="330">
        <f>+'15_mell'!G22+'20_mell'!G23+'19_mell'!G23+'18_mell'!G23+'17_mell'!G25</f>
        <v>0</v>
      </c>
      <c r="G21" s="330">
        <f>+'15_mell'!H22+'20_mell'!H23+'19_mell'!H23+'18_mell'!H23+'17_mell'!H25</f>
        <v>0</v>
      </c>
      <c r="H21" s="330">
        <f>+'15_mell'!I22+'20_mell'!I23+'19_mell'!I23+'18_mell'!I23+'17_mell'!I25</f>
        <v>0</v>
      </c>
      <c r="I21" s="330">
        <f>+'15_mell'!J22+'20_mell'!J23+'19_mell'!J23+'18_mell'!J23+'17_mell'!J25</f>
        <v>0</v>
      </c>
      <c r="J21" s="330">
        <f>+'15_mell'!K22+'20_mell'!K23+'19_mell'!K23+'18_mell'!K23+'17_mell'!K25</f>
        <v>0</v>
      </c>
      <c r="K21" s="330">
        <f>+'15_mell'!L22+'20_mell'!L23+'19_mell'!L23+'18_mell'!L23+'17_mell'!L25</f>
        <v>0</v>
      </c>
      <c r="L21" s="330">
        <f>+'15_mell'!M22+'20_mell'!M23+'19_mell'!M23+'18_mell'!M23+'17_mell'!M25</f>
        <v>0</v>
      </c>
      <c r="M21" s="330">
        <f>+'15_mell'!N22+'20_mell'!N23+'19_mell'!N23+'18_mell'!N23+'17_mell'!N25</f>
        <v>0</v>
      </c>
      <c r="N21" s="330">
        <f>+'15_mell'!O22+'20_mell'!O23+'19_mell'!O23+'18_mell'!O23+'17_mell'!O25</f>
        <v>0</v>
      </c>
      <c r="O21" s="328">
        <f t="shared" si="0"/>
        <v>0</v>
      </c>
      <c r="P21" s="329"/>
      <c r="Q21" s="329"/>
      <c r="R21" s="329"/>
      <c r="S21" s="329"/>
    </row>
    <row r="22" spans="1:19" ht="13.5" customHeight="1">
      <c r="A22" s="296" t="s">
        <v>37</v>
      </c>
      <c r="B22" s="297" t="s">
        <v>323</v>
      </c>
      <c r="C22" s="330">
        <f>+'15_mell'!D23+'20_mell'!D24+'19_mell'!D24+'18_mell'!D24+'17_mell'!D26</f>
        <v>2239</v>
      </c>
      <c r="D22" s="330">
        <f>+'15_mell'!E23+'20_mell'!E24+'19_mell'!E24+'18_mell'!E24+'17_mell'!E26</f>
        <v>2239</v>
      </c>
      <c r="E22" s="330">
        <f>+'15_mell'!F23+'20_mell'!F24+'19_mell'!F24+'18_mell'!F24+'17_mell'!F26</f>
        <v>2239</v>
      </c>
      <c r="F22" s="330">
        <f>+'15_mell'!G23+'20_mell'!G24+'19_mell'!G24+'18_mell'!G24+'17_mell'!G26</f>
        <v>2239</v>
      </c>
      <c r="G22" s="330">
        <f>+'15_mell'!H23+'20_mell'!H24+'19_mell'!H24+'18_mell'!H24+'17_mell'!H26</f>
        <v>2239</v>
      </c>
      <c r="H22" s="330">
        <f>+'15_mell'!I23+'20_mell'!I24+'19_mell'!I24+'18_mell'!I24+'17_mell'!I26</f>
        <v>2239</v>
      </c>
      <c r="I22" s="330">
        <f>+'15_mell'!J23+'20_mell'!J24+'19_mell'!J24+'18_mell'!J24+'17_mell'!J26</f>
        <v>2239</v>
      </c>
      <c r="J22" s="330">
        <f>+'15_mell'!K23+'20_mell'!K24+'19_mell'!K24+'18_mell'!K24+'17_mell'!K26</f>
        <v>2239</v>
      </c>
      <c r="K22" s="330">
        <f>+'15_mell'!L23+'20_mell'!L24+'19_mell'!L24+'18_mell'!L24+'17_mell'!L26</f>
        <v>2239</v>
      </c>
      <c r="L22" s="330">
        <f>+'15_mell'!M23+'20_mell'!M24+'19_mell'!M24+'18_mell'!M24+'17_mell'!M26</f>
        <v>2239</v>
      </c>
      <c r="M22" s="330">
        <f>+'15_mell'!N23+'20_mell'!N24+'19_mell'!N24+'18_mell'!N24+'17_mell'!N26</f>
        <v>2239</v>
      </c>
      <c r="N22" s="330">
        <f>+'15_mell'!O23+'20_mell'!O24+'19_mell'!O24+'18_mell'!O24+'17_mell'!O26</f>
        <v>1540</v>
      </c>
      <c r="O22" s="328">
        <f t="shared" si="0"/>
        <v>26169</v>
      </c>
      <c r="P22" s="329"/>
      <c r="Q22" s="329"/>
      <c r="R22" s="329"/>
      <c r="S22" s="329"/>
    </row>
    <row r="23" spans="1:19" ht="21" customHeight="1">
      <c r="A23" s="296" t="s">
        <v>40</v>
      </c>
      <c r="B23" s="302" t="s">
        <v>324</v>
      </c>
      <c r="C23" s="330">
        <f>+'15_mell'!D24+'20_mell'!D25+'19_mell'!D25+'18_mell'!D25+'17_mell'!D27</f>
        <v>9861</v>
      </c>
      <c r="D23" s="330">
        <f>+'15_mell'!E24+'20_mell'!E25+'19_mell'!E25+'18_mell'!E25+'17_mell'!E27</f>
        <v>9861</v>
      </c>
      <c r="E23" s="330">
        <f>+'15_mell'!F24+'20_mell'!F25+'19_mell'!F25+'18_mell'!F25+'17_mell'!F27</f>
        <v>9861</v>
      </c>
      <c r="F23" s="330">
        <f>+'15_mell'!G24+'20_mell'!G25+'19_mell'!G25+'18_mell'!G25+'17_mell'!G27</f>
        <v>9861</v>
      </c>
      <c r="G23" s="330">
        <f>+'15_mell'!H24+'20_mell'!H25+'19_mell'!H25+'18_mell'!H25+'17_mell'!H27</f>
        <v>9861</v>
      </c>
      <c r="H23" s="330">
        <f>+'15_mell'!I24+'20_mell'!I25+'19_mell'!I25+'18_mell'!I25+'17_mell'!I27</f>
        <v>9861</v>
      </c>
      <c r="I23" s="330">
        <f>+'15_mell'!J24+'20_mell'!J25+'19_mell'!J25+'18_mell'!J25+'17_mell'!J27</f>
        <v>9861</v>
      </c>
      <c r="J23" s="330">
        <f>+'15_mell'!K24+'20_mell'!K25+'19_mell'!K25+'18_mell'!K25+'17_mell'!K27</f>
        <v>9861</v>
      </c>
      <c r="K23" s="330">
        <f>+'15_mell'!L24+'20_mell'!L25+'19_mell'!L25+'18_mell'!L25+'17_mell'!L27</f>
        <v>9861</v>
      </c>
      <c r="L23" s="330">
        <f>+'15_mell'!M24+'20_mell'!M25+'19_mell'!M25+'18_mell'!M25+'17_mell'!M27</f>
        <v>9861</v>
      </c>
      <c r="M23" s="330">
        <f>+'15_mell'!N24+'20_mell'!N25+'19_mell'!N25+'18_mell'!N25+'17_mell'!N27</f>
        <v>9861</v>
      </c>
      <c r="N23" s="330">
        <f>+'15_mell'!O24+'20_mell'!O25+'19_mell'!O25+'18_mell'!O25+'17_mell'!O27</f>
        <v>9868</v>
      </c>
      <c r="O23" s="328">
        <f t="shared" si="0"/>
        <v>118339</v>
      </c>
      <c r="P23" s="329"/>
      <c r="Q23" s="329"/>
      <c r="R23" s="329"/>
      <c r="S23" s="329"/>
    </row>
    <row r="24" spans="1:19" ht="13.5" customHeight="1">
      <c r="A24" s="296" t="s">
        <v>42</v>
      </c>
      <c r="B24" s="297" t="s">
        <v>449</v>
      </c>
      <c r="C24" s="330">
        <f>+'15_mell'!D25+'20_mell'!D26+'19_mell'!D26+'18_mell'!D26+'17_mell'!D28</f>
        <v>0</v>
      </c>
      <c r="D24" s="330">
        <f>+'15_mell'!E25+'20_mell'!E26+'19_mell'!E26+'18_mell'!E26+'17_mell'!E28</f>
        <v>1000</v>
      </c>
      <c r="E24" s="330">
        <f>+'15_mell'!F25+'20_mell'!F26+'19_mell'!F26+'18_mell'!F26+'17_mell'!F28</f>
        <v>2000</v>
      </c>
      <c r="F24" s="330">
        <f>+'15_mell'!G25+'20_mell'!G26+'19_mell'!G26+'18_mell'!G26+'17_mell'!G28</f>
        <v>0</v>
      </c>
      <c r="G24" s="330">
        <f>+'15_mell'!H25+'20_mell'!H26+'19_mell'!H26+'18_mell'!H26+'17_mell'!H28</f>
        <v>0</v>
      </c>
      <c r="H24" s="330">
        <f>+'15_mell'!I25+'20_mell'!I26+'19_mell'!I26+'18_mell'!I26+'17_mell'!I28</f>
        <v>0</v>
      </c>
      <c r="I24" s="330">
        <f>+'15_mell'!J25+'20_mell'!J26+'19_mell'!J26+'18_mell'!J26+'17_mell'!J28</f>
        <v>0</v>
      </c>
      <c r="J24" s="330">
        <f>+'15_mell'!K25+'20_mell'!K26+'19_mell'!K26+'18_mell'!K26+'17_mell'!K28</f>
        <v>0</v>
      </c>
      <c r="K24" s="330">
        <f>+'15_mell'!L25+'20_mell'!L26+'19_mell'!L26+'18_mell'!L26+'17_mell'!L28</f>
        <v>0</v>
      </c>
      <c r="L24" s="330">
        <f>+'15_mell'!M25+'20_mell'!M26+'19_mell'!M26+'18_mell'!M26+'17_mell'!M28</f>
        <v>0</v>
      </c>
      <c r="M24" s="330">
        <f>+'15_mell'!N25+'20_mell'!N26+'19_mell'!N26+'18_mell'!N26+'17_mell'!N28</f>
        <v>0</v>
      </c>
      <c r="N24" s="330">
        <f>+'15_mell'!O25+'20_mell'!O26+'19_mell'!O26+'18_mell'!O26+'17_mell'!O28</f>
        <v>0</v>
      </c>
      <c r="O24" s="328">
        <f t="shared" si="0"/>
        <v>3000</v>
      </c>
      <c r="P24" s="329"/>
      <c r="Q24" s="329"/>
      <c r="R24" s="329"/>
      <c r="S24" s="329"/>
    </row>
    <row r="25" spans="1:19" ht="13.5" customHeight="1">
      <c r="A25" s="296" t="s">
        <v>43</v>
      </c>
      <c r="B25" s="297" t="s">
        <v>326</v>
      </c>
      <c r="C25" s="330">
        <f>+'15_mell'!D26+'20_mell'!D27+'19_mell'!D27+'18_mell'!D27+'17_mell'!D29</f>
        <v>0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>
        <f t="shared" si="0"/>
        <v>0</v>
      </c>
      <c r="P25" s="329"/>
      <c r="Q25" s="329"/>
      <c r="R25" s="329"/>
      <c r="S25" s="329"/>
    </row>
    <row r="26" spans="1:19" ht="13.5" customHeight="1">
      <c r="A26" s="296" t="s">
        <v>44</v>
      </c>
      <c r="B26" s="297" t="s">
        <v>327</v>
      </c>
      <c r="C26" s="330">
        <f>+'15_mell'!D27+'20_mell'!D28+'19_mell'!D28+'18_mell'!D28+'17_mell'!D30</f>
        <v>0</v>
      </c>
      <c r="D26" s="330">
        <f>+'15_mell'!E27+'20_mell'!E28+'19_mell'!E28+'18_mell'!E28+'17_mell'!E30</f>
        <v>0</v>
      </c>
      <c r="E26" s="330">
        <f>+'15_mell'!F27+'20_mell'!F28+'19_mell'!F28+'18_mell'!F28+'17_mell'!F30</f>
        <v>0</v>
      </c>
      <c r="F26" s="330">
        <f>+'15_mell'!G27+'20_mell'!G28+'19_mell'!G28+'18_mell'!G28+'17_mell'!G30</f>
        <v>0</v>
      </c>
      <c r="G26" s="330">
        <f>+'15_mell'!H27+'20_mell'!H28+'19_mell'!H28+'18_mell'!H28+'17_mell'!H30</f>
        <v>0</v>
      </c>
      <c r="H26" s="330">
        <f>+'15_mell'!I27+'20_mell'!I28+'19_mell'!I28+'18_mell'!I28+'17_mell'!I30</f>
        <v>8101</v>
      </c>
      <c r="I26" s="330">
        <f>+'15_mell'!J27+'20_mell'!J28+'19_mell'!J28+'18_mell'!J28+'17_mell'!J30</f>
        <v>0</v>
      </c>
      <c r="J26" s="330">
        <f>+'15_mell'!K27+'20_mell'!K28+'19_mell'!K28+'18_mell'!K28+'17_mell'!K30</f>
        <v>0</v>
      </c>
      <c r="K26" s="330">
        <f>+'15_mell'!L27+'20_mell'!L28+'19_mell'!L28+'18_mell'!L28+'17_mell'!L30</f>
        <v>0</v>
      </c>
      <c r="L26" s="330">
        <f>+'15_mell'!M27+'20_mell'!M28+'19_mell'!M28+'18_mell'!M28+'17_mell'!M30</f>
        <v>0</v>
      </c>
      <c r="M26" s="330">
        <f>+'15_mell'!N27+'20_mell'!N28+'19_mell'!N28+'18_mell'!N28+'17_mell'!N30</f>
        <v>26212</v>
      </c>
      <c r="N26" s="330">
        <f>+'15_mell'!O27+'20_mell'!O28+'19_mell'!O28+'18_mell'!O28+'17_mell'!O30</f>
        <v>26877</v>
      </c>
      <c r="O26" s="328">
        <f t="shared" si="0"/>
        <v>61190</v>
      </c>
      <c r="P26" s="329"/>
      <c r="Q26" s="329"/>
      <c r="R26" s="329"/>
      <c r="S26" s="329"/>
    </row>
    <row r="27" spans="1:56" s="319" customFormat="1" ht="13.5" customHeight="1" thickBot="1">
      <c r="A27" s="296" t="s">
        <v>45</v>
      </c>
      <c r="B27" s="297" t="s">
        <v>328</v>
      </c>
      <c r="C27" s="330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8">
        <f t="shared" si="0"/>
        <v>0</v>
      </c>
      <c r="P27" s="329"/>
      <c r="Q27" s="329"/>
      <c r="R27" s="329"/>
      <c r="S27" s="329"/>
      <c r="T27" s="334"/>
      <c r="U27" s="318"/>
      <c r="V27" s="334"/>
      <c r="W27" s="318"/>
      <c r="X27" s="334"/>
      <c r="Y27" s="318"/>
      <c r="Z27" s="334"/>
      <c r="AA27" s="318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</row>
    <row r="28" spans="1:56" s="319" customFormat="1" ht="13.5" customHeight="1" thickBot="1">
      <c r="A28" s="310" t="s">
        <v>46</v>
      </c>
      <c r="B28" s="304" t="s">
        <v>329</v>
      </c>
      <c r="C28" s="332">
        <f>SUM(C17:C27)</f>
        <v>53759</v>
      </c>
      <c r="D28" s="332">
        <f aca="true" t="shared" si="2" ref="D28:N28">SUM(D17:D27)</f>
        <v>55759</v>
      </c>
      <c r="E28" s="332">
        <f t="shared" si="2"/>
        <v>56837</v>
      </c>
      <c r="F28" s="332">
        <f t="shared" si="2"/>
        <v>53043</v>
      </c>
      <c r="G28" s="332">
        <f t="shared" si="2"/>
        <v>54680</v>
      </c>
      <c r="H28" s="332">
        <f t="shared" si="2"/>
        <v>61881</v>
      </c>
      <c r="I28" s="332">
        <f t="shared" si="2"/>
        <v>54543</v>
      </c>
      <c r="J28" s="332">
        <f t="shared" si="2"/>
        <v>54543</v>
      </c>
      <c r="K28" s="332">
        <f t="shared" si="2"/>
        <v>54328</v>
      </c>
      <c r="L28" s="332">
        <f t="shared" si="2"/>
        <v>55341</v>
      </c>
      <c r="M28" s="332">
        <f t="shared" si="2"/>
        <v>79992</v>
      </c>
      <c r="N28" s="332">
        <f t="shared" si="2"/>
        <v>89237</v>
      </c>
      <c r="O28" s="336">
        <f>SUM(C28:N28)</f>
        <v>723943</v>
      </c>
      <c r="P28" s="333"/>
      <c r="Q28" s="329"/>
      <c r="R28" s="333"/>
      <c r="S28" s="333"/>
      <c r="T28" s="334"/>
      <c r="U28" s="318"/>
      <c r="V28" s="318"/>
      <c r="W28" s="318"/>
      <c r="X28" s="334"/>
      <c r="Y28" s="334"/>
      <c r="Z28" s="334"/>
      <c r="AA28" s="318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</row>
    <row r="29" spans="1:56" s="341" customFormat="1" ht="28.5" customHeight="1" thickBot="1">
      <c r="A29" s="310" t="s">
        <v>47</v>
      </c>
      <c r="B29" s="312" t="s">
        <v>334</v>
      </c>
      <c r="C29" s="337">
        <f>+C6+C15-C28</f>
        <v>83054</v>
      </c>
      <c r="D29" s="337">
        <f>+C29+D15-D28</f>
        <v>91151</v>
      </c>
      <c r="E29" s="337">
        <f aca="true" t="shared" si="3" ref="E29:N29">+D29+E15-E28</f>
        <v>88170</v>
      </c>
      <c r="F29" s="337">
        <f t="shared" si="3"/>
        <v>88983</v>
      </c>
      <c r="G29" s="337">
        <f t="shared" si="3"/>
        <v>88159</v>
      </c>
      <c r="H29" s="337">
        <f t="shared" si="3"/>
        <v>80134</v>
      </c>
      <c r="I29" s="337">
        <f t="shared" si="3"/>
        <v>79447</v>
      </c>
      <c r="J29" s="337">
        <f t="shared" si="3"/>
        <v>78760</v>
      </c>
      <c r="K29" s="337">
        <f t="shared" si="3"/>
        <v>92425</v>
      </c>
      <c r="L29" s="337">
        <f t="shared" si="3"/>
        <v>90940</v>
      </c>
      <c r="M29" s="337">
        <f t="shared" si="3"/>
        <v>113329</v>
      </c>
      <c r="N29" s="337">
        <f t="shared" si="3"/>
        <v>77957</v>
      </c>
      <c r="O29" s="338" t="s">
        <v>332</v>
      </c>
      <c r="P29" s="339"/>
      <c r="Q29" s="339"/>
      <c r="R29" s="339"/>
      <c r="S29" s="339"/>
      <c r="T29" s="340"/>
      <c r="U29" s="318"/>
      <c r="V29" s="318"/>
      <c r="W29" s="318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</row>
    <row r="30" spans="1:19" ht="13.5" customHeight="1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34"/>
      <c r="P30" s="334"/>
      <c r="Q30" s="334"/>
      <c r="R30" s="334"/>
      <c r="S30" s="334"/>
    </row>
    <row r="31" spans="1:19" ht="13.5" customHeight="1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34"/>
      <c r="P31" s="334"/>
      <c r="Q31" s="334"/>
      <c r="R31" s="334"/>
      <c r="S31" s="334"/>
    </row>
    <row r="32" spans="1:19" ht="13.5" customHeight="1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34"/>
      <c r="P32" s="334"/>
      <c r="Q32" s="334"/>
      <c r="R32" s="334"/>
      <c r="S32" s="334"/>
    </row>
    <row r="33" spans="1:19" ht="13.5" customHeight="1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34"/>
      <c r="P33" s="334"/>
      <c r="Q33" s="334"/>
      <c r="R33" s="334"/>
      <c r="S33" s="334"/>
    </row>
    <row r="34" spans="1:19" ht="13.5" customHeight="1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34"/>
      <c r="P34" s="334"/>
      <c r="Q34" s="334"/>
      <c r="R34" s="334"/>
      <c r="S34" s="334"/>
    </row>
    <row r="35" spans="1:19" ht="13.5" customHeight="1">
      <c r="A35" s="318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34"/>
      <c r="P35" s="334"/>
      <c r="Q35" s="334"/>
      <c r="R35" s="334"/>
      <c r="S35" s="334"/>
    </row>
    <row r="36" spans="1:19" ht="13.5" customHeight="1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34"/>
      <c r="P36" s="334"/>
      <c r="Q36" s="334"/>
      <c r="R36" s="334"/>
      <c r="S36" s="334"/>
    </row>
    <row r="37" spans="1:19" ht="13.5" customHeight="1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34"/>
      <c r="P37" s="334"/>
      <c r="Q37" s="334"/>
      <c r="R37" s="334"/>
      <c r="S37" s="334"/>
    </row>
    <row r="38" spans="1:19" ht="13.5" customHeight="1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34"/>
      <c r="P38" s="334"/>
      <c r="Q38" s="334"/>
      <c r="R38" s="334"/>
      <c r="S38" s="334"/>
    </row>
    <row r="39" spans="1:19" ht="13.5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34"/>
      <c r="P39" s="334"/>
      <c r="Q39" s="334"/>
      <c r="R39" s="334"/>
      <c r="S39" s="334"/>
    </row>
    <row r="40" spans="1:19" ht="13.5" customHeight="1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34"/>
      <c r="P40" s="334"/>
      <c r="Q40" s="334"/>
      <c r="R40" s="334"/>
      <c r="S40" s="334"/>
    </row>
    <row r="41" spans="1:19" ht="13.5" customHeight="1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34"/>
      <c r="P41" s="334"/>
      <c r="Q41" s="334"/>
      <c r="R41" s="334"/>
      <c r="S41" s="334"/>
    </row>
    <row r="42" spans="1:19" ht="13.5" customHeight="1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34"/>
      <c r="P42" s="334"/>
      <c r="Q42" s="334"/>
      <c r="R42" s="334"/>
      <c r="S42" s="334"/>
    </row>
    <row r="43" spans="1:19" ht="13.5" customHeight="1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34"/>
      <c r="P43" s="334"/>
      <c r="Q43" s="334"/>
      <c r="R43" s="334"/>
      <c r="S43" s="334"/>
    </row>
    <row r="44" spans="1:19" ht="13.5" customHeight="1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34"/>
      <c r="P44" s="334"/>
      <c r="Q44" s="334"/>
      <c r="R44" s="334"/>
      <c r="S44" s="334"/>
    </row>
    <row r="45" spans="1:19" ht="13.5" customHeight="1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34"/>
      <c r="P45" s="334"/>
      <c r="Q45" s="334"/>
      <c r="R45" s="334"/>
      <c r="S45" s="334"/>
    </row>
    <row r="46" spans="1:19" ht="13.5" customHeight="1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34"/>
      <c r="P46" s="334"/>
      <c r="Q46" s="334"/>
      <c r="R46" s="334"/>
      <c r="S46" s="334"/>
    </row>
    <row r="47" spans="1:19" ht="13.5" customHeight="1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34"/>
      <c r="P47" s="334"/>
      <c r="Q47" s="334"/>
      <c r="R47" s="334"/>
      <c r="S47" s="334"/>
    </row>
    <row r="48" spans="1:19" ht="13.5" customHeight="1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34"/>
      <c r="P48" s="334"/>
      <c r="Q48" s="334"/>
      <c r="R48" s="334"/>
      <c r="S48" s="334"/>
    </row>
    <row r="49" spans="1:19" ht="13.5" customHeight="1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34"/>
      <c r="P49" s="334"/>
      <c r="Q49" s="334"/>
      <c r="R49" s="334"/>
      <c r="S49" s="334"/>
    </row>
    <row r="50" spans="1:19" ht="13.5" customHeight="1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34"/>
      <c r="P50" s="334"/>
      <c r="Q50" s="334"/>
      <c r="R50" s="334"/>
      <c r="S50" s="334"/>
    </row>
    <row r="51" spans="1:19" ht="13.5" customHeight="1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34"/>
      <c r="P51" s="334"/>
      <c r="Q51" s="334"/>
      <c r="R51" s="334"/>
      <c r="S51" s="334"/>
    </row>
    <row r="52" spans="1:19" ht="13.5" customHeight="1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34"/>
      <c r="P52" s="334"/>
      <c r="Q52" s="334"/>
      <c r="R52" s="334"/>
      <c r="S52" s="334"/>
    </row>
    <row r="53" spans="1:19" ht="13.5" customHeight="1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34"/>
      <c r="P53" s="334"/>
      <c r="Q53" s="334"/>
      <c r="R53" s="334"/>
      <c r="S53" s="334"/>
    </row>
    <row r="54" spans="1:19" ht="13.5" customHeight="1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34"/>
      <c r="P54" s="334"/>
      <c r="Q54" s="334"/>
      <c r="R54" s="334"/>
      <c r="S54" s="334"/>
    </row>
    <row r="55" spans="1:19" ht="13.5" customHeight="1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34"/>
      <c r="P55" s="334"/>
      <c r="Q55" s="334"/>
      <c r="R55" s="334"/>
      <c r="S55" s="334"/>
    </row>
    <row r="56" spans="1:19" ht="13.5" customHeight="1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34"/>
      <c r="P56" s="334"/>
      <c r="Q56" s="334"/>
      <c r="R56" s="334"/>
      <c r="S56" s="334"/>
    </row>
    <row r="57" spans="1:19" ht="13.5" customHeight="1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34"/>
      <c r="P57" s="334"/>
      <c r="Q57" s="334"/>
      <c r="R57" s="334"/>
      <c r="S57" s="334"/>
    </row>
    <row r="58" spans="1:19" ht="13.5" customHeight="1">
      <c r="A58" s="318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34"/>
      <c r="P58" s="334"/>
      <c r="Q58" s="334"/>
      <c r="R58" s="334"/>
      <c r="S58" s="334"/>
    </row>
    <row r="59" spans="1:19" ht="13.5" customHeight="1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34"/>
      <c r="P59" s="334"/>
      <c r="Q59" s="334"/>
      <c r="R59" s="334"/>
      <c r="S59" s="334"/>
    </row>
    <row r="60" spans="1:19" ht="13.5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34"/>
      <c r="P60" s="334"/>
      <c r="Q60" s="334"/>
      <c r="R60" s="334"/>
      <c r="S60" s="334"/>
    </row>
    <row r="61" spans="1:19" ht="13.5" customHeight="1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34"/>
      <c r="P61" s="334"/>
      <c r="Q61" s="334"/>
      <c r="R61" s="334"/>
      <c r="S61" s="334"/>
    </row>
    <row r="62" spans="1:19" ht="13.5" customHeight="1">
      <c r="A62" s="318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34"/>
      <c r="P62" s="334"/>
      <c r="Q62" s="334"/>
      <c r="R62" s="334"/>
      <c r="S62" s="334"/>
    </row>
    <row r="63" spans="1:19" ht="13.5" customHeight="1">
      <c r="A63" s="318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34"/>
      <c r="P63" s="334"/>
      <c r="Q63" s="334"/>
      <c r="R63" s="334"/>
      <c r="S63" s="334"/>
    </row>
    <row r="64" spans="1:19" ht="13.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34"/>
      <c r="P64" s="334"/>
      <c r="Q64" s="334"/>
      <c r="R64" s="334"/>
      <c r="S64" s="334"/>
    </row>
    <row r="65" spans="1:19" ht="13.5" customHeight="1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34"/>
      <c r="P65" s="334"/>
      <c r="Q65" s="334"/>
      <c r="R65" s="334"/>
      <c r="S65" s="334"/>
    </row>
    <row r="66" spans="1:19" ht="13.5" customHeight="1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34"/>
      <c r="P66" s="334"/>
      <c r="Q66" s="334"/>
      <c r="R66" s="334"/>
      <c r="S66" s="334"/>
    </row>
    <row r="67" spans="1:19" ht="13.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34"/>
      <c r="P67" s="334"/>
      <c r="Q67" s="334"/>
      <c r="R67" s="334"/>
      <c r="S67" s="334"/>
    </row>
    <row r="68" spans="1:19" ht="13.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34"/>
      <c r="P68" s="334"/>
      <c r="Q68" s="334"/>
      <c r="R68" s="334"/>
      <c r="S68" s="334"/>
    </row>
    <row r="69" spans="1:19" ht="13.5" customHeight="1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34"/>
      <c r="P69" s="334"/>
      <c r="Q69" s="334"/>
      <c r="R69" s="334"/>
      <c r="S69" s="334"/>
    </row>
    <row r="70" spans="1:19" ht="13.5" customHeight="1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34"/>
      <c r="P70" s="334"/>
      <c r="Q70" s="334"/>
      <c r="R70" s="334"/>
      <c r="S70" s="334"/>
    </row>
    <row r="71" spans="1:19" ht="13.5" customHeight="1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34"/>
      <c r="P71" s="334"/>
      <c r="Q71" s="334"/>
      <c r="R71" s="334"/>
      <c r="S71" s="334"/>
    </row>
    <row r="72" spans="1:19" ht="13.5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34"/>
      <c r="P72" s="334"/>
      <c r="Q72" s="334"/>
      <c r="R72" s="334"/>
      <c r="S72" s="334"/>
    </row>
    <row r="73" spans="1:19" ht="13.5" customHeight="1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34"/>
      <c r="P73" s="334"/>
      <c r="Q73" s="334"/>
      <c r="R73" s="334"/>
      <c r="S73" s="334"/>
    </row>
    <row r="74" spans="1:19" ht="13.5" customHeight="1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34"/>
      <c r="P74" s="334"/>
      <c r="Q74" s="334"/>
      <c r="R74" s="334"/>
      <c r="S74" s="334"/>
    </row>
    <row r="75" spans="1:19" ht="13.5" customHeight="1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34"/>
      <c r="P75" s="334"/>
      <c r="Q75" s="334"/>
      <c r="R75" s="334"/>
      <c r="S75" s="334"/>
    </row>
    <row r="76" spans="1:19" ht="13.5" customHeight="1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34"/>
      <c r="P76" s="334"/>
      <c r="Q76" s="334"/>
      <c r="R76" s="334"/>
      <c r="S76" s="334"/>
    </row>
    <row r="77" spans="1:19" ht="13.5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34"/>
      <c r="P77" s="334"/>
      <c r="Q77" s="334"/>
      <c r="R77" s="334"/>
      <c r="S77" s="334"/>
    </row>
    <row r="78" spans="1:19" ht="13.5" customHeight="1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34"/>
      <c r="P78" s="334"/>
      <c r="Q78" s="334"/>
      <c r="R78" s="334"/>
      <c r="S78" s="334"/>
    </row>
    <row r="79" spans="1:19" ht="13.5" customHeight="1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34"/>
      <c r="P79" s="334"/>
      <c r="Q79" s="334"/>
      <c r="R79" s="334"/>
      <c r="S79" s="334"/>
    </row>
    <row r="80" spans="1:19" ht="13.5" customHeight="1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34"/>
      <c r="P80" s="334"/>
      <c r="Q80" s="334"/>
      <c r="R80" s="334"/>
      <c r="S80" s="334"/>
    </row>
    <row r="81" spans="1:19" ht="13.5" customHeight="1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34"/>
      <c r="P81" s="334"/>
      <c r="Q81" s="334"/>
      <c r="R81" s="334"/>
      <c r="S81" s="334"/>
    </row>
    <row r="82" spans="1:19" ht="13.5" customHeight="1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34"/>
      <c r="P82" s="334"/>
      <c r="Q82" s="334"/>
      <c r="R82" s="334"/>
      <c r="S82" s="334"/>
    </row>
    <row r="83" spans="1:19" ht="13.5" customHeight="1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34"/>
      <c r="P83" s="334"/>
      <c r="Q83" s="334"/>
      <c r="R83" s="334"/>
      <c r="S83" s="334"/>
    </row>
    <row r="84" spans="1:19" ht="13.5" customHeight="1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34"/>
      <c r="P84" s="334"/>
      <c r="Q84" s="334"/>
      <c r="R84" s="334"/>
      <c r="S84" s="334"/>
    </row>
    <row r="85" spans="1:19" ht="13.5" customHeight="1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34"/>
      <c r="P85" s="334"/>
      <c r="Q85" s="334"/>
      <c r="R85" s="334"/>
      <c r="S85" s="334"/>
    </row>
    <row r="86" spans="1:19" ht="13.5" customHeight="1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34"/>
      <c r="P86" s="334"/>
      <c r="Q86" s="334"/>
      <c r="R86" s="334"/>
      <c r="S86" s="334"/>
    </row>
    <row r="87" spans="1:19" ht="13.5" customHeight="1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34"/>
      <c r="P87" s="334"/>
      <c r="Q87" s="334"/>
      <c r="R87" s="334"/>
      <c r="S87" s="334"/>
    </row>
    <row r="88" spans="1:19" ht="13.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34"/>
      <c r="P88" s="334"/>
      <c r="Q88" s="334"/>
      <c r="R88" s="334"/>
      <c r="S88" s="334"/>
    </row>
    <row r="89" spans="1:19" ht="13.5" customHeight="1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34"/>
      <c r="P89" s="334"/>
      <c r="Q89" s="334"/>
      <c r="R89" s="334"/>
      <c r="S89" s="334"/>
    </row>
    <row r="90" spans="1:19" ht="13.5" customHeight="1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34"/>
      <c r="P90" s="334"/>
      <c r="Q90" s="334"/>
      <c r="R90" s="334"/>
      <c r="S90" s="334"/>
    </row>
    <row r="91" spans="1:19" ht="13.5" customHeight="1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34"/>
      <c r="P91" s="334"/>
      <c r="Q91" s="334"/>
      <c r="R91" s="334"/>
      <c r="S91" s="334"/>
    </row>
    <row r="92" spans="1:19" ht="13.5" customHeight="1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34"/>
      <c r="P92" s="334"/>
      <c r="Q92" s="334"/>
      <c r="R92" s="334"/>
      <c r="S92" s="334"/>
    </row>
    <row r="93" spans="1:19" ht="13.5" customHeight="1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34"/>
      <c r="P93" s="334"/>
      <c r="Q93" s="334"/>
      <c r="R93" s="334"/>
      <c r="S93" s="334"/>
    </row>
    <row r="94" spans="1:19" ht="13.5" customHeight="1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34"/>
      <c r="P94" s="334"/>
      <c r="Q94" s="334"/>
      <c r="R94" s="334"/>
      <c r="S94" s="334"/>
    </row>
    <row r="95" spans="1:19" ht="13.5" customHeight="1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34"/>
      <c r="P95" s="334"/>
      <c r="Q95" s="334"/>
      <c r="R95" s="334"/>
      <c r="S95" s="334"/>
    </row>
    <row r="96" spans="1:19" ht="13.5" customHeight="1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34"/>
      <c r="P96" s="334"/>
      <c r="Q96" s="334"/>
      <c r="R96" s="334"/>
      <c r="S96" s="334"/>
    </row>
    <row r="97" spans="1:19" ht="13.5" customHeight="1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34"/>
      <c r="P97" s="334"/>
      <c r="Q97" s="334"/>
      <c r="R97" s="334"/>
      <c r="S97" s="334"/>
    </row>
    <row r="98" spans="1:19" ht="13.5" customHeight="1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34"/>
      <c r="P98" s="334"/>
      <c r="Q98" s="334"/>
      <c r="R98" s="334"/>
      <c r="S98" s="334"/>
    </row>
    <row r="99" spans="1:19" ht="13.5" customHeight="1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34"/>
      <c r="P99" s="334"/>
      <c r="Q99" s="334"/>
      <c r="R99" s="334"/>
      <c r="S99" s="334"/>
    </row>
    <row r="100" spans="1:19" ht="13.5" customHeight="1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34"/>
      <c r="P100" s="334"/>
      <c r="Q100" s="334"/>
      <c r="R100" s="334"/>
      <c r="S100" s="334"/>
    </row>
    <row r="101" spans="1:19" ht="13.5" customHeight="1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34"/>
      <c r="P101" s="334"/>
      <c r="Q101" s="334"/>
      <c r="R101" s="334"/>
      <c r="S101" s="334"/>
    </row>
    <row r="102" spans="1:19" ht="13.5" customHeight="1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34"/>
      <c r="P102" s="334"/>
      <c r="Q102" s="334"/>
      <c r="R102" s="334"/>
      <c r="S102" s="334"/>
    </row>
    <row r="103" spans="1:19" ht="13.5" customHeight="1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34"/>
      <c r="P103" s="334"/>
      <c r="Q103" s="334"/>
      <c r="R103" s="334"/>
      <c r="S103" s="334"/>
    </row>
    <row r="104" spans="1:19" ht="13.5" customHeight="1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34"/>
      <c r="P104" s="334"/>
      <c r="Q104" s="334"/>
      <c r="R104" s="334"/>
      <c r="S104" s="334"/>
    </row>
    <row r="105" spans="1:19" ht="13.5" customHeight="1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34"/>
      <c r="P105" s="334"/>
      <c r="Q105" s="334"/>
      <c r="R105" s="334"/>
      <c r="S105" s="334"/>
    </row>
    <row r="106" spans="1:19" ht="13.5" customHeight="1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34"/>
      <c r="P106" s="334"/>
      <c r="Q106" s="334"/>
      <c r="R106" s="334"/>
      <c r="S106" s="334"/>
    </row>
    <row r="107" spans="1:19" ht="13.5" customHeight="1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34"/>
      <c r="P107" s="334"/>
      <c r="Q107" s="334"/>
      <c r="R107" s="334"/>
      <c r="S107" s="334"/>
    </row>
    <row r="108" spans="1:19" ht="13.5" customHeight="1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34"/>
      <c r="P108" s="334"/>
      <c r="Q108" s="334"/>
      <c r="R108" s="334"/>
      <c r="S108" s="334"/>
    </row>
    <row r="109" spans="1:19" ht="13.5" customHeight="1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34"/>
      <c r="P109" s="334"/>
      <c r="Q109" s="334"/>
      <c r="R109" s="334"/>
      <c r="S109" s="334"/>
    </row>
    <row r="110" spans="1:19" ht="13.5" customHeight="1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34"/>
      <c r="P110" s="334"/>
      <c r="Q110" s="334"/>
      <c r="R110" s="334"/>
      <c r="S110" s="334"/>
    </row>
    <row r="111" spans="1:19" ht="13.5" customHeight="1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34"/>
      <c r="P111" s="334"/>
      <c r="Q111" s="334"/>
      <c r="R111" s="334"/>
      <c r="S111" s="334"/>
    </row>
    <row r="112" spans="1:19" ht="13.5" customHeight="1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34"/>
      <c r="P112" s="334"/>
      <c r="Q112" s="334"/>
      <c r="R112" s="334"/>
      <c r="S112" s="334"/>
    </row>
    <row r="113" spans="1:19" ht="13.5" customHeight="1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34"/>
      <c r="P113" s="334"/>
      <c r="Q113" s="334"/>
      <c r="R113" s="334"/>
      <c r="S113" s="334"/>
    </row>
    <row r="114" spans="1:19" ht="13.5" customHeight="1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34"/>
      <c r="P114" s="334"/>
      <c r="Q114" s="334"/>
      <c r="R114" s="334"/>
      <c r="S114" s="334"/>
    </row>
    <row r="115" spans="1:19" ht="13.5" customHeight="1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34"/>
      <c r="P115" s="334"/>
      <c r="Q115" s="334"/>
      <c r="R115" s="334"/>
      <c r="S115" s="334"/>
    </row>
    <row r="116" spans="1:19" ht="13.5" customHeight="1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34"/>
      <c r="P116" s="334"/>
      <c r="Q116" s="334"/>
      <c r="R116" s="334"/>
      <c r="S116" s="334"/>
    </row>
    <row r="117" spans="1:19" ht="13.5" customHeight="1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34"/>
      <c r="P117" s="334"/>
      <c r="Q117" s="334"/>
      <c r="R117" s="334"/>
      <c r="S117" s="334"/>
    </row>
    <row r="118" spans="1:19" ht="13.5" customHeight="1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34"/>
      <c r="P118" s="334"/>
      <c r="Q118" s="334"/>
      <c r="R118" s="334"/>
      <c r="S118" s="334"/>
    </row>
    <row r="119" spans="1:19" ht="13.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34"/>
      <c r="P119" s="334"/>
      <c r="Q119" s="334"/>
      <c r="R119" s="334"/>
      <c r="S119" s="334"/>
    </row>
    <row r="120" spans="1:19" ht="13.5" customHeight="1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34"/>
      <c r="P120" s="334"/>
      <c r="Q120" s="334"/>
      <c r="R120" s="334"/>
      <c r="S120" s="334"/>
    </row>
    <row r="121" spans="1:19" ht="13.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34"/>
      <c r="P121" s="334"/>
      <c r="Q121" s="334"/>
      <c r="R121" s="334"/>
      <c r="S121" s="334"/>
    </row>
    <row r="122" spans="1:19" ht="13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34"/>
      <c r="P122" s="334"/>
      <c r="Q122" s="334"/>
      <c r="R122" s="334"/>
      <c r="S122" s="334"/>
    </row>
    <row r="123" spans="1:19" ht="13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34"/>
      <c r="P123" s="334"/>
      <c r="Q123" s="334"/>
      <c r="R123" s="334"/>
      <c r="S123" s="334"/>
    </row>
    <row r="124" spans="1:19" ht="13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34"/>
      <c r="P124" s="334"/>
      <c r="Q124" s="334"/>
      <c r="R124" s="334"/>
      <c r="S124" s="334"/>
    </row>
    <row r="125" spans="1:19" ht="13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34"/>
      <c r="P125" s="334"/>
      <c r="Q125" s="334"/>
      <c r="R125" s="334"/>
      <c r="S125" s="334"/>
    </row>
    <row r="126" spans="1:19" ht="13.5" customHeight="1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34"/>
      <c r="P126" s="334"/>
      <c r="Q126" s="334"/>
      <c r="R126" s="334"/>
      <c r="S126" s="334"/>
    </row>
    <row r="127" spans="1:19" ht="13.5" customHeight="1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34"/>
      <c r="P127" s="334"/>
      <c r="Q127" s="334"/>
      <c r="R127" s="334"/>
      <c r="S127" s="334"/>
    </row>
    <row r="128" spans="1:19" ht="13.5" customHeight="1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34"/>
      <c r="P128" s="334"/>
      <c r="Q128" s="334"/>
      <c r="R128" s="334"/>
      <c r="S128" s="334"/>
    </row>
    <row r="129" spans="1:19" ht="13.5" customHeight="1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34"/>
      <c r="P129" s="334"/>
      <c r="Q129" s="334"/>
      <c r="R129" s="334"/>
      <c r="S129" s="334"/>
    </row>
    <row r="130" spans="1:19" ht="13.5" customHeight="1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34"/>
      <c r="P130" s="334"/>
      <c r="Q130" s="334"/>
      <c r="R130" s="334"/>
      <c r="S130" s="334"/>
    </row>
    <row r="131" spans="1:19" ht="13.5" customHeight="1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34"/>
      <c r="P131" s="334"/>
      <c r="Q131" s="334"/>
      <c r="R131" s="334"/>
      <c r="S131" s="334"/>
    </row>
    <row r="132" spans="1:19" ht="13.5" customHeight="1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34"/>
      <c r="P132" s="334"/>
      <c r="Q132" s="334"/>
      <c r="R132" s="334"/>
      <c r="S132" s="334"/>
    </row>
    <row r="133" spans="1:19" ht="13.5" customHeight="1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34"/>
      <c r="P133" s="334"/>
      <c r="Q133" s="334"/>
      <c r="R133" s="334"/>
      <c r="S133" s="334"/>
    </row>
    <row r="134" spans="1:19" ht="13.5" customHeight="1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34"/>
      <c r="P134" s="334"/>
      <c r="Q134" s="334"/>
      <c r="R134" s="334"/>
      <c r="S134" s="334"/>
    </row>
    <row r="135" spans="1:19" ht="13.5" customHeight="1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34"/>
      <c r="P135" s="334"/>
      <c r="Q135" s="334"/>
      <c r="R135" s="334"/>
      <c r="S135" s="334"/>
    </row>
    <row r="136" spans="1:19" ht="13.5" customHeight="1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34"/>
      <c r="P136" s="334"/>
      <c r="Q136" s="334"/>
      <c r="R136" s="334"/>
      <c r="S136" s="334"/>
    </row>
    <row r="137" spans="1:19" ht="13.5" customHeight="1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34"/>
      <c r="P137" s="334"/>
      <c r="Q137" s="334"/>
      <c r="R137" s="334"/>
      <c r="S137" s="334"/>
    </row>
    <row r="138" spans="1:19" ht="13.5" customHeight="1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34"/>
      <c r="P138" s="334"/>
      <c r="Q138" s="334"/>
      <c r="R138" s="334"/>
      <c r="S138" s="334"/>
    </row>
    <row r="139" spans="1:19" ht="13.5" customHeight="1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34"/>
      <c r="P139" s="334"/>
      <c r="Q139" s="334"/>
      <c r="R139" s="334"/>
      <c r="S139" s="334"/>
    </row>
    <row r="140" spans="1:19" ht="13.5" customHeight="1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34"/>
      <c r="P140" s="334"/>
      <c r="Q140" s="334"/>
      <c r="R140" s="334"/>
      <c r="S140" s="334"/>
    </row>
    <row r="141" spans="1:19" ht="13.5" customHeight="1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34"/>
      <c r="P141" s="334"/>
      <c r="Q141" s="334"/>
      <c r="R141" s="334"/>
      <c r="S141" s="334"/>
    </row>
    <row r="142" spans="1:19" ht="13.5" customHeight="1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34"/>
      <c r="P142" s="334"/>
      <c r="Q142" s="334"/>
      <c r="R142" s="334"/>
      <c r="S142" s="334"/>
    </row>
    <row r="143" spans="1:19" ht="13.5" customHeight="1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34"/>
      <c r="P143" s="334"/>
      <c r="Q143" s="334"/>
      <c r="R143" s="334"/>
      <c r="S143" s="334"/>
    </row>
    <row r="144" spans="1:19" ht="13.5" customHeight="1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34"/>
      <c r="P144" s="334"/>
      <c r="Q144" s="334"/>
      <c r="R144" s="334"/>
      <c r="S144" s="334"/>
    </row>
    <row r="145" spans="1:19" ht="13.5" customHeight="1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34"/>
      <c r="P145" s="334"/>
      <c r="Q145" s="334"/>
      <c r="R145" s="334"/>
      <c r="S145" s="334"/>
    </row>
    <row r="146" spans="1:19" ht="13.5" customHeight="1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34"/>
      <c r="P146" s="334"/>
      <c r="Q146" s="334"/>
      <c r="R146" s="334"/>
      <c r="S146" s="334"/>
    </row>
    <row r="147" spans="1:19" ht="13.5" customHeight="1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34"/>
      <c r="P147" s="334"/>
      <c r="Q147" s="334"/>
      <c r="R147" s="334"/>
      <c r="S147" s="334"/>
    </row>
    <row r="148" spans="1:19" ht="13.5" customHeight="1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34"/>
      <c r="P148" s="334"/>
      <c r="Q148" s="334"/>
      <c r="R148" s="334"/>
      <c r="S148" s="334"/>
    </row>
    <row r="149" spans="1:19" ht="13.5" customHeight="1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34"/>
      <c r="P149" s="334"/>
      <c r="Q149" s="334"/>
      <c r="R149" s="334"/>
      <c r="S149" s="334"/>
    </row>
    <row r="150" spans="1:19" ht="13.5" customHeight="1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34"/>
      <c r="P150" s="334"/>
      <c r="Q150" s="334"/>
      <c r="R150" s="334"/>
      <c r="S150" s="334"/>
    </row>
    <row r="151" spans="1:19" ht="13.5" customHeight="1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34"/>
      <c r="P151" s="334"/>
      <c r="Q151" s="334"/>
      <c r="R151" s="334"/>
      <c r="S151" s="334"/>
    </row>
    <row r="152" spans="1:19" ht="13.5" customHeight="1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34"/>
      <c r="P152" s="334"/>
      <c r="Q152" s="334"/>
      <c r="R152" s="334"/>
      <c r="S152" s="334"/>
    </row>
    <row r="153" spans="1:19" ht="13.5" customHeight="1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34"/>
      <c r="P153" s="334"/>
      <c r="Q153" s="334"/>
      <c r="R153" s="334"/>
      <c r="S153" s="334"/>
    </row>
    <row r="154" spans="1:19" ht="13.5" customHeight="1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34"/>
      <c r="P154" s="334"/>
      <c r="Q154" s="334"/>
      <c r="R154" s="334"/>
      <c r="S154" s="334"/>
    </row>
    <row r="155" spans="1:19" ht="13.5" customHeight="1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34"/>
      <c r="P155" s="334"/>
      <c r="Q155" s="334"/>
      <c r="R155" s="334"/>
      <c r="S155" s="334"/>
    </row>
    <row r="156" spans="1:19" ht="13.5" customHeight="1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34"/>
      <c r="P156" s="334"/>
      <c r="Q156" s="334"/>
      <c r="R156" s="334"/>
      <c r="S156" s="334"/>
    </row>
    <row r="157" spans="1:19" ht="13.5" customHeight="1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34"/>
      <c r="P157" s="334"/>
      <c r="Q157" s="334"/>
      <c r="R157" s="334"/>
      <c r="S157" s="334"/>
    </row>
    <row r="158" spans="1:19" ht="13.5" customHeight="1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34"/>
      <c r="P158" s="334"/>
      <c r="Q158" s="334"/>
      <c r="R158" s="334"/>
      <c r="S158" s="334"/>
    </row>
    <row r="159" spans="1:19" ht="13.5" customHeight="1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34"/>
      <c r="P159" s="334"/>
      <c r="Q159" s="334"/>
      <c r="R159" s="334"/>
      <c r="S159" s="334"/>
    </row>
    <row r="160" spans="1:19" ht="13.5" customHeight="1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34"/>
      <c r="P160" s="334"/>
      <c r="Q160" s="334"/>
      <c r="R160" s="334"/>
      <c r="S160" s="334"/>
    </row>
    <row r="161" spans="1:19" ht="13.5" customHeight="1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34"/>
      <c r="P161" s="334"/>
      <c r="Q161" s="334"/>
      <c r="R161" s="334"/>
      <c r="S161" s="334"/>
    </row>
    <row r="162" spans="1:19" ht="13.5" customHeight="1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34"/>
      <c r="P162" s="334"/>
      <c r="Q162" s="334"/>
      <c r="R162" s="334"/>
      <c r="S162" s="334"/>
    </row>
    <row r="163" spans="1:19" ht="13.5" customHeight="1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34"/>
      <c r="P163" s="334"/>
      <c r="Q163" s="334"/>
      <c r="R163" s="334"/>
      <c r="S163" s="334"/>
    </row>
    <row r="164" spans="1:19" ht="13.5" customHeight="1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34"/>
      <c r="P164" s="334"/>
      <c r="Q164" s="334"/>
      <c r="R164" s="334"/>
      <c r="S164" s="334"/>
    </row>
    <row r="165" spans="1:19" ht="13.5" customHeight="1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34"/>
      <c r="P165" s="334"/>
      <c r="Q165" s="334"/>
      <c r="R165" s="334"/>
      <c r="S165" s="334"/>
    </row>
    <row r="166" spans="1:19" ht="13.5" customHeight="1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34"/>
      <c r="P166" s="334"/>
      <c r="Q166" s="334"/>
      <c r="R166" s="334"/>
      <c r="S166" s="334"/>
    </row>
    <row r="167" spans="1:19" ht="13.5" customHeight="1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34"/>
      <c r="P167" s="334"/>
      <c r="Q167" s="334"/>
      <c r="R167" s="334"/>
      <c r="S167" s="334"/>
    </row>
    <row r="168" spans="1:19" ht="13.5" customHeight="1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34"/>
      <c r="P168" s="334"/>
      <c r="Q168" s="334"/>
      <c r="R168" s="334"/>
      <c r="S168" s="334"/>
    </row>
    <row r="169" spans="1:19" ht="13.5" customHeight="1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34"/>
      <c r="P169" s="334"/>
      <c r="Q169" s="334"/>
      <c r="R169" s="334"/>
      <c r="S169" s="334"/>
    </row>
    <row r="170" spans="1:19" ht="13.5" customHeight="1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34"/>
      <c r="P170" s="334"/>
      <c r="Q170" s="334"/>
      <c r="R170" s="334"/>
      <c r="S170" s="334"/>
    </row>
    <row r="171" spans="1:19" ht="13.5" customHeight="1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34"/>
      <c r="P171" s="334"/>
      <c r="Q171" s="334"/>
      <c r="R171" s="334"/>
      <c r="S171" s="334"/>
    </row>
    <row r="172" spans="1:19" ht="13.5" customHeight="1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34"/>
      <c r="P172" s="334"/>
      <c r="Q172" s="334"/>
      <c r="R172" s="334"/>
      <c r="S172" s="334"/>
    </row>
    <row r="173" spans="1:19" ht="13.5" customHeight="1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34"/>
      <c r="P173" s="334"/>
      <c r="Q173" s="334"/>
      <c r="R173" s="334"/>
      <c r="S173" s="334"/>
    </row>
    <row r="174" spans="1:19" ht="13.5" customHeight="1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34"/>
      <c r="P174" s="334"/>
      <c r="Q174" s="334"/>
      <c r="R174" s="334"/>
      <c r="S174" s="334"/>
    </row>
    <row r="175" spans="1:19" ht="13.5" customHeight="1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34"/>
      <c r="P175" s="334"/>
      <c r="Q175" s="334"/>
      <c r="R175" s="334"/>
      <c r="S175" s="334"/>
    </row>
    <row r="176" spans="1:19" ht="13.5" customHeight="1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34"/>
      <c r="P176" s="334"/>
      <c r="Q176" s="334"/>
      <c r="R176" s="334"/>
      <c r="S176" s="334"/>
    </row>
    <row r="177" spans="1:19" ht="13.5" customHeight="1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34"/>
      <c r="P177" s="334"/>
      <c r="Q177" s="334"/>
      <c r="R177" s="334"/>
      <c r="S177" s="334"/>
    </row>
    <row r="178" spans="1:19" ht="13.5" customHeight="1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34"/>
      <c r="P178" s="334"/>
      <c r="Q178" s="334"/>
      <c r="R178" s="334"/>
      <c r="S178" s="334"/>
    </row>
    <row r="179" spans="1:19" ht="13.5" customHeight="1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34"/>
      <c r="P179" s="334"/>
      <c r="Q179" s="334"/>
      <c r="R179" s="334"/>
      <c r="S179" s="334"/>
    </row>
    <row r="180" spans="1:19" ht="13.5" customHeight="1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34"/>
      <c r="P180" s="334"/>
      <c r="Q180" s="334"/>
      <c r="R180" s="334"/>
      <c r="S180" s="334"/>
    </row>
    <row r="181" spans="1:19" ht="13.5" customHeight="1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34"/>
      <c r="P181" s="334"/>
      <c r="Q181" s="334"/>
      <c r="R181" s="334"/>
      <c r="S181" s="334"/>
    </row>
    <row r="182" spans="1:19" ht="13.5" customHeight="1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34"/>
      <c r="P182" s="334"/>
      <c r="Q182" s="334"/>
      <c r="R182" s="334"/>
      <c r="S182" s="334"/>
    </row>
    <row r="183" spans="1:19" ht="13.5" customHeight="1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34"/>
      <c r="P183" s="334"/>
      <c r="Q183" s="334"/>
      <c r="R183" s="334"/>
      <c r="S183" s="334"/>
    </row>
    <row r="184" spans="1:19" ht="13.5" customHeight="1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34"/>
      <c r="P184" s="334"/>
      <c r="Q184" s="334"/>
      <c r="R184" s="334"/>
      <c r="S184" s="334"/>
    </row>
    <row r="185" spans="1:19" ht="13.5" customHeight="1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34"/>
      <c r="P185" s="334"/>
      <c r="Q185" s="334"/>
      <c r="R185" s="334"/>
      <c r="S185" s="334"/>
    </row>
    <row r="186" spans="1:19" ht="13.5" customHeight="1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34"/>
      <c r="P186" s="334"/>
      <c r="Q186" s="334"/>
      <c r="R186" s="334"/>
      <c r="S186" s="334"/>
    </row>
    <row r="187" spans="1:19" ht="13.5" customHeight="1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34"/>
      <c r="P187" s="334"/>
      <c r="Q187" s="334"/>
      <c r="R187" s="334"/>
      <c r="S187" s="334"/>
    </row>
    <row r="188" spans="1:19" ht="13.5" customHeight="1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34"/>
      <c r="P188" s="334"/>
      <c r="Q188" s="334"/>
      <c r="R188" s="334"/>
      <c r="S188" s="334"/>
    </row>
    <row r="189" spans="1:19" ht="13.5" customHeight="1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34"/>
      <c r="P189" s="334"/>
      <c r="Q189" s="334"/>
      <c r="R189" s="334"/>
      <c r="S189" s="334"/>
    </row>
    <row r="190" spans="1:19" ht="13.5" customHeight="1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34"/>
      <c r="P190" s="334"/>
      <c r="Q190" s="334"/>
      <c r="R190" s="334"/>
      <c r="S190" s="334"/>
    </row>
    <row r="191" spans="1:19" ht="13.5" customHeight="1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34"/>
      <c r="P191" s="334"/>
      <c r="Q191" s="334"/>
      <c r="R191" s="334"/>
      <c r="S191" s="334"/>
    </row>
    <row r="192" spans="1:19" ht="13.5" customHeight="1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34"/>
      <c r="P192" s="334"/>
      <c r="Q192" s="334"/>
      <c r="R192" s="334"/>
      <c r="S192" s="334"/>
    </row>
    <row r="193" spans="1:19" ht="13.5" customHeight="1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34"/>
      <c r="P193" s="334"/>
      <c r="Q193" s="334"/>
      <c r="R193" s="334"/>
      <c r="S193" s="334"/>
    </row>
    <row r="194" spans="1:19" ht="13.5" customHeight="1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34"/>
      <c r="P194" s="334"/>
      <c r="Q194" s="334"/>
      <c r="R194" s="334"/>
      <c r="S194" s="334"/>
    </row>
    <row r="195" spans="1:19" ht="13.5" customHeight="1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34"/>
      <c r="P195" s="334"/>
      <c r="Q195" s="334"/>
      <c r="R195" s="334"/>
      <c r="S195" s="334"/>
    </row>
    <row r="196" spans="1:19" ht="13.5" customHeight="1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34"/>
      <c r="P196" s="334"/>
      <c r="Q196" s="334"/>
      <c r="R196" s="334"/>
      <c r="S196" s="334"/>
    </row>
    <row r="197" spans="1:19" ht="13.5" customHeight="1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34"/>
      <c r="P197" s="334"/>
      <c r="Q197" s="334"/>
      <c r="R197" s="334"/>
      <c r="S197" s="334"/>
    </row>
    <row r="198" spans="1:19" ht="13.5" customHeight="1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34"/>
      <c r="P198" s="334"/>
      <c r="Q198" s="334"/>
      <c r="R198" s="334"/>
      <c r="S198" s="334"/>
    </row>
    <row r="199" spans="1:19" ht="13.5" customHeight="1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34"/>
      <c r="P199" s="334"/>
      <c r="Q199" s="334"/>
      <c r="R199" s="334"/>
      <c r="S199" s="334"/>
    </row>
    <row r="200" spans="1:19" ht="13.5" customHeight="1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34"/>
      <c r="P200" s="334"/>
      <c r="Q200" s="334"/>
      <c r="R200" s="334"/>
      <c r="S200" s="334"/>
    </row>
    <row r="201" spans="1:19" ht="13.5" customHeight="1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34"/>
      <c r="P201" s="334"/>
      <c r="Q201" s="334"/>
      <c r="R201" s="334"/>
      <c r="S201" s="334"/>
    </row>
    <row r="202" spans="1:19" ht="13.5" customHeight="1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34"/>
      <c r="P202" s="334"/>
      <c r="Q202" s="334"/>
      <c r="R202" s="334"/>
      <c r="S202" s="334"/>
    </row>
    <row r="203" spans="1:19" ht="13.5" customHeight="1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34"/>
      <c r="P203" s="334"/>
      <c r="Q203" s="334"/>
      <c r="R203" s="334"/>
      <c r="S203" s="334"/>
    </row>
    <row r="204" spans="1:19" ht="13.5" customHeight="1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34"/>
      <c r="P204" s="334"/>
      <c r="Q204" s="334"/>
      <c r="R204" s="334"/>
      <c r="S204" s="334"/>
    </row>
    <row r="205" spans="1:19" ht="13.5" customHeight="1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34"/>
      <c r="P205" s="334"/>
      <c r="Q205" s="334"/>
      <c r="R205" s="334"/>
      <c r="S205" s="334"/>
    </row>
    <row r="206" spans="1:19" ht="13.5" customHeight="1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34"/>
      <c r="P206" s="334"/>
      <c r="Q206" s="334"/>
      <c r="R206" s="334"/>
      <c r="S206" s="334"/>
    </row>
    <row r="207" spans="1:19" ht="13.5" customHeight="1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34"/>
      <c r="P207" s="334"/>
      <c r="Q207" s="334"/>
      <c r="R207" s="334"/>
      <c r="S207" s="334"/>
    </row>
    <row r="208" spans="1:19" ht="13.5" customHeight="1">
      <c r="A208" s="318"/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34"/>
      <c r="P208" s="334"/>
      <c r="Q208" s="334"/>
      <c r="R208" s="334"/>
      <c r="S208" s="334"/>
    </row>
    <row r="209" spans="1:19" ht="13.5" customHeight="1">
      <c r="A209" s="318"/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34"/>
      <c r="P209" s="334"/>
      <c r="Q209" s="334"/>
      <c r="R209" s="334"/>
      <c r="S209" s="334"/>
    </row>
    <row r="210" spans="1:19" ht="13.5" customHeight="1">
      <c r="A210" s="318"/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34"/>
      <c r="P210" s="334"/>
      <c r="Q210" s="334"/>
      <c r="R210" s="334"/>
      <c r="S210" s="334"/>
    </row>
    <row r="211" spans="1:19" ht="13.5" customHeight="1">
      <c r="A211" s="318"/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34"/>
      <c r="P211" s="334"/>
      <c r="Q211" s="334"/>
      <c r="R211" s="334"/>
      <c r="S211" s="334"/>
    </row>
    <row r="212" spans="1:19" ht="13.5" customHeight="1">
      <c r="A212" s="318"/>
      <c r="B212" s="318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34"/>
      <c r="P212" s="334"/>
      <c r="Q212" s="334"/>
      <c r="R212" s="334"/>
      <c r="S212" s="334"/>
    </row>
    <row r="213" spans="1:19" ht="13.5" customHeight="1">
      <c r="A213" s="318"/>
      <c r="B213" s="318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34"/>
      <c r="P213" s="334"/>
      <c r="Q213" s="334"/>
      <c r="R213" s="334"/>
      <c r="S213" s="334"/>
    </row>
    <row r="214" spans="1:19" ht="13.5" customHeight="1">
      <c r="A214" s="318"/>
      <c r="B214" s="318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34"/>
      <c r="P214" s="334"/>
      <c r="Q214" s="334"/>
      <c r="R214" s="334"/>
      <c r="S214" s="334"/>
    </row>
    <row r="215" spans="1:19" ht="13.5" customHeight="1">
      <c r="A215" s="318"/>
      <c r="B215" s="318"/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34"/>
      <c r="P215" s="334"/>
      <c r="Q215" s="334"/>
      <c r="R215" s="334"/>
      <c r="S215" s="334"/>
    </row>
    <row r="216" spans="1:19" ht="13.5" customHeight="1">
      <c r="A216" s="318"/>
      <c r="B216" s="318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34"/>
      <c r="P216" s="334"/>
      <c r="Q216" s="334"/>
      <c r="R216" s="334"/>
      <c r="S216" s="334"/>
    </row>
    <row r="217" spans="1:19" ht="13.5" customHeight="1">
      <c r="A217" s="318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34"/>
      <c r="P217" s="334"/>
      <c r="Q217" s="334"/>
      <c r="R217" s="334"/>
      <c r="S217" s="334"/>
    </row>
    <row r="218" spans="1:19" ht="13.5" customHeight="1">
      <c r="A218" s="318"/>
      <c r="B218" s="318"/>
      <c r="C218" s="318"/>
      <c r="D218" s="318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34"/>
      <c r="P218" s="334"/>
      <c r="Q218" s="334"/>
      <c r="R218" s="334"/>
      <c r="S218" s="334"/>
    </row>
    <row r="219" spans="1:19" ht="13.5" customHeight="1">
      <c r="A219" s="318"/>
      <c r="B219" s="318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34"/>
      <c r="P219" s="334"/>
      <c r="Q219" s="334"/>
      <c r="R219" s="334"/>
      <c r="S219" s="334"/>
    </row>
    <row r="220" spans="1:19" ht="13.5" customHeight="1">
      <c r="A220" s="318"/>
      <c r="B220" s="318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34"/>
      <c r="P220" s="334"/>
      <c r="Q220" s="334"/>
      <c r="R220" s="334"/>
      <c r="S220" s="334"/>
    </row>
    <row r="221" spans="1:19" ht="13.5" customHeight="1">
      <c r="A221" s="318"/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34"/>
      <c r="P221" s="334"/>
      <c r="Q221" s="334"/>
      <c r="R221" s="334"/>
      <c r="S221" s="334"/>
    </row>
    <row r="222" spans="1:19" ht="13.5" customHeight="1">
      <c r="A222" s="318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34"/>
      <c r="P222" s="334"/>
      <c r="Q222" s="334"/>
      <c r="R222" s="334"/>
      <c r="S222" s="334"/>
    </row>
    <row r="223" spans="1:19" ht="13.5" customHeight="1">
      <c r="A223" s="318"/>
      <c r="B223" s="318"/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34"/>
      <c r="P223" s="334"/>
      <c r="Q223" s="334"/>
      <c r="R223" s="334"/>
      <c r="S223" s="334"/>
    </row>
    <row r="224" spans="1:19" ht="13.5" customHeight="1">
      <c r="A224" s="318"/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34"/>
      <c r="P224" s="334"/>
      <c r="Q224" s="334"/>
      <c r="R224" s="334"/>
      <c r="S224" s="334"/>
    </row>
    <row r="225" spans="1:19" ht="13.5" customHeight="1">
      <c r="A225" s="318"/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34"/>
      <c r="P225" s="334"/>
      <c r="Q225" s="334"/>
      <c r="R225" s="334"/>
      <c r="S225" s="334"/>
    </row>
    <row r="226" spans="1:19" ht="13.5" customHeight="1">
      <c r="A226" s="318"/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34"/>
      <c r="P226" s="334"/>
      <c r="Q226" s="334"/>
      <c r="R226" s="334"/>
      <c r="S226" s="334"/>
    </row>
    <row r="227" spans="1:19" ht="13.5" customHeight="1">
      <c r="A227" s="318"/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34"/>
      <c r="P227" s="334"/>
      <c r="Q227" s="334"/>
      <c r="R227" s="334"/>
      <c r="S227" s="334"/>
    </row>
    <row r="228" spans="1:19" ht="13.5" customHeight="1">
      <c r="A228" s="318"/>
      <c r="B228" s="318"/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34"/>
      <c r="P228" s="334"/>
      <c r="Q228" s="334"/>
      <c r="R228" s="334"/>
      <c r="S228" s="334"/>
    </row>
    <row r="229" spans="1:19" ht="13.5" customHeight="1">
      <c r="A229" s="318"/>
      <c r="B229" s="318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34"/>
      <c r="P229" s="334"/>
      <c r="Q229" s="334"/>
      <c r="R229" s="334"/>
      <c r="S229" s="334"/>
    </row>
    <row r="230" spans="1:19" ht="13.5" customHeight="1">
      <c r="A230" s="318"/>
      <c r="B230" s="318"/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34"/>
      <c r="P230" s="334"/>
      <c r="Q230" s="334"/>
      <c r="R230" s="334"/>
      <c r="S230" s="334"/>
    </row>
    <row r="231" spans="1:19" ht="13.5" customHeight="1">
      <c r="A231" s="318"/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34"/>
      <c r="P231" s="334"/>
      <c r="Q231" s="334"/>
      <c r="R231" s="334"/>
      <c r="S231" s="334"/>
    </row>
    <row r="232" spans="1:19" ht="13.5" customHeight="1">
      <c r="A232" s="318"/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34"/>
      <c r="P232" s="334"/>
      <c r="Q232" s="334"/>
      <c r="R232" s="334"/>
      <c r="S232" s="334"/>
    </row>
    <row r="233" spans="1:19" ht="13.5" customHeight="1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34"/>
      <c r="P233" s="334"/>
      <c r="Q233" s="334"/>
      <c r="R233" s="334"/>
      <c r="S233" s="334"/>
    </row>
    <row r="234" spans="1:19" ht="13.5" customHeight="1">
      <c r="A234" s="318"/>
      <c r="B234" s="318"/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34"/>
      <c r="P234" s="334"/>
      <c r="Q234" s="334"/>
      <c r="R234" s="334"/>
      <c r="S234" s="334"/>
    </row>
    <row r="235" spans="1:19" ht="13.5" customHeight="1">
      <c r="A235" s="318"/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34"/>
      <c r="P235" s="334"/>
      <c r="Q235" s="334"/>
      <c r="R235" s="334"/>
      <c r="S235" s="334"/>
    </row>
    <row r="236" spans="1:19" ht="13.5" customHeight="1">
      <c r="A236" s="318"/>
      <c r="B236" s="318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34"/>
      <c r="P236" s="334"/>
      <c r="Q236" s="334"/>
      <c r="R236" s="334"/>
      <c r="S236" s="334"/>
    </row>
    <row r="237" spans="1:19" ht="13.5" customHeight="1">
      <c r="A237" s="318"/>
      <c r="B237" s="318"/>
      <c r="C237" s="318"/>
      <c r="D237" s="318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34"/>
      <c r="P237" s="334"/>
      <c r="Q237" s="334"/>
      <c r="R237" s="334"/>
      <c r="S237" s="334"/>
    </row>
    <row r="238" spans="1:19" ht="13.5" customHeight="1">
      <c r="A238" s="318"/>
      <c r="B238" s="318"/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34"/>
      <c r="P238" s="334"/>
      <c r="Q238" s="334"/>
      <c r="R238" s="334"/>
      <c r="S238" s="334"/>
    </row>
    <row r="239" spans="1:19" ht="13.5" customHeight="1">
      <c r="A239" s="318"/>
      <c r="B239" s="318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34"/>
      <c r="P239" s="334"/>
      <c r="Q239" s="334"/>
      <c r="R239" s="334"/>
      <c r="S239" s="334"/>
    </row>
    <row r="240" spans="1:19" ht="13.5" customHeight="1">
      <c r="A240" s="318"/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34"/>
      <c r="P240" s="334"/>
      <c r="Q240" s="334"/>
      <c r="R240" s="334"/>
      <c r="S240" s="334"/>
    </row>
    <row r="241" spans="1:19" ht="13.5" customHeight="1">
      <c r="A241" s="318"/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34"/>
      <c r="P241" s="334"/>
      <c r="Q241" s="334"/>
      <c r="R241" s="334"/>
      <c r="S241" s="334"/>
    </row>
    <row r="242" spans="1:19" ht="13.5" customHeight="1">
      <c r="A242" s="318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34"/>
      <c r="P242" s="334"/>
      <c r="Q242" s="334"/>
      <c r="R242" s="334"/>
      <c r="S242" s="334"/>
    </row>
    <row r="243" spans="1:19" ht="13.5" customHeight="1">
      <c r="A243" s="318"/>
      <c r="B243" s="318"/>
      <c r="C243" s="318"/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34"/>
      <c r="P243" s="334"/>
      <c r="Q243" s="334"/>
      <c r="R243" s="334"/>
      <c r="S243" s="334"/>
    </row>
    <row r="244" spans="1:19" ht="13.5" customHeight="1">
      <c r="A244" s="318"/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34"/>
      <c r="P244" s="334"/>
      <c r="Q244" s="334"/>
      <c r="R244" s="334"/>
      <c r="S244" s="334"/>
    </row>
    <row r="245" spans="1:19" ht="13.5" customHeight="1">
      <c r="A245" s="318"/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34"/>
      <c r="P245" s="334"/>
      <c r="Q245" s="334"/>
      <c r="R245" s="334"/>
      <c r="S245" s="334"/>
    </row>
    <row r="246" spans="1:19" ht="13.5" customHeight="1">
      <c r="A246" s="318"/>
      <c r="B246" s="318"/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34"/>
      <c r="P246" s="334"/>
      <c r="Q246" s="334"/>
      <c r="R246" s="334"/>
      <c r="S246" s="334"/>
    </row>
    <row r="247" spans="1:19" ht="13.5" customHeight="1">
      <c r="A247" s="318"/>
      <c r="B247" s="318"/>
      <c r="C247" s="318"/>
      <c r="D247" s="318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34"/>
      <c r="P247" s="334"/>
      <c r="Q247" s="334"/>
      <c r="R247" s="334"/>
      <c r="S247" s="334"/>
    </row>
    <row r="248" spans="1:19" ht="13.5" customHeight="1">
      <c r="A248" s="318"/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34"/>
      <c r="P248" s="334"/>
      <c r="Q248" s="334"/>
      <c r="R248" s="334"/>
      <c r="S248" s="334"/>
    </row>
    <row r="249" spans="1:19" ht="13.5" customHeight="1">
      <c r="A249" s="318"/>
      <c r="B249" s="318"/>
      <c r="C249" s="318"/>
      <c r="D249" s="318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34"/>
      <c r="P249" s="334"/>
      <c r="Q249" s="334"/>
      <c r="R249" s="334"/>
      <c r="S249" s="334"/>
    </row>
    <row r="250" spans="1:19" ht="13.5" customHeight="1">
      <c r="A250" s="318"/>
      <c r="B250" s="318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34"/>
      <c r="P250" s="334"/>
      <c r="Q250" s="334"/>
      <c r="R250" s="334"/>
      <c r="S250" s="334"/>
    </row>
    <row r="251" spans="1:19" ht="13.5" customHeight="1">
      <c r="A251" s="318"/>
      <c r="B251" s="318"/>
      <c r="C251" s="318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34"/>
      <c r="P251" s="334"/>
      <c r="Q251" s="334"/>
      <c r="R251" s="334"/>
      <c r="S251" s="334"/>
    </row>
    <row r="252" spans="1:19" ht="13.5" customHeight="1">
      <c r="A252" s="318"/>
      <c r="B252" s="318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34"/>
      <c r="P252" s="334"/>
      <c r="Q252" s="334"/>
      <c r="R252" s="334"/>
      <c r="S252" s="334"/>
    </row>
    <row r="253" spans="1:19" ht="13.5" customHeight="1">
      <c r="A253" s="318"/>
      <c r="B253" s="318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34"/>
      <c r="P253" s="334"/>
      <c r="Q253" s="334"/>
      <c r="R253" s="334"/>
      <c r="S253" s="334"/>
    </row>
    <row r="254" spans="1:19" ht="13.5" customHeight="1">
      <c r="A254" s="318"/>
      <c r="B254" s="318"/>
      <c r="C254" s="318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34"/>
      <c r="P254" s="334"/>
      <c r="Q254" s="334"/>
      <c r="R254" s="334"/>
      <c r="S254" s="334"/>
    </row>
    <row r="255" spans="1:19" ht="13.5" customHeight="1">
      <c r="A255" s="318"/>
      <c r="B255" s="318"/>
      <c r="C255" s="318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34"/>
      <c r="P255" s="334"/>
      <c r="Q255" s="334"/>
      <c r="R255" s="334"/>
      <c r="S255" s="334"/>
    </row>
    <row r="256" spans="1:19" ht="13.5" customHeight="1">
      <c r="A256" s="318"/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34"/>
      <c r="P256" s="334"/>
      <c r="Q256" s="334"/>
      <c r="R256" s="334"/>
      <c r="S256" s="334"/>
    </row>
    <row r="257" spans="1:19" ht="13.5" customHeight="1">
      <c r="A257" s="318"/>
      <c r="B257" s="318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34"/>
      <c r="P257" s="334"/>
      <c r="Q257" s="334"/>
      <c r="R257" s="334"/>
      <c r="S257" s="334"/>
    </row>
    <row r="258" spans="1:19" ht="13.5" customHeight="1">
      <c r="A258" s="318"/>
      <c r="B258" s="318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34"/>
      <c r="P258" s="334"/>
      <c r="Q258" s="334"/>
      <c r="R258" s="334"/>
      <c r="S258" s="334"/>
    </row>
    <row r="259" spans="1:19" ht="13.5" customHeight="1">
      <c r="A259" s="318"/>
      <c r="B259" s="318"/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34"/>
      <c r="P259" s="334"/>
      <c r="Q259" s="334"/>
      <c r="R259" s="334"/>
      <c r="S259" s="334"/>
    </row>
    <row r="260" spans="1:19" ht="13.5" customHeight="1">
      <c r="A260" s="318"/>
      <c r="B260" s="318"/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34"/>
      <c r="P260" s="334"/>
      <c r="Q260" s="334"/>
      <c r="R260" s="334"/>
      <c r="S260" s="334"/>
    </row>
    <row r="261" spans="1:19" ht="13.5" customHeight="1">
      <c r="A261" s="318"/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34"/>
      <c r="P261" s="334"/>
      <c r="Q261" s="334"/>
      <c r="R261" s="334"/>
      <c r="S261" s="334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2/2014.(I.24.) Önkormányzati költségvetési rendelethez ( 12 )</oddHeader>
    <oddFooter>&amp;L( 12 ) a 3/2014.(II.11.) önkormányzati rendelettel módosított szöveg</oddFooter>
  </headerFooter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5">
      <selection activeCell="G37" sqref="G37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  <col min="18" max="18" width="9.140625" style="181" customWidth="1"/>
  </cols>
  <sheetData>
    <row r="1" spans="15:16" ht="12.75">
      <c r="O1" s="778"/>
      <c r="P1" s="778"/>
    </row>
    <row r="2" spans="2:16" ht="15.75">
      <c r="B2" s="779" t="s">
        <v>295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</row>
    <row r="3" spans="2:16" ht="15.75">
      <c r="B3" s="779" t="s">
        <v>423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</row>
    <row r="4" spans="2:16" ht="15.7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2:16" ht="15.75">
      <c r="B5" s="781" t="s">
        <v>335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</row>
    <row r="6" spans="2:16" ht="15.75"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285" t="s">
        <v>296</v>
      </c>
    </row>
    <row r="7" spans="1:18" s="184" customFormat="1" ht="16.5" thickBot="1">
      <c r="A7" s="184" t="s">
        <v>11</v>
      </c>
      <c r="B7" s="452" t="s">
        <v>359</v>
      </c>
      <c r="C7" s="453" t="s">
        <v>13</v>
      </c>
      <c r="D7" s="453" t="s">
        <v>14</v>
      </c>
      <c r="E7" s="453" t="s">
        <v>15</v>
      </c>
      <c r="F7" s="453" t="s">
        <v>16</v>
      </c>
      <c r="G7" s="453" t="s">
        <v>17</v>
      </c>
      <c r="H7" s="453" t="s">
        <v>18</v>
      </c>
      <c r="I7" s="453" t="s">
        <v>59</v>
      </c>
      <c r="J7" s="453" t="s">
        <v>366</v>
      </c>
      <c r="K7" s="453" t="s">
        <v>360</v>
      </c>
      <c r="L7" s="453" t="s">
        <v>361</v>
      </c>
      <c r="M7" s="453" t="s">
        <v>363</v>
      </c>
      <c r="N7" s="453" t="s">
        <v>367</v>
      </c>
      <c r="O7" s="453" t="s">
        <v>368</v>
      </c>
      <c r="P7" s="453" t="s">
        <v>369</v>
      </c>
      <c r="R7" s="231"/>
    </row>
    <row r="8" spans="1:16" ht="24.75" thickBot="1">
      <c r="A8" t="s">
        <v>20</v>
      </c>
      <c r="B8" s="286" t="s">
        <v>297</v>
      </c>
      <c r="C8" s="287" t="s">
        <v>63</v>
      </c>
      <c r="D8" s="287" t="s">
        <v>298</v>
      </c>
      <c r="E8" s="287" t="s">
        <v>299</v>
      </c>
      <c r="F8" s="287" t="s">
        <v>300</v>
      </c>
      <c r="G8" s="287" t="s">
        <v>301</v>
      </c>
      <c r="H8" s="287" t="s">
        <v>302</v>
      </c>
      <c r="I8" s="287" t="s">
        <v>303</v>
      </c>
      <c r="J8" s="287" t="s">
        <v>304</v>
      </c>
      <c r="K8" s="287" t="s">
        <v>305</v>
      </c>
      <c r="L8" s="287" t="s">
        <v>306</v>
      </c>
      <c r="M8" s="287" t="s">
        <v>307</v>
      </c>
      <c r="N8" s="287" t="s">
        <v>308</v>
      </c>
      <c r="O8" s="287" t="s">
        <v>309</v>
      </c>
      <c r="P8" s="288" t="s">
        <v>310</v>
      </c>
    </row>
    <row r="9" spans="1:16" ht="13.5" thickBot="1">
      <c r="A9" t="s">
        <v>21</v>
      </c>
      <c r="B9" s="289" t="s">
        <v>20</v>
      </c>
      <c r="C9" s="774" t="s">
        <v>93</v>
      </c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6"/>
    </row>
    <row r="10" spans="1:19" ht="12.75">
      <c r="A10" t="s">
        <v>22</v>
      </c>
      <c r="B10" s="292" t="s">
        <v>21</v>
      </c>
      <c r="C10" s="293" t="s">
        <v>311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>
        <f>SUM(D10:O10)</f>
        <v>0</v>
      </c>
      <c r="S10" s="107"/>
    </row>
    <row r="11" spans="1:16" ht="12.75">
      <c r="A11" t="s">
        <v>23</v>
      </c>
      <c r="B11" s="296" t="s">
        <v>22</v>
      </c>
      <c r="C11" s="297" t="s">
        <v>312</v>
      </c>
      <c r="D11" s="298">
        <v>175</v>
      </c>
      <c r="E11" s="298">
        <f>+D11</f>
        <v>175</v>
      </c>
      <c r="F11" s="298">
        <f aca="true" t="shared" si="0" ref="F11:O11">+E11</f>
        <v>175</v>
      </c>
      <c r="G11" s="298">
        <f t="shared" si="0"/>
        <v>175</v>
      </c>
      <c r="H11" s="298">
        <f t="shared" si="0"/>
        <v>175</v>
      </c>
      <c r="I11" s="298">
        <f t="shared" si="0"/>
        <v>175</v>
      </c>
      <c r="J11" s="298">
        <f t="shared" si="0"/>
        <v>175</v>
      </c>
      <c r="K11" s="298">
        <f t="shared" si="0"/>
        <v>175</v>
      </c>
      <c r="L11" s="298">
        <f t="shared" si="0"/>
        <v>175</v>
      </c>
      <c r="M11" s="298">
        <f t="shared" si="0"/>
        <v>175</v>
      </c>
      <c r="N11" s="298">
        <f t="shared" si="0"/>
        <v>175</v>
      </c>
      <c r="O11" s="298">
        <f t="shared" si="0"/>
        <v>175</v>
      </c>
      <c r="P11" s="299">
        <f aca="true" t="shared" si="1" ref="P11:P17">SUM(D11:O11)</f>
        <v>2100</v>
      </c>
    </row>
    <row r="12" spans="1:16" ht="12.75">
      <c r="A12" t="s">
        <v>24</v>
      </c>
      <c r="B12" s="296" t="s">
        <v>23</v>
      </c>
      <c r="C12" s="300" t="s">
        <v>313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299">
        <f t="shared" si="1"/>
        <v>0</v>
      </c>
    </row>
    <row r="13" spans="1:19" ht="12.75">
      <c r="A13" t="s">
        <v>25</v>
      </c>
      <c r="B13" s="296" t="s">
        <v>24</v>
      </c>
      <c r="C13" s="297" t="s">
        <v>314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9">
        <f>SUM(D13:O13)</f>
        <v>0</v>
      </c>
      <c r="Q13" s="107"/>
      <c r="S13" s="107"/>
    </row>
    <row r="14" spans="1:16" ht="12.75">
      <c r="A14" t="s">
        <v>26</v>
      </c>
      <c r="B14" s="296" t="s">
        <v>25</v>
      </c>
      <c r="C14" s="297" t="s">
        <v>315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>
        <f t="shared" si="1"/>
        <v>0</v>
      </c>
    </row>
    <row r="15" spans="1:16" ht="12.75">
      <c r="A15" t="s">
        <v>27</v>
      </c>
      <c r="B15" s="296" t="s">
        <v>26</v>
      </c>
      <c r="C15" s="297" t="s">
        <v>316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>
        <f t="shared" si="1"/>
        <v>0</v>
      </c>
    </row>
    <row r="16" spans="1:16" ht="12.75">
      <c r="A16" t="s">
        <v>28</v>
      </c>
      <c r="B16" s="296" t="s">
        <v>27</v>
      </c>
      <c r="C16" s="297" t="s">
        <v>317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9">
        <f t="shared" si="1"/>
        <v>0</v>
      </c>
    </row>
    <row r="17" spans="1:16" ht="12.75">
      <c r="A17" t="s">
        <v>29</v>
      </c>
      <c r="B17" s="296" t="s">
        <v>28</v>
      </c>
      <c r="C17" s="302" t="s">
        <v>318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9">
        <f t="shared" si="1"/>
        <v>0</v>
      </c>
    </row>
    <row r="18" spans="1:18" ht="13.5" thickBot="1">
      <c r="A18" t="s">
        <v>30</v>
      </c>
      <c r="B18" s="296" t="s">
        <v>29</v>
      </c>
      <c r="C18" s="297" t="s">
        <v>219</v>
      </c>
      <c r="D18" s="298">
        <f>+D32-D10-D11-D12-D13-D14-D15-D16-D17</f>
        <v>22879</v>
      </c>
      <c r="E18" s="298">
        <f aca="true" t="shared" si="2" ref="E18:O18">+E32-E10-E11-E12-E13-E14-E15-E16-E17</f>
        <v>23879</v>
      </c>
      <c r="F18" s="298">
        <f t="shared" si="2"/>
        <v>23957</v>
      </c>
      <c r="G18" s="298">
        <f t="shared" si="2"/>
        <v>22163</v>
      </c>
      <c r="H18" s="298">
        <f t="shared" si="2"/>
        <v>22900</v>
      </c>
      <c r="I18" s="298">
        <f t="shared" si="2"/>
        <v>22900</v>
      </c>
      <c r="J18" s="298">
        <f t="shared" si="2"/>
        <v>23663</v>
      </c>
      <c r="K18" s="298">
        <f t="shared" si="2"/>
        <v>23663</v>
      </c>
      <c r="L18" s="298">
        <f t="shared" si="2"/>
        <v>22748</v>
      </c>
      <c r="M18" s="298">
        <f t="shared" si="2"/>
        <v>24461</v>
      </c>
      <c r="N18" s="298">
        <f t="shared" si="2"/>
        <v>22900</v>
      </c>
      <c r="O18" s="298">
        <f t="shared" si="2"/>
        <v>22719</v>
      </c>
      <c r="P18" s="303">
        <f>SUM(D18:O18)</f>
        <v>278832</v>
      </c>
      <c r="Q18" s="107"/>
      <c r="R18" s="318"/>
    </row>
    <row r="19" spans="1:17" ht="13.5" thickBot="1">
      <c r="A19" t="s">
        <v>31</v>
      </c>
      <c r="B19" s="289" t="s">
        <v>30</v>
      </c>
      <c r="C19" s="304" t="s">
        <v>319</v>
      </c>
      <c r="D19" s="305">
        <f>SUM(D10:D18)</f>
        <v>23054</v>
      </c>
      <c r="E19" s="305">
        <f aca="true" t="shared" si="3" ref="E19:O19">SUM(E10:E18)</f>
        <v>24054</v>
      </c>
      <c r="F19" s="305">
        <f t="shared" si="3"/>
        <v>24132</v>
      </c>
      <c r="G19" s="305">
        <f t="shared" si="3"/>
        <v>22338</v>
      </c>
      <c r="H19" s="305">
        <f t="shared" si="3"/>
        <v>23075</v>
      </c>
      <c r="I19" s="305">
        <f t="shared" si="3"/>
        <v>23075</v>
      </c>
      <c r="J19" s="305">
        <f t="shared" si="3"/>
        <v>23838</v>
      </c>
      <c r="K19" s="305">
        <f t="shared" si="3"/>
        <v>23838</v>
      </c>
      <c r="L19" s="305">
        <f t="shared" si="3"/>
        <v>22923</v>
      </c>
      <c r="M19" s="305">
        <f t="shared" si="3"/>
        <v>24636</v>
      </c>
      <c r="N19" s="305">
        <f t="shared" si="3"/>
        <v>23075</v>
      </c>
      <c r="O19" s="305">
        <f t="shared" si="3"/>
        <v>22894</v>
      </c>
      <c r="P19" s="305">
        <f>SUM(P10:P18)</f>
        <v>280932</v>
      </c>
      <c r="Q19" s="710"/>
    </row>
    <row r="20" spans="1:16" ht="13.5" thickBot="1">
      <c r="A20" t="s">
        <v>32</v>
      </c>
      <c r="B20" s="289" t="s">
        <v>31</v>
      </c>
      <c r="C20" s="774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7"/>
    </row>
    <row r="21" spans="1:24" ht="12.75">
      <c r="A21" t="s">
        <v>33</v>
      </c>
      <c r="B21" s="307" t="s">
        <v>32</v>
      </c>
      <c r="C21" s="308" t="s">
        <v>212</v>
      </c>
      <c r="D21" s="301">
        <v>8423</v>
      </c>
      <c r="E21" s="301">
        <f>+D21+350+130+420</f>
        <v>9323</v>
      </c>
      <c r="F21" s="301">
        <f>7879+1051+130+420</f>
        <v>9480</v>
      </c>
      <c r="G21" s="301">
        <f>7136+130+420</f>
        <v>7686</v>
      </c>
      <c r="H21" s="301">
        <v>8423</v>
      </c>
      <c r="I21" s="301">
        <f>+H21</f>
        <v>8423</v>
      </c>
      <c r="J21" s="301">
        <f>+G21+1500</f>
        <v>9186</v>
      </c>
      <c r="K21" s="301">
        <f>+J21</f>
        <v>9186</v>
      </c>
      <c r="L21" s="301">
        <f>+G21+585</f>
        <v>8271</v>
      </c>
      <c r="M21" s="301">
        <f>+G21+4971-3464</f>
        <v>9193</v>
      </c>
      <c r="N21" s="301">
        <f>+H21</f>
        <v>8423</v>
      </c>
      <c r="O21" s="301">
        <f>+N21</f>
        <v>8423</v>
      </c>
      <c r="P21" s="309">
        <f>SUM(D21:O21)</f>
        <v>104440</v>
      </c>
      <c r="Q21" s="740"/>
      <c r="S21" s="107"/>
      <c r="X21" s="107"/>
    </row>
    <row r="22" spans="1:24" ht="12.75">
      <c r="A22" t="s">
        <v>34</v>
      </c>
      <c r="B22" s="296" t="s">
        <v>33</v>
      </c>
      <c r="C22" s="302" t="s">
        <v>320</v>
      </c>
      <c r="D22" s="298">
        <v>2251</v>
      </c>
      <c r="E22" s="298">
        <f>+D22+100</f>
        <v>2351</v>
      </c>
      <c r="F22" s="298">
        <f>2140+32+100</f>
        <v>2272</v>
      </c>
      <c r="G22" s="298">
        <f>+F22</f>
        <v>2272</v>
      </c>
      <c r="H22" s="298">
        <f>+G22</f>
        <v>2272</v>
      </c>
      <c r="I22" s="298">
        <f>+H22</f>
        <v>2272</v>
      </c>
      <c r="J22" s="298">
        <f>+I22</f>
        <v>2272</v>
      </c>
      <c r="K22" s="298">
        <f>+J22</f>
        <v>2272</v>
      </c>
      <c r="L22" s="298">
        <f>+K22</f>
        <v>2272</v>
      </c>
      <c r="M22" s="298">
        <f>+L22+791</f>
        <v>3063</v>
      </c>
      <c r="N22" s="298">
        <f>+K22</f>
        <v>2272</v>
      </c>
      <c r="O22" s="298">
        <f>+N22+2-192</f>
        <v>2082</v>
      </c>
      <c r="P22" s="309">
        <f aca="true" t="shared" si="4" ref="P22:P30">SUM(D22:O22)</f>
        <v>27923</v>
      </c>
      <c r="Q22" s="740"/>
      <c r="S22" s="107"/>
      <c r="T22" s="107"/>
      <c r="X22" s="107"/>
    </row>
    <row r="23" spans="1:19" ht="12.75">
      <c r="A23" t="s">
        <v>35</v>
      </c>
      <c r="B23" s="296" t="s">
        <v>34</v>
      </c>
      <c r="C23" s="297" t="s">
        <v>248</v>
      </c>
      <c r="D23" s="298">
        <v>2945</v>
      </c>
      <c r="E23" s="298">
        <f>+D23</f>
        <v>2945</v>
      </c>
      <c r="F23" s="298">
        <f aca="true" t="shared" si="5" ref="F23:N23">+E23</f>
        <v>2945</v>
      </c>
      <c r="G23" s="298">
        <f t="shared" si="5"/>
        <v>2945</v>
      </c>
      <c r="H23" s="298">
        <f t="shared" si="5"/>
        <v>2945</v>
      </c>
      <c r="I23" s="298">
        <f t="shared" si="5"/>
        <v>2945</v>
      </c>
      <c r="J23" s="298">
        <f t="shared" si="5"/>
        <v>2945</v>
      </c>
      <c r="K23" s="298">
        <f t="shared" si="5"/>
        <v>2945</v>
      </c>
      <c r="L23" s="298">
        <f t="shared" si="5"/>
        <v>2945</v>
      </c>
      <c r="M23" s="298">
        <f t="shared" si="5"/>
        <v>2945</v>
      </c>
      <c r="N23" s="298">
        <f t="shared" si="5"/>
        <v>2945</v>
      </c>
      <c r="O23" s="298">
        <f>+N23+4</f>
        <v>2949</v>
      </c>
      <c r="P23" s="309">
        <f t="shared" si="4"/>
        <v>35344</v>
      </c>
      <c r="S23" s="107"/>
    </row>
    <row r="24" spans="1:16" ht="12.75">
      <c r="A24" t="s">
        <v>36</v>
      </c>
      <c r="B24" s="296" t="s">
        <v>35</v>
      </c>
      <c r="C24" s="297" t="s">
        <v>321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309">
        <f t="shared" si="4"/>
        <v>0</v>
      </c>
    </row>
    <row r="25" spans="1:19" ht="12.75">
      <c r="A25" t="s">
        <v>37</v>
      </c>
      <c r="B25" s="296" t="s">
        <v>36</v>
      </c>
      <c r="C25" s="297" t="s">
        <v>322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309">
        <f t="shared" si="4"/>
        <v>0</v>
      </c>
      <c r="S25" s="107"/>
    </row>
    <row r="26" spans="1:22" ht="12.75">
      <c r="A26" t="s">
        <v>40</v>
      </c>
      <c r="B26" s="296" t="s">
        <v>37</v>
      </c>
      <c r="C26" s="297" t="s">
        <v>323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309">
        <f t="shared" si="4"/>
        <v>0</v>
      </c>
      <c r="V26" s="107"/>
    </row>
    <row r="27" spans="1:19" ht="12.75">
      <c r="A27" t="s">
        <v>42</v>
      </c>
      <c r="B27" s="296" t="s">
        <v>40</v>
      </c>
      <c r="C27" s="302" t="s">
        <v>324</v>
      </c>
      <c r="D27" s="298">
        <v>9435</v>
      </c>
      <c r="E27" s="298">
        <f>+D27</f>
        <v>9435</v>
      </c>
      <c r="F27" s="298">
        <f aca="true" t="shared" si="6" ref="F27:N27">+E27</f>
        <v>9435</v>
      </c>
      <c r="G27" s="298">
        <f t="shared" si="6"/>
        <v>9435</v>
      </c>
      <c r="H27" s="298">
        <f t="shared" si="6"/>
        <v>9435</v>
      </c>
      <c r="I27" s="298">
        <f t="shared" si="6"/>
        <v>9435</v>
      </c>
      <c r="J27" s="298">
        <f t="shared" si="6"/>
        <v>9435</v>
      </c>
      <c r="K27" s="298">
        <f t="shared" si="6"/>
        <v>9435</v>
      </c>
      <c r="L27" s="298">
        <f t="shared" si="6"/>
        <v>9435</v>
      </c>
      <c r="M27" s="298">
        <f t="shared" si="6"/>
        <v>9435</v>
      </c>
      <c r="N27" s="298">
        <f t="shared" si="6"/>
        <v>9435</v>
      </c>
      <c r="O27" s="298">
        <f>+N27-4+9</f>
        <v>9440</v>
      </c>
      <c r="P27" s="309">
        <f>SUM(D27:O27)</f>
        <v>113225</v>
      </c>
      <c r="Q27" s="107"/>
      <c r="S27" s="107"/>
    </row>
    <row r="28" spans="1:16" ht="12.75">
      <c r="A28" t="s">
        <v>43</v>
      </c>
      <c r="B28" s="296" t="s">
        <v>42</v>
      </c>
      <c r="C28" s="297" t="s">
        <v>325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309">
        <f t="shared" si="4"/>
        <v>0</v>
      </c>
    </row>
    <row r="29" spans="1:16" ht="12.75">
      <c r="A29" t="s">
        <v>44</v>
      </c>
      <c r="B29" s="296" t="s">
        <v>43</v>
      </c>
      <c r="C29" s="297" t="s">
        <v>326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309">
        <f t="shared" si="4"/>
        <v>0</v>
      </c>
    </row>
    <row r="30" spans="1:16" ht="12.75">
      <c r="A30" t="s">
        <v>45</v>
      </c>
      <c r="B30" s="296" t="s">
        <v>44</v>
      </c>
      <c r="C30" s="297" t="s">
        <v>327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309">
        <f t="shared" si="4"/>
        <v>0</v>
      </c>
    </row>
    <row r="31" spans="1:16" ht="13.5" thickBot="1">
      <c r="A31" t="s">
        <v>46</v>
      </c>
      <c r="B31" s="296" t="s">
        <v>45</v>
      </c>
      <c r="C31" s="297" t="s">
        <v>328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309">
        <f>SUM(D31:O31)</f>
        <v>0</v>
      </c>
    </row>
    <row r="32" spans="1:17" ht="13.5" thickBot="1">
      <c r="A32" t="s">
        <v>47</v>
      </c>
      <c r="B32" s="310" t="s">
        <v>46</v>
      </c>
      <c r="C32" s="304" t="s">
        <v>329</v>
      </c>
      <c r="D32" s="305">
        <f>SUM(D21:D31)</f>
        <v>23054</v>
      </c>
      <c r="E32" s="305">
        <f aca="true" t="shared" si="7" ref="E32:O32">SUM(E21:E31)</f>
        <v>24054</v>
      </c>
      <c r="F32" s="305">
        <f t="shared" si="7"/>
        <v>24132</v>
      </c>
      <c r="G32" s="305">
        <f t="shared" si="7"/>
        <v>22338</v>
      </c>
      <c r="H32" s="305">
        <f t="shared" si="7"/>
        <v>23075</v>
      </c>
      <c r="I32" s="305">
        <f t="shared" si="7"/>
        <v>23075</v>
      </c>
      <c r="J32" s="305">
        <f t="shared" si="7"/>
        <v>23838</v>
      </c>
      <c r="K32" s="305">
        <f t="shared" si="7"/>
        <v>23838</v>
      </c>
      <c r="L32" s="305">
        <f t="shared" si="7"/>
        <v>22923</v>
      </c>
      <c r="M32" s="305">
        <f t="shared" si="7"/>
        <v>24636</v>
      </c>
      <c r="N32" s="305">
        <f t="shared" si="7"/>
        <v>23075</v>
      </c>
      <c r="O32" s="305">
        <f t="shared" si="7"/>
        <v>22894</v>
      </c>
      <c r="P32" s="305">
        <f>SUM(P21:P31)</f>
        <v>280932</v>
      </c>
      <c r="Q32" s="741"/>
    </row>
    <row r="33" spans="1:17" ht="13.5" thickBot="1">
      <c r="A33" t="s">
        <v>48</v>
      </c>
      <c r="B33" s="310" t="s">
        <v>47</v>
      </c>
      <c r="C33" s="312" t="s">
        <v>330</v>
      </c>
      <c r="D33" s="313">
        <f>+D19-D32</f>
        <v>0</v>
      </c>
      <c r="E33" s="313">
        <f aca="true" t="shared" si="8" ref="E33:P33">+E19-E32</f>
        <v>0</v>
      </c>
      <c r="F33" s="313">
        <f t="shared" si="8"/>
        <v>0</v>
      </c>
      <c r="G33" s="313">
        <f t="shared" si="8"/>
        <v>0</v>
      </c>
      <c r="H33" s="313">
        <f t="shared" si="8"/>
        <v>0</v>
      </c>
      <c r="I33" s="313">
        <f t="shared" si="8"/>
        <v>0</v>
      </c>
      <c r="J33" s="313">
        <f t="shared" si="8"/>
        <v>0</v>
      </c>
      <c r="K33" s="313">
        <f t="shared" si="8"/>
        <v>0</v>
      </c>
      <c r="L33" s="313">
        <f t="shared" si="8"/>
        <v>0</v>
      </c>
      <c r="M33" s="313">
        <f t="shared" si="8"/>
        <v>0</v>
      </c>
      <c r="N33" s="313">
        <f t="shared" si="8"/>
        <v>0</v>
      </c>
      <c r="O33" s="313">
        <f t="shared" si="8"/>
        <v>0</v>
      </c>
      <c r="P33" s="313">
        <f t="shared" si="8"/>
        <v>0</v>
      </c>
      <c r="Q33" s="742"/>
    </row>
    <row r="34" spans="2:16" ht="15.75">
      <c r="B34" s="31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436"/>
    </row>
    <row r="35" spans="2:16" ht="15.75">
      <c r="B35" s="283"/>
      <c r="C35" s="315"/>
      <c r="D35" s="316"/>
      <c r="E35" s="316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3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2/2014.(I.24.) Önkormányzati költségvetési rendelethez</oddHeader>
  </headerFooter>
  <colBreaks count="1" manualBreakCount="1">
    <brk id="1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78"/>
      <c r="P1" s="778"/>
    </row>
    <row r="2" spans="2:16" ht="15.75">
      <c r="B2" s="779" t="s">
        <v>355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</row>
    <row r="3" spans="2:16" ht="15.75">
      <c r="B3" s="779" t="s">
        <v>423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</row>
    <row r="4" spans="2:16" ht="15.7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5" t="s">
        <v>296</v>
      </c>
    </row>
    <row r="5" spans="1:16" ht="16.5" thickBot="1">
      <c r="A5" t="s">
        <v>11</v>
      </c>
      <c r="B5" s="450" t="s">
        <v>12</v>
      </c>
      <c r="C5" s="451" t="s">
        <v>13</v>
      </c>
      <c r="D5" s="451" t="s">
        <v>14</v>
      </c>
      <c r="E5" s="451" t="s">
        <v>15</v>
      </c>
      <c r="F5" s="451" t="s">
        <v>16</v>
      </c>
      <c r="G5" s="451" t="s">
        <v>17</v>
      </c>
      <c r="H5" s="451" t="s">
        <v>18</v>
      </c>
      <c r="I5" s="451" t="s">
        <v>59</v>
      </c>
      <c r="J5" s="451" t="s">
        <v>366</v>
      </c>
      <c r="K5" s="451" t="s">
        <v>360</v>
      </c>
      <c r="L5" s="451" t="s">
        <v>361</v>
      </c>
      <c r="M5" s="451" t="s">
        <v>363</v>
      </c>
      <c r="N5" s="451" t="s">
        <v>367</v>
      </c>
      <c r="O5" s="451" t="s">
        <v>368</v>
      </c>
      <c r="P5" s="451" t="s">
        <v>369</v>
      </c>
    </row>
    <row r="6" spans="1:16" ht="24.75" thickBot="1">
      <c r="A6" t="s">
        <v>20</v>
      </c>
      <c r="B6" s="286" t="s">
        <v>297</v>
      </c>
      <c r="C6" s="287" t="s">
        <v>63</v>
      </c>
      <c r="D6" s="287" t="s">
        <v>298</v>
      </c>
      <c r="E6" s="287" t="s">
        <v>299</v>
      </c>
      <c r="F6" s="287" t="s">
        <v>300</v>
      </c>
      <c r="G6" s="287" t="s">
        <v>301</v>
      </c>
      <c r="H6" s="287" t="s">
        <v>302</v>
      </c>
      <c r="I6" s="287" t="s">
        <v>303</v>
      </c>
      <c r="J6" s="287" t="s">
        <v>304</v>
      </c>
      <c r="K6" s="287" t="s">
        <v>305</v>
      </c>
      <c r="L6" s="287" t="s">
        <v>306</v>
      </c>
      <c r="M6" s="287" t="s">
        <v>307</v>
      </c>
      <c r="N6" s="287" t="s">
        <v>308</v>
      </c>
      <c r="O6" s="287" t="s">
        <v>309</v>
      </c>
      <c r="P6" s="288" t="s">
        <v>310</v>
      </c>
    </row>
    <row r="7" spans="1:16" ht="13.5" thickBot="1">
      <c r="A7" t="s">
        <v>21</v>
      </c>
      <c r="B7" s="289" t="s">
        <v>20</v>
      </c>
      <c r="C7" s="774" t="s">
        <v>93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6"/>
    </row>
    <row r="8" spans="1:16" ht="12.75">
      <c r="A8" t="s">
        <v>22</v>
      </c>
      <c r="B8" s="292" t="s">
        <v>21</v>
      </c>
      <c r="C8" s="293" t="s">
        <v>311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>
        <f>SUM(D8:O8)</f>
        <v>0</v>
      </c>
    </row>
    <row r="9" spans="1:19" ht="12.75">
      <c r="A9" t="s">
        <v>23</v>
      </c>
      <c r="B9" s="296" t="s">
        <v>22</v>
      </c>
      <c r="C9" s="297" t="s">
        <v>312</v>
      </c>
      <c r="D9" s="298">
        <v>742</v>
      </c>
      <c r="E9" s="298">
        <f>+D9</f>
        <v>742</v>
      </c>
      <c r="F9" s="298">
        <f aca="true" t="shared" si="0" ref="F9:N9">+E9</f>
        <v>742</v>
      </c>
      <c r="G9" s="298">
        <f t="shared" si="0"/>
        <v>742</v>
      </c>
      <c r="H9" s="298">
        <f t="shared" si="0"/>
        <v>742</v>
      </c>
      <c r="I9" s="298">
        <f t="shared" si="0"/>
        <v>742</v>
      </c>
      <c r="J9" s="298">
        <f t="shared" si="0"/>
        <v>742</v>
      </c>
      <c r="K9" s="298">
        <f t="shared" si="0"/>
        <v>742</v>
      </c>
      <c r="L9" s="298">
        <f t="shared" si="0"/>
        <v>742</v>
      </c>
      <c r="M9" s="298">
        <f t="shared" si="0"/>
        <v>742</v>
      </c>
      <c r="N9" s="298">
        <f t="shared" si="0"/>
        <v>742</v>
      </c>
      <c r="O9" s="298">
        <f>+N9-1</f>
        <v>741</v>
      </c>
      <c r="P9" s="299">
        <f aca="true" t="shared" si="1" ref="P9:P15">SUM(D9:O9)</f>
        <v>8903</v>
      </c>
      <c r="Q9" s="107"/>
      <c r="S9" s="107"/>
    </row>
    <row r="10" spans="1:19" ht="12.75">
      <c r="A10" t="s">
        <v>24</v>
      </c>
      <c r="B10" s="296" t="s">
        <v>23</v>
      </c>
      <c r="C10" s="300" t="s">
        <v>313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299">
        <f t="shared" si="1"/>
        <v>0</v>
      </c>
      <c r="S10" s="107"/>
    </row>
    <row r="11" spans="1:19" ht="12.75">
      <c r="A11" t="s">
        <v>25</v>
      </c>
      <c r="B11" s="296" t="s">
        <v>24</v>
      </c>
      <c r="C11" s="297" t="s">
        <v>314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>
        <f t="shared" si="1"/>
        <v>0</v>
      </c>
      <c r="S11" s="107"/>
    </row>
    <row r="12" spans="1:19" ht="12.75">
      <c r="A12" t="s">
        <v>26</v>
      </c>
      <c r="B12" s="296" t="s">
        <v>25</v>
      </c>
      <c r="C12" s="297" t="s">
        <v>315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9">
        <f t="shared" si="1"/>
        <v>0</v>
      </c>
      <c r="S12" s="107"/>
    </row>
    <row r="13" spans="1:19" ht="12.75">
      <c r="A13" t="s">
        <v>27</v>
      </c>
      <c r="B13" s="296" t="s">
        <v>26</v>
      </c>
      <c r="C13" s="297" t="s">
        <v>316</v>
      </c>
      <c r="D13" s="298">
        <v>2708</v>
      </c>
      <c r="E13" s="298">
        <f>+D13</f>
        <v>2708</v>
      </c>
      <c r="F13" s="298">
        <f aca="true" t="shared" si="2" ref="F13:N13">+E13</f>
        <v>2708</v>
      </c>
      <c r="G13" s="298">
        <f t="shared" si="2"/>
        <v>2708</v>
      </c>
      <c r="H13" s="298">
        <f t="shared" si="2"/>
        <v>2708</v>
      </c>
      <c r="I13" s="298">
        <f t="shared" si="2"/>
        <v>2708</v>
      </c>
      <c r="J13" s="298">
        <f t="shared" si="2"/>
        <v>2708</v>
      </c>
      <c r="K13" s="298">
        <f t="shared" si="2"/>
        <v>2708</v>
      </c>
      <c r="L13" s="298">
        <f t="shared" si="2"/>
        <v>2708</v>
      </c>
      <c r="M13" s="298">
        <f t="shared" si="2"/>
        <v>2708</v>
      </c>
      <c r="N13" s="298">
        <f t="shared" si="2"/>
        <v>2708</v>
      </c>
      <c r="O13" s="298">
        <f>+N13+4</f>
        <v>2712</v>
      </c>
      <c r="P13" s="299">
        <f t="shared" si="1"/>
        <v>32500</v>
      </c>
      <c r="Q13" s="107"/>
      <c r="S13" s="107"/>
    </row>
    <row r="14" spans="1:16" ht="12.75">
      <c r="A14" t="s">
        <v>28</v>
      </c>
      <c r="B14" s="296" t="s">
        <v>27</v>
      </c>
      <c r="C14" s="297" t="s">
        <v>317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>
        <f t="shared" si="1"/>
        <v>0</v>
      </c>
    </row>
    <row r="15" spans="1:16" ht="22.5">
      <c r="A15" t="s">
        <v>29</v>
      </c>
      <c r="B15" s="296" t="s">
        <v>28</v>
      </c>
      <c r="C15" s="302" t="s">
        <v>318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>
        <f t="shared" si="1"/>
        <v>0</v>
      </c>
    </row>
    <row r="16" spans="1:18" ht="13.5" thickBot="1">
      <c r="A16" t="s">
        <v>30</v>
      </c>
      <c r="B16" s="296" t="s">
        <v>29</v>
      </c>
      <c r="C16" s="297" t="s">
        <v>219</v>
      </c>
      <c r="D16" s="298">
        <f>+D30-D8-D9-D10-D11-D12-D13-D14-D15</f>
        <v>7072</v>
      </c>
      <c r="E16" s="298">
        <f aca="true" t="shared" si="3" ref="E16:O16">+E30-E8-E9-E10-E11-E12-E13-E14-E15</f>
        <v>7072</v>
      </c>
      <c r="F16" s="298">
        <f t="shared" si="3"/>
        <v>7072</v>
      </c>
      <c r="G16" s="298">
        <f t="shared" si="3"/>
        <v>7072</v>
      </c>
      <c r="H16" s="298">
        <f t="shared" si="3"/>
        <v>7072</v>
      </c>
      <c r="I16" s="298">
        <f t="shared" si="3"/>
        <v>7072</v>
      </c>
      <c r="J16" s="298">
        <f t="shared" si="3"/>
        <v>7072</v>
      </c>
      <c r="K16" s="298">
        <f t="shared" si="3"/>
        <v>7072</v>
      </c>
      <c r="L16" s="298">
        <f t="shared" si="3"/>
        <v>7072</v>
      </c>
      <c r="M16" s="298">
        <f t="shared" si="3"/>
        <v>7072</v>
      </c>
      <c r="N16" s="298">
        <f t="shared" si="3"/>
        <v>7072</v>
      </c>
      <c r="O16" s="298">
        <f t="shared" si="3"/>
        <v>7073</v>
      </c>
      <c r="P16" s="303">
        <f>SUM(D16:O16)</f>
        <v>84865</v>
      </c>
      <c r="Q16" s="107"/>
      <c r="R16" s="107"/>
    </row>
    <row r="17" spans="1:18" ht="13.5" thickBot="1">
      <c r="A17" t="s">
        <v>31</v>
      </c>
      <c r="B17" s="289" t="s">
        <v>30</v>
      </c>
      <c r="C17" s="304" t="s">
        <v>319</v>
      </c>
      <c r="D17" s="305">
        <f>SUM(D8:D16)</f>
        <v>10522</v>
      </c>
      <c r="E17" s="305">
        <f aca="true" t="shared" si="4" ref="E17:P17">SUM(E8:E16)</f>
        <v>10522</v>
      </c>
      <c r="F17" s="305">
        <f t="shared" si="4"/>
        <v>10522</v>
      </c>
      <c r="G17" s="305">
        <f t="shared" si="4"/>
        <v>10522</v>
      </c>
      <c r="H17" s="305">
        <f t="shared" si="4"/>
        <v>10522</v>
      </c>
      <c r="I17" s="305">
        <f t="shared" si="4"/>
        <v>10522</v>
      </c>
      <c r="J17" s="305">
        <f t="shared" si="4"/>
        <v>10522</v>
      </c>
      <c r="K17" s="305">
        <f t="shared" si="4"/>
        <v>10522</v>
      </c>
      <c r="L17" s="305">
        <f t="shared" si="4"/>
        <v>10522</v>
      </c>
      <c r="M17" s="305">
        <f t="shared" si="4"/>
        <v>10522</v>
      </c>
      <c r="N17" s="305">
        <f t="shared" si="4"/>
        <v>10522</v>
      </c>
      <c r="O17" s="305">
        <f t="shared" si="4"/>
        <v>10526</v>
      </c>
      <c r="P17" s="305">
        <f t="shared" si="4"/>
        <v>126268</v>
      </c>
      <c r="Q17" s="434"/>
      <c r="R17" s="107"/>
    </row>
    <row r="18" spans="1:16" ht="13.5" thickBot="1">
      <c r="A18" t="s">
        <v>32</v>
      </c>
      <c r="B18" s="289" t="s">
        <v>31</v>
      </c>
      <c r="C18" s="774" t="s">
        <v>121</v>
      </c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7"/>
    </row>
    <row r="19" spans="1:19" ht="12.75">
      <c r="A19" t="s">
        <v>33</v>
      </c>
      <c r="B19" s="307" t="s">
        <v>32</v>
      </c>
      <c r="C19" s="308" t="s">
        <v>212</v>
      </c>
      <c r="D19" s="301">
        <v>5542</v>
      </c>
      <c r="E19" s="301">
        <f>+D19</f>
        <v>5542</v>
      </c>
      <c r="F19" s="301">
        <f aca="true" t="shared" si="5" ref="F19:N19">+E19</f>
        <v>5542</v>
      </c>
      <c r="G19" s="301">
        <f t="shared" si="5"/>
        <v>5542</v>
      </c>
      <c r="H19" s="301">
        <f t="shared" si="5"/>
        <v>5542</v>
      </c>
      <c r="I19" s="301">
        <f t="shared" si="5"/>
        <v>5542</v>
      </c>
      <c r="J19" s="301">
        <f t="shared" si="5"/>
        <v>5542</v>
      </c>
      <c r="K19" s="301">
        <f t="shared" si="5"/>
        <v>5542</v>
      </c>
      <c r="L19" s="301">
        <f t="shared" si="5"/>
        <v>5542</v>
      </c>
      <c r="M19" s="301">
        <f t="shared" si="5"/>
        <v>5542</v>
      </c>
      <c r="N19" s="301">
        <f t="shared" si="5"/>
        <v>5542</v>
      </c>
      <c r="O19" s="301">
        <f>+N19-2</f>
        <v>5540</v>
      </c>
      <c r="P19" s="309">
        <f>SUM(D19:O19)</f>
        <v>66502</v>
      </c>
      <c r="Q19" s="107"/>
      <c r="S19" s="107"/>
    </row>
    <row r="20" spans="1:19" ht="24.75" customHeight="1">
      <c r="A20" t="s">
        <v>34</v>
      </c>
      <c r="B20" s="296" t="s">
        <v>33</v>
      </c>
      <c r="C20" s="302" t="s">
        <v>320</v>
      </c>
      <c r="D20" s="298">
        <v>1482</v>
      </c>
      <c r="E20" s="298">
        <f>+D20</f>
        <v>1482</v>
      </c>
      <c r="F20" s="298">
        <f aca="true" t="shared" si="6" ref="F20:N20">+E20</f>
        <v>1482</v>
      </c>
      <c r="G20" s="298">
        <f t="shared" si="6"/>
        <v>1482</v>
      </c>
      <c r="H20" s="298">
        <f t="shared" si="6"/>
        <v>1482</v>
      </c>
      <c r="I20" s="298">
        <f t="shared" si="6"/>
        <v>1482</v>
      </c>
      <c r="J20" s="298">
        <f t="shared" si="6"/>
        <v>1482</v>
      </c>
      <c r="K20" s="298">
        <f t="shared" si="6"/>
        <v>1482</v>
      </c>
      <c r="L20" s="298">
        <f t="shared" si="6"/>
        <v>1482</v>
      </c>
      <c r="M20" s="298">
        <f t="shared" si="6"/>
        <v>1482</v>
      </c>
      <c r="N20" s="298">
        <f t="shared" si="6"/>
        <v>1482</v>
      </c>
      <c r="O20" s="298">
        <f>+N20+10</f>
        <v>1492</v>
      </c>
      <c r="P20" s="309">
        <f aca="true" t="shared" si="7" ref="P20:P28">SUM(D20:O20)</f>
        <v>17794</v>
      </c>
      <c r="Q20" s="107"/>
      <c r="S20" s="107"/>
    </row>
    <row r="21" spans="1:19" ht="12.75">
      <c r="A21" t="s">
        <v>35</v>
      </c>
      <c r="B21" s="296" t="s">
        <v>34</v>
      </c>
      <c r="C21" s="297" t="s">
        <v>248</v>
      </c>
      <c r="D21" s="298">
        <v>3498</v>
      </c>
      <c r="E21" s="298">
        <f>+D21</f>
        <v>3498</v>
      </c>
      <c r="F21" s="298">
        <f aca="true" t="shared" si="8" ref="F21:N21">+E21</f>
        <v>3498</v>
      </c>
      <c r="G21" s="298">
        <f t="shared" si="8"/>
        <v>3498</v>
      </c>
      <c r="H21" s="298">
        <f t="shared" si="8"/>
        <v>3498</v>
      </c>
      <c r="I21" s="298">
        <f t="shared" si="8"/>
        <v>3498</v>
      </c>
      <c r="J21" s="298">
        <f t="shared" si="8"/>
        <v>3498</v>
      </c>
      <c r="K21" s="298">
        <f t="shared" si="8"/>
        <v>3498</v>
      </c>
      <c r="L21" s="298">
        <f t="shared" si="8"/>
        <v>3498</v>
      </c>
      <c r="M21" s="298">
        <f t="shared" si="8"/>
        <v>3498</v>
      </c>
      <c r="N21" s="298">
        <f t="shared" si="8"/>
        <v>3498</v>
      </c>
      <c r="O21" s="298">
        <f>+N21-4</f>
        <v>3494</v>
      </c>
      <c r="P21" s="309">
        <f t="shared" si="7"/>
        <v>41972</v>
      </c>
      <c r="Q21" s="107"/>
      <c r="S21" s="107"/>
    </row>
    <row r="22" spans="1:16" ht="12.75">
      <c r="A22" t="s">
        <v>36</v>
      </c>
      <c r="B22" s="296" t="s">
        <v>35</v>
      </c>
      <c r="C22" s="297" t="s">
        <v>321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309">
        <f t="shared" si="7"/>
        <v>0</v>
      </c>
    </row>
    <row r="23" spans="1:16" ht="12.75">
      <c r="A23" t="s">
        <v>37</v>
      </c>
      <c r="B23" s="296" t="s">
        <v>36</v>
      </c>
      <c r="C23" s="297" t="s">
        <v>322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309">
        <f t="shared" si="7"/>
        <v>0</v>
      </c>
    </row>
    <row r="24" spans="1:16" ht="12.75">
      <c r="A24" t="s">
        <v>40</v>
      </c>
      <c r="B24" s="296" t="s">
        <v>37</v>
      </c>
      <c r="C24" s="297" t="s">
        <v>323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309">
        <f t="shared" si="7"/>
        <v>0</v>
      </c>
    </row>
    <row r="25" spans="1:16" ht="21" customHeight="1">
      <c r="A25" t="s">
        <v>42</v>
      </c>
      <c r="B25" s="296" t="s">
        <v>40</v>
      </c>
      <c r="C25" s="302" t="s">
        <v>324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309">
        <f t="shared" si="7"/>
        <v>0</v>
      </c>
    </row>
    <row r="26" spans="1:16" ht="12.75">
      <c r="A26" t="s">
        <v>43</v>
      </c>
      <c r="B26" s="296" t="s">
        <v>42</v>
      </c>
      <c r="C26" s="297" t="s">
        <v>325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309">
        <f t="shared" si="7"/>
        <v>0</v>
      </c>
    </row>
    <row r="27" spans="1:16" ht="12.75">
      <c r="A27" t="s">
        <v>44</v>
      </c>
      <c r="B27" s="296" t="s">
        <v>43</v>
      </c>
      <c r="C27" s="297" t="s">
        <v>326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309">
        <f t="shared" si="7"/>
        <v>0</v>
      </c>
    </row>
    <row r="28" spans="1:16" ht="12.75">
      <c r="A28" t="s">
        <v>45</v>
      </c>
      <c r="B28" s="296" t="s">
        <v>44</v>
      </c>
      <c r="C28" s="297" t="s">
        <v>327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309">
        <f t="shared" si="7"/>
        <v>0</v>
      </c>
    </row>
    <row r="29" spans="1:16" ht="13.5" thickBot="1">
      <c r="A29" t="s">
        <v>46</v>
      </c>
      <c r="B29" s="296" t="s">
        <v>45</v>
      </c>
      <c r="C29" s="297" t="s">
        <v>328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309">
        <f>SUM(D29:O29)</f>
        <v>0</v>
      </c>
    </row>
    <row r="30" spans="1:18" ht="13.5" thickBot="1">
      <c r="A30" t="s">
        <v>47</v>
      </c>
      <c r="B30" s="310" t="s">
        <v>46</v>
      </c>
      <c r="C30" s="304" t="s">
        <v>329</v>
      </c>
      <c r="D30" s="305">
        <f>SUM(D19:D29)</f>
        <v>10522</v>
      </c>
      <c r="E30" s="305">
        <f aca="true" t="shared" si="9" ref="E30:O30">SUM(E19:E29)</f>
        <v>10522</v>
      </c>
      <c r="F30" s="305">
        <f t="shared" si="9"/>
        <v>10522</v>
      </c>
      <c r="G30" s="305">
        <f t="shared" si="9"/>
        <v>10522</v>
      </c>
      <c r="H30" s="305">
        <f t="shared" si="9"/>
        <v>10522</v>
      </c>
      <c r="I30" s="305">
        <f t="shared" si="9"/>
        <v>10522</v>
      </c>
      <c r="J30" s="305">
        <f t="shared" si="9"/>
        <v>10522</v>
      </c>
      <c r="K30" s="305">
        <f t="shared" si="9"/>
        <v>10522</v>
      </c>
      <c r="L30" s="305">
        <f t="shared" si="9"/>
        <v>10522</v>
      </c>
      <c r="M30" s="305">
        <f t="shared" si="9"/>
        <v>10522</v>
      </c>
      <c r="N30" s="305">
        <f t="shared" si="9"/>
        <v>10522</v>
      </c>
      <c r="O30" s="305">
        <f t="shared" si="9"/>
        <v>10526</v>
      </c>
      <c r="P30" s="311">
        <f>SUM(P19:P29)</f>
        <v>126268</v>
      </c>
      <c r="Q30" s="435"/>
      <c r="R30" s="107"/>
    </row>
    <row r="31" spans="1:17" ht="13.5" thickBot="1">
      <c r="A31" t="s">
        <v>48</v>
      </c>
      <c r="B31" s="310" t="s">
        <v>47</v>
      </c>
      <c r="C31" s="312" t="s">
        <v>330</v>
      </c>
      <c r="D31" s="313">
        <f>+D30-D17</f>
        <v>0</v>
      </c>
      <c r="E31" s="313">
        <f aca="true" t="shared" si="10" ref="E31:P31">+E30-E17</f>
        <v>0</v>
      </c>
      <c r="F31" s="313">
        <f t="shared" si="10"/>
        <v>0</v>
      </c>
      <c r="G31" s="313">
        <f t="shared" si="10"/>
        <v>0</v>
      </c>
      <c r="H31" s="313">
        <f t="shared" si="10"/>
        <v>0</v>
      </c>
      <c r="I31" s="313">
        <f t="shared" si="10"/>
        <v>0</v>
      </c>
      <c r="J31" s="313">
        <f t="shared" si="10"/>
        <v>0</v>
      </c>
      <c r="K31" s="313">
        <f t="shared" si="10"/>
        <v>0</v>
      </c>
      <c r="L31" s="313">
        <f t="shared" si="10"/>
        <v>0</v>
      </c>
      <c r="M31" s="313">
        <f t="shared" si="10"/>
        <v>0</v>
      </c>
      <c r="N31" s="313">
        <f t="shared" si="10"/>
        <v>0</v>
      </c>
      <c r="O31" s="313">
        <f t="shared" si="10"/>
        <v>0</v>
      </c>
      <c r="P31" s="313">
        <f t="shared" si="10"/>
        <v>0</v>
      </c>
      <c r="Q31" s="107"/>
    </row>
    <row r="32" spans="2:16" ht="15.75">
      <c r="B32" s="31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3"/>
    </row>
    <row r="33" spans="2:16" ht="15.75">
      <c r="B33" s="283"/>
      <c r="C33" s="315"/>
      <c r="D33" s="317"/>
      <c r="E33" s="316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3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2/2014.(I.24.) Önkormányzati költségvetési rendelethez&amp;R&amp;D</oddHead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PageLayoutView="0" workbookViewId="0" topLeftCell="A1">
      <selection activeCell="E42" sqref="E42"/>
    </sheetView>
  </sheetViews>
  <sheetFormatPr defaultColWidth="9.140625" defaultRowHeight="12.75"/>
  <cols>
    <col min="1" max="1" width="5.28125" style="109" customWidth="1"/>
    <col min="2" max="2" width="5.00390625" style="39" customWidth="1"/>
    <col min="3" max="3" width="50.421875" style="39" customWidth="1"/>
    <col min="4" max="4" width="10.8515625" style="39" hidden="1" customWidth="1"/>
    <col min="5" max="5" width="10.8515625" style="39" bestFit="1" customWidth="1"/>
    <col min="6" max="6" width="14.57421875" style="39" customWidth="1"/>
    <col min="7" max="7" width="14.7109375" style="39" customWidth="1"/>
    <col min="8" max="8" width="14.7109375" style="270" customWidth="1"/>
    <col min="9" max="11" width="14.7109375" style="39" customWidth="1"/>
    <col min="12" max="12" width="9.140625" style="39" customWidth="1"/>
    <col min="13" max="13" width="10.28125" style="39" bestFit="1" customWidth="1"/>
    <col min="15" max="15" width="9.140625" style="39" customWidth="1"/>
    <col min="16" max="16" width="10.421875" style="39" bestFit="1" customWidth="1"/>
    <col min="17" max="17" width="9.140625" style="39" customWidth="1"/>
    <col min="18" max="20" width="10.140625" style="39" bestFit="1" customWidth="1"/>
    <col min="21" max="16384" width="9.140625" style="39" customWidth="1"/>
  </cols>
  <sheetData>
    <row r="1" spans="2:11" ht="15.75">
      <c r="B1" s="43"/>
      <c r="C1" s="43"/>
      <c r="D1" s="462" t="s">
        <v>420</v>
      </c>
      <c r="E1" s="41" t="s">
        <v>376</v>
      </c>
      <c r="F1" s="41" t="s">
        <v>376</v>
      </c>
      <c r="G1" s="41"/>
      <c r="H1" s="459"/>
      <c r="I1" s="41"/>
      <c r="J1" s="41"/>
      <c r="K1" s="41"/>
    </row>
    <row r="2" spans="2:11" ht="15.75">
      <c r="B2" s="40"/>
      <c r="C2" s="40" t="s">
        <v>121</v>
      </c>
      <c r="D2" s="462" t="s">
        <v>64</v>
      </c>
      <c r="E2" s="41" t="s">
        <v>64</v>
      </c>
      <c r="F2" s="41" t="s">
        <v>486</v>
      </c>
      <c r="G2" s="41"/>
      <c r="H2" s="459"/>
      <c r="I2" s="41"/>
      <c r="J2" s="41"/>
      <c r="K2" s="41"/>
    </row>
    <row r="3" spans="1:11" s="1" customFormat="1" ht="15.75">
      <c r="A3" s="11" t="s">
        <v>11</v>
      </c>
      <c r="B3" s="40" t="s">
        <v>12</v>
      </c>
      <c r="C3" s="43" t="s">
        <v>13</v>
      </c>
      <c r="E3" s="8" t="s">
        <v>14</v>
      </c>
      <c r="F3" s="8" t="s">
        <v>378</v>
      </c>
      <c r="G3" s="8"/>
      <c r="H3" s="460"/>
      <c r="I3" s="8"/>
      <c r="J3" s="8"/>
      <c r="K3" s="8"/>
    </row>
    <row r="4" spans="2:4" ht="15.75">
      <c r="B4" s="40"/>
      <c r="C4" s="38"/>
      <c r="D4" s="38"/>
    </row>
    <row r="5" spans="1:11" ht="15.75">
      <c r="A5" s="109" t="s">
        <v>20</v>
      </c>
      <c r="B5" s="40"/>
      <c r="C5" s="40" t="s">
        <v>266</v>
      </c>
      <c r="D5" s="110">
        <f>SUM(D7:D12)</f>
        <v>535990</v>
      </c>
      <c r="E5" s="110">
        <f>SUM(E7:E12)</f>
        <v>514345</v>
      </c>
      <c r="F5" s="110">
        <f>SUM(F7:F12)</f>
        <v>515245</v>
      </c>
      <c r="G5" s="110"/>
      <c r="H5" s="110"/>
      <c r="I5" s="110"/>
      <c r="J5" s="110"/>
      <c r="K5" s="110"/>
    </row>
    <row r="6" spans="2:4" ht="15.75">
      <c r="B6" s="40"/>
      <c r="C6" s="38"/>
      <c r="D6" s="38"/>
    </row>
    <row r="7" spans="1:16" ht="24.75" customHeight="1">
      <c r="A7" s="109" t="s">
        <v>21</v>
      </c>
      <c r="B7" s="40" t="s">
        <v>122</v>
      </c>
      <c r="C7" s="38" t="s">
        <v>41</v>
      </c>
      <c r="D7" s="38">
        <v>70809</v>
      </c>
      <c r="E7" s="11">
        <f>+4_mell!G21</f>
        <v>18936</v>
      </c>
      <c r="F7" s="11">
        <f>+4_mell!G22</f>
        <v>18936</v>
      </c>
      <c r="G7" s="11"/>
      <c r="H7" s="461"/>
      <c r="I7" s="11"/>
      <c r="J7" s="11"/>
      <c r="K7" s="11"/>
      <c r="P7" s="44"/>
    </row>
    <row r="8" spans="1:11" ht="24.75" customHeight="1">
      <c r="A8" s="109" t="s">
        <v>22</v>
      </c>
      <c r="B8" s="40" t="s">
        <v>129</v>
      </c>
      <c r="C8" s="38" t="s">
        <v>335</v>
      </c>
      <c r="D8" s="38">
        <v>145321</v>
      </c>
      <c r="E8" s="11">
        <f>+4_mell!G30</f>
        <v>167707</v>
      </c>
      <c r="F8" s="11">
        <f>+4_mell!G31</f>
        <v>167707</v>
      </c>
      <c r="G8" s="11"/>
      <c r="H8" s="461"/>
      <c r="I8" s="11"/>
      <c r="J8" s="11"/>
      <c r="K8" s="11"/>
    </row>
    <row r="9" spans="1:11" ht="24.75" customHeight="1">
      <c r="A9" s="109" t="s">
        <v>23</v>
      </c>
      <c r="B9" s="40" t="s">
        <v>127</v>
      </c>
      <c r="C9" s="111" t="s">
        <v>130</v>
      </c>
      <c r="D9" s="111">
        <v>119002</v>
      </c>
      <c r="E9" s="11">
        <f>+4_mell!G11</f>
        <v>126268</v>
      </c>
      <c r="F9" s="15">
        <f>+4_mell!G12</f>
        <v>126268</v>
      </c>
      <c r="G9" s="11"/>
      <c r="H9" s="461"/>
      <c r="I9" s="11"/>
      <c r="J9" s="11"/>
      <c r="K9" s="11"/>
    </row>
    <row r="10" spans="1:11" ht="24.75" customHeight="1">
      <c r="A10" s="109" t="s">
        <v>24</v>
      </c>
      <c r="B10" s="40" t="s">
        <v>128</v>
      </c>
      <c r="C10" s="38" t="str">
        <f>'[1]2mell_2'!A110</f>
        <v>Városellátó Szervezet</v>
      </c>
      <c r="D10" s="38">
        <v>182110</v>
      </c>
      <c r="E10" s="11">
        <f>+4_mell!G6</f>
        <v>179916</v>
      </c>
      <c r="F10" s="11">
        <f>+4_mell!G7</f>
        <v>180816</v>
      </c>
      <c r="G10" s="11"/>
      <c r="H10" s="461"/>
      <c r="I10" s="11"/>
      <c r="J10" s="11"/>
      <c r="K10" s="11"/>
    </row>
    <row r="11" spans="1:11" ht="24.75" customHeight="1">
      <c r="A11" s="109" t="s">
        <v>25</v>
      </c>
      <c r="B11" s="40" t="s">
        <v>131</v>
      </c>
      <c r="C11" s="111" t="str">
        <f>+'[2]kiadás'!B24</f>
        <v>Városi Művelődési Központ és Könyvtár</v>
      </c>
      <c r="D11" s="111">
        <v>18748</v>
      </c>
      <c r="E11" s="11">
        <f>+4_mell!G16</f>
        <v>21518</v>
      </c>
      <c r="F11" s="11">
        <f>+4_mell!G17</f>
        <v>21518</v>
      </c>
      <c r="G11" s="11"/>
      <c r="H11" s="461"/>
      <c r="I11" s="11"/>
      <c r="J11" s="11"/>
      <c r="K11" s="11"/>
    </row>
    <row r="12" ht="24.75" customHeight="1"/>
    <row r="13" spans="1:11" ht="24.75" customHeight="1">
      <c r="A13" s="109" t="s">
        <v>26</v>
      </c>
      <c r="B13" s="40" t="s">
        <v>132</v>
      </c>
      <c r="C13" s="40" t="s">
        <v>136</v>
      </c>
      <c r="D13" s="110">
        <f>SUM(D14:D15)</f>
        <v>184300</v>
      </c>
      <c r="E13" s="110">
        <f>SUM(E14:E15)</f>
        <v>118339</v>
      </c>
      <c r="F13" s="110">
        <f>SUM(F14:F15)</f>
        <v>118339</v>
      </c>
      <c r="G13" s="110"/>
      <c r="H13" s="110"/>
      <c r="I13" s="110"/>
      <c r="J13" s="110"/>
      <c r="K13" s="110"/>
    </row>
    <row r="14" spans="1:11" ht="24.75" customHeight="1">
      <c r="A14" s="109" t="s">
        <v>27</v>
      </c>
      <c r="B14" s="40"/>
      <c r="C14" s="38" t="s">
        <v>137</v>
      </c>
      <c r="D14" s="38">
        <v>37474</v>
      </c>
      <c r="E14" s="46">
        <f>+6_mell!F31</f>
        <v>23786.5</v>
      </c>
      <c r="F14" s="46">
        <f>+6_mell!F31</f>
        <v>23786.5</v>
      </c>
      <c r="G14" s="46"/>
      <c r="H14" s="110"/>
      <c r="I14" s="46"/>
      <c r="J14" s="46"/>
      <c r="K14" s="46"/>
    </row>
    <row r="15" spans="1:11" ht="24.75" customHeight="1">
      <c r="A15" s="109" t="s">
        <v>28</v>
      </c>
      <c r="B15" s="40"/>
      <c r="C15" s="38" t="s">
        <v>138</v>
      </c>
      <c r="D15" s="38">
        <v>146826</v>
      </c>
      <c r="E15" s="46">
        <f>+6_mell!G31</f>
        <v>94552.5</v>
      </c>
      <c r="F15" s="46">
        <f>+6_mell!G31</f>
        <v>94552.5</v>
      </c>
      <c r="G15" s="46"/>
      <c r="H15" s="110"/>
      <c r="I15" s="46"/>
      <c r="J15" s="46"/>
      <c r="K15" s="46"/>
    </row>
    <row r="16" spans="2:4" ht="24.75" customHeight="1">
      <c r="B16" s="40"/>
      <c r="C16" s="38"/>
      <c r="D16" s="38"/>
    </row>
    <row r="17" spans="1:11" ht="24.75" customHeight="1">
      <c r="A17" s="109" t="s">
        <v>29</v>
      </c>
      <c r="B17" s="40" t="s">
        <v>133</v>
      </c>
      <c r="C17" s="40" t="s">
        <v>139</v>
      </c>
      <c r="D17" s="40">
        <v>18550</v>
      </c>
      <c r="E17" s="15">
        <f>+5_mell!C17</f>
        <v>26169</v>
      </c>
      <c r="F17" s="15">
        <f>+5_mell!D17</f>
        <v>26169</v>
      </c>
      <c r="G17" s="15"/>
      <c r="H17" s="461"/>
      <c r="I17" s="15"/>
      <c r="J17" s="15"/>
      <c r="K17" s="15"/>
    </row>
    <row r="18" spans="2:4" ht="24.75" customHeight="1">
      <c r="B18" s="40"/>
      <c r="C18" s="40"/>
      <c r="D18" s="40"/>
    </row>
    <row r="19" spans="1:11" ht="24.75" customHeight="1">
      <c r="A19" s="109" t="s">
        <v>30</v>
      </c>
      <c r="B19" s="40" t="s">
        <v>134</v>
      </c>
      <c r="C19" s="40" t="s">
        <v>140</v>
      </c>
      <c r="D19" s="40">
        <v>3000</v>
      </c>
      <c r="E19" s="15">
        <f>+5_mell!C21</f>
        <v>3000</v>
      </c>
      <c r="F19" s="15">
        <f>+5_mell!D19</f>
        <v>3000</v>
      </c>
      <c r="G19" s="15"/>
      <c r="H19" s="461"/>
      <c r="I19" s="15"/>
      <c r="J19" s="15"/>
      <c r="K19" s="15"/>
    </row>
    <row r="20" spans="2:4" ht="24.75" customHeight="1">
      <c r="B20" s="40"/>
      <c r="C20" s="38"/>
      <c r="D20" s="38"/>
    </row>
    <row r="21" spans="1:11" ht="24.75" customHeight="1">
      <c r="A21" s="109" t="s">
        <v>31</v>
      </c>
      <c r="B21" s="40" t="s">
        <v>135</v>
      </c>
      <c r="C21" s="40" t="s">
        <v>141</v>
      </c>
      <c r="D21" s="110">
        <f>SUM(D22:D23)</f>
        <v>0</v>
      </c>
      <c r="E21" s="110">
        <f>SUM(E22:E23)</f>
        <v>35878</v>
      </c>
      <c r="F21" s="110">
        <f>SUM(F22:F23)</f>
        <v>61190</v>
      </c>
      <c r="G21" s="468"/>
      <c r="H21" s="110"/>
      <c r="I21" s="110"/>
      <c r="J21" s="110"/>
      <c r="K21" s="110"/>
    </row>
    <row r="22" spans="1:11" ht="24.75" customHeight="1">
      <c r="A22" s="109" t="s">
        <v>32</v>
      </c>
      <c r="B22" s="40"/>
      <c r="C22" s="38" t="s">
        <v>142</v>
      </c>
      <c r="D22" s="38">
        <v>0</v>
      </c>
      <c r="E22" s="44">
        <f>+7_mell!C13</f>
        <v>22241</v>
      </c>
      <c r="F22" s="44">
        <f>+7_mell!D13</f>
        <v>47553</v>
      </c>
      <c r="G22" s="44"/>
      <c r="I22" s="44"/>
      <c r="J22" s="44"/>
      <c r="K22" s="44"/>
    </row>
    <row r="23" spans="1:6" ht="24.75" customHeight="1">
      <c r="A23" s="109" t="s">
        <v>33</v>
      </c>
      <c r="B23" s="40"/>
      <c r="C23" s="38" t="s">
        <v>143</v>
      </c>
      <c r="D23" s="38">
        <v>0</v>
      </c>
      <c r="E23" s="39">
        <f>+7_mell!C19</f>
        <v>13637</v>
      </c>
      <c r="F23" s="39">
        <f>+7_mell!D19</f>
        <v>13637</v>
      </c>
    </row>
    <row r="24" spans="2:10" ht="12" customHeight="1">
      <c r="B24" s="40"/>
      <c r="C24" s="38"/>
      <c r="D24" s="38"/>
      <c r="J24" s="38"/>
    </row>
    <row r="25" spans="1:10" ht="15.75" hidden="1">
      <c r="A25" s="109" t="s">
        <v>34</v>
      </c>
      <c r="B25" s="40" t="s">
        <v>415</v>
      </c>
      <c r="C25" s="40" t="s">
        <v>416</v>
      </c>
      <c r="D25" s="40">
        <f>SUM(D26:D28)</f>
        <v>25458</v>
      </c>
      <c r="E25" s="40">
        <f>SUM(E26:E28)</f>
        <v>0</v>
      </c>
      <c r="F25" s="40"/>
      <c r="J25" s="38"/>
    </row>
    <row r="26" spans="2:4" ht="15.75" hidden="1">
      <c r="B26" s="40"/>
      <c r="C26" s="38" t="s">
        <v>417</v>
      </c>
      <c r="D26" s="38">
        <v>1050</v>
      </c>
    </row>
    <row r="27" spans="2:4" ht="15.75" hidden="1">
      <c r="B27" s="40"/>
      <c r="C27" s="38" t="s">
        <v>418</v>
      </c>
      <c r="D27" s="38">
        <v>16272</v>
      </c>
    </row>
    <row r="28" spans="2:4" ht="15.75" hidden="1">
      <c r="B28" s="40"/>
      <c r="C28" s="38" t="s">
        <v>419</v>
      </c>
      <c r="D28" s="38">
        <v>8136</v>
      </c>
    </row>
    <row r="29" spans="2:4" ht="15.75" hidden="1">
      <c r="B29" s="40"/>
      <c r="C29" s="38"/>
      <c r="D29" s="38"/>
    </row>
    <row r="30" spans="2:4" ht="15.75" hidden="1">
      <c r="B30" s="40"/>
      <c r="C30" s="38"/>
      <c r="D30" s="38"/>
    </row>
    <row r="31" spans="1:11" s="1" customFormat="1" ht="24.75" customHeight="1">
      <c r="A31" s="109" t="s">
        <v>34</v>
      </c>
      <c r="C31" s="40" t="s">
        <v>144</v>
      </c>
      <c r="D31" s="12">
        <f>+D21+D19+D17+D13+D5+D25</f>
        <v>767298</v>
      </c>
      <c r="E31" s="12">
        <f>+E21+E19+E17+E13+E5+E25</f>
        <v>697731</v>
      </c>
      <c r="F31" s="12">
        <f>+F21+F19+F17+F13+F5+F25</f>
        <v>723943</v>
      </c>
      <c r="G31" s="12"/>
      <c r="H31" s="17"/>
      <c r="I31" s="12"/>
      <c r="J31" s="12"/>
      <c r="K31" s="12"/>
    </row>
    <row r="32" ht="24.75" customHeight="1"/>
    <row r="33" spans="1:13" ht="24.75" customHeight="1">
      <c r="A33" s="109" t="s">
        <v>35</v>
      </c>
      <c r="B33" s="40"/>
      <c r="C33" s="40" t="s">
        <v>38</v>
      </c>
      <c r="D33" s="46"/>
      <c r="E33" s="46">
        <f>+E31</f>
        <v>697731</v>
      </c>
      <c r="F33" s="46">
        <f>+F31</f>
        <v>723943</v>
      </c>
      <c r="G33" s="46"/>
      <c r="H33" s="110"/>
      <c r="I33" s="46"/>
      <c r="J33" s="46"/>
      <c r="K33" s="46"/>
      <c r="M33" s="44"/>
    </row>
    <row r="34" spans="1:11" ht="24.75" customHeight="1">
      <c r="A34" s="109" t="s">
        <v>36</v>
      </c>
      <c r="B34" s="40"/>
      <c r="C34" s="38" t="s">
        <v>145</v>
      </c>
      <c r="D34" s="38"/>
      <c r="E34" s="44">
        <f>+1_mell!E47</f>
        <v>697731</v>
      </c>
      <c r="F34" s="44">
        <f>+1_mell!F47</f>
        <v>723943</v>
      </c>
      <c r="G34" s="44"/>
      <c r="I34" s="44"/>
      <c r="J34" s="44"/>
      <c r="K34" s="44"/>
    </row>
    <row r="36" spans="5:11" ht="15">
      <c r="E36" s="270">
        <f>+E34-E33</f>
        <v>0</v>
      </c>
      <c r="F36" s="270"/>
      <c r="G36" s="270"/>
      <c r="I36" s="270"/>
      <c r="J36" s="270"/>
      <c r="K36" s="270"/>
    </row>
    <row r="38" spans="5:11" ht="15">
      <c r="E38" s="270" t="s">
        <v>441</v>
      </c>
      <c r="F38" s="270"/>
      <c r="G38" s="44"/>
      <c r="I38" s="44"/>
      <c r="J38" s="44"/>
      <c r="K38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2/2014.(I.24.) Önkormányzati költségvetési rendelethez (3 )&amp;R&amp;D</oddHeader>
    <oddFooter>&amp;L( 3 ) a 3/2014.(II.11.) önkormányzati rendelettel módosított szöveg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I39" sqref="I39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78"/>
      <c r="P1" s="778"/>
    </row>
    <row r="2" spans="2:16" ht="15.75">
      <c r="B2" s="779" t="s">
        <v>356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</row>
    <row r="3" spans="2:16" ht="15.75">
      <c r="B3" s="779" t="s">
        <v>423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</row>
    <row r="4" spans="2:16" ht="15.7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5" t="s">
        <v>296</v>
      </c>
    </row>
    <row r="5" spans="1:16" ht="16.5" thickBot="1">
      <c r="A5" t="s">
        <v>11</v>
      </c>
      <c r="B5" s="450" t="s">
        <v>12</v>
      </c>
      <c r="C5" s="451" t="s">
        <v>13</v>
      </c>
      <c r="D5" s="451" t="s">
        <v>14</v>
      </c>
      <c r="E5" s="451" t="s">
        <v>15</v>
      </c>
      <c r="F5" s="451" t="s">
        <v>16</v>
      </c>
      <c r="G5" s="451" t="s">
        <v>17</v>
      </c>
      <c r="H5" s="451" t="s">
        <v>18</v>
      </c>
      <c r="I5" s="451" t="s">
        <v>59</v>
      </c>
      <c r="J5" s="451" t="s">
        <v>366</v>
      </c>
      <c r="K5" s="451" t="s">
        <v>360</v>
      </c>
      <c r="L5" s="451" t="s">
        <v>361</v>
      </c>
      <c r="M5" s="451" t="s">
        <v>363</v>
      </c>
      <c r="N5" s="451" t="s">
        <v>367</v>
      </c>
      <c r="O5" s="451" t="s">
        <v>368</v>
      </c>
      <c r="P5" s="451" t="s">
        <v>369</v>
      </c>
    </row>
    <row r="6" spans="1:16" ht="24.75" thickBot="1">
      <c r="A6" t="s">
        <v>20</v>
      </c>
      <c r="B6" s="286" t="s">
        <v>297</v>
      </c>
      <c r="C6" s="287" t="s">
        <v>63</v>
      </c>
      <c r="D6" s="287" t="s">
        <v>298</v>
      </c>
      <c r="E6" s="287" t="s">
        <v>299</v>
      </c>
      <c r="F6" s="287" t="s">
        <v>300</v>
      </c>
      <c r="G6" s="287" t="s">
        <v>301</v>
      </c>
      <c r="H6" s="287" t="s">
        <v>302</v>
      </c>
      <c r="I6" s="287" t="s">
        <v>303</v>
      </c>
      <c r="J6" s="287" t="s">
        <v>304</v>
      </c>
      <c r="K6" s="287" t="s">
        <v>305</v>
      </c>
      <c r="L6" s="287" t="s">
        <v>306</v>
      </c>
      <c r="M6" s="287" t="s">
        <v>307</v>
      </c>
      <c r="N6" s="287" t="s">
        <v>308</v>
      </c>
      <c r="O6" s="287" t="s">
        <v>309</v>
      </c>
      <c r="P6" s="288" t="s">
        <v>310</v>
      </c>
    </row>
    <row r="7" spans="1:16" ht="13.5" thickBot="1">
      <c r="A7" t="s">
        <v>21</v>
      </c>
      <c r="B7" s="289" t="s">
        <v>20</v>
      </c>
      <c r="C7" s="774" t="s">
        <v>93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6"/>
    </row>
    <row r="8" spans="1:16" ht="12.75">
      <c r="A8" t="s">
        <v>22</v>
      </c>
      <c r="B8" s="292" t="s">
        <v>21</v>
      </c>
      <c r="C8" s="293" t="s">
        <v>311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>
        <f>SUM(D8:O8)</f>
        <v>0</v>
      </c>
    </row>
    <row r="9" spans="1:19" ht="12.75">
      <c r="A9" t="s">
        <v>23</v>
      </c>
      <c r="B9" s="296" t="s">
        <v>22</v>
      </c>
      <c r="C9" s="297" t="s">
        <v>312</v>
      </c>
      <c r="D9" s="298">
        <v>7147</v>
      </c>
      <c r="E9" s="298">
        <f>+D9</f>
        <v>7147</v>
      </c>
      <c r="F9" s="298">
        <f aca="true" t="shared" si="0" ref="F9:N9">+E9</f>
        <v>7147</v>
      </c>
      <c r="G9" s="298">
        <f t="shared" si="0"/>
        <v>7147</v>
      </c>
      <c r="H9" s="298">
        <f t="shared" si="0"/>
        <v>7147</v>
      </c>
      <c r="I9" s="298">
        <f t="shared" si="0"/>
        <v>7147</v>
      </c>
      <c r="J9" s="298">
        <f t="shared" si="0"/>
        <v>7147</v>
      </c>
      <c r="K9" s="298">
        <f t="shared" si="0"/>
        <v>7147</v>
      </c>
      <c r="L9" s="298">
        <f t="shared" si="0"/>
        <v>7147</v>
      </c>
      <c r="M9" s="298">
        <f t="shared" si="0"/>
        <v>7147</v>
      </c>
      <c r="N9" s="298">
        <f t="shared" si="0"/>
        <v>7147</v>
      </c>
      <c r="O9" s="298">
        <f>+N9+4</f>
        <v>7151</v>
      </c>
      <c r="P9" s="299">
        <f>SUM(D9:O9)</f>
        <v>85768</v>
      </c>
      <c r="S9" s="107"/>
    </row>
    <row r="10" spans="1:16" ht="12.75">
      <c r="A10" t="s">
        <v>24</v>
      </c>
      <c r="B10" s="296" t="s">
        <v>23</v>
      </c>
      <c r="C10" s="300" t="s">
        <v>313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299">
        <f aca="true" t="shared" si="1" ref="P10:P16">SUM(D10:O10)</f>
        <v>0</v>
      </c>
    </row>
    <row r="11" spans="1:16" ht="12.75">
      <c r="A11" t="s">
        <v>25</v>
      </c>
      <c r="B11" s="296" t="s">
        <v>24</v>
      </c>
      <c r="C11" s="297" t="s">
        <v>314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>
        <f t="shared" si="1"/>
        <v>0</v>
      </c>
    </row>
    <row r="12" spans="1:16" ht="12.75">
      <c r="A12" t="s">
        <v>26</v>
      </c>
      <c r="B12" s="296" t="s">
        <v>25</v>
      </c>
      <c r="C12" s="297" t="s">
        <v>315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9">
        <f t="shared" si="1"/>
        <v>0</v>
      </c>
    </row>
    <row r="13" spans="1:16" ht="12.75">
      <c r="A13" t="s">
        <v>27</v>
      </c>
      <c r="B13" s="296" t="s">
        <v>26</v>
      </c>
      <c r="C13" s="297" t="s">
        <v>316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9">
        <f t="shared" si="1"/>
        <v>0</v>
      </c>
    </row>
    <row r="14" spans="1:16" ht="12.75">
      <c r="A14" t="s">
        <v>28</v>
      </c>
      <c r="B14" s="296" t="s">
        <v>27</v>
      </c>
      <c r="C14" s="297" t="s">
        <v>317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>
        <f t="shared" si="1"/>
        <v>0</v>
      </c>
    </row>
    <row r="15" spans="1:16" ht="22.5">
      <c r="A15" t="s">
        <v>29</v>
      </c>
      <c r="B15" s="296" t="s">
        <v>28</v>
      </c>
      <c r="C15" s="302" t="s">
        <v>318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>
        <f t="shared" si="1"/>
        <v>0</v>
      </c>
    </row>
    <row r="16" spans="1:19" ht="13.5" thickBot="1">
      <c r="A16" t="s">
        <v>30</v>
      </c>
      <c r="B16" s="296" t="s">
        <v>29</v>
      </c>
      <c r="C16" s="297" t="s">
        <v>219</v>
      </c>
      <c r="D16" s="298">
        <f>+D30-D8-D9-D10-D11-D12-D13-D14</f>
        <v>7846</v>
      </c>
      <c r="E16" s="298">
        <f aca="true" t="shared" si="2" ref="E16:O16">+E30-E8-E9-E10-E11-E12-E13-E14</f>
        <v>7846</v>
      </c>
      <c r="F16" s="298">
        <f t="shared" si="2"/>
        <v>7846</v>
      </c>
      <c r="G16" s="298">
        <f t="shared" si="2"/>
        <v>7846</v>
      </c>
      <c r="H16" s="298">
        <f t="shared" si="2"/>
        <v>8746</v>
      </c>
      <c r="I16" s="298">
        <f t="shared" si="2"/>
        <v>7846</v>
      </c>
      <c r="J16" s="298">
        <f t="shared" si="2"/>
        <v>7846</v>
      </c>
      <c r="K16" s="298">
        <f t="shared" si="2"/>
        <v>7846</v>
      </c>
      <c r="L16" s="298">
        <f t="shared" si="2"/>
        <v>7846</v>
      </c>
      <c r="M16" s="298">
        <f t="shared" si="2"/>
        <v>7846</v>
      </c>
      <c r="N16" s="298">
        <f t="shared" si="2"/>
        <v>7846</v>
      </c>
      <c r="O16" s="298">
        <f t="shared" si="2"/>
        <v>7842</v>
      </c>
      <c r="P16" s="299">
        <f t="shared" si="1"/>
        <v>95048</v>
      </c>
      <c r="Q16" s="107"/>
      <c r="S16" s="107"/>
    </row>
    <row r="17" spans="1:18" ht="13.5" thickBot="1">
      <c r="A17" t="s">
        <v>31</v>
      </c>
      <c r="B17" s="289" t="s">
        <v>30</v>
      </c>
      <c r="C17" s="304" t="s">
        <v>319</v>
      </c>
      <c r="D17" s="305">
        <f>SUM(D8:D16)</f>
        <v>14993</v>
      </c>
      <c r="E17" s="305">
        <f aca="true" t="shared" si="3" ref="E17:P17">SUM(E8:E16)</f>
        <v>14993</v>
      </c>
      <c r="F17" s="305">
        <f t="shared" si="3"/>
        <v>14993</v>
      </c>
      <c r="G17" s="305">
        <f t="shared" si="3"/>
        <v>14993</v>
      </c>
      <c r="H17" s="305">
        <f t="shared" si="3"/>
        <v>15893</v>
      </c>
      <c r="I17" s="305">
        <f t="shared" si="3"/>
        <v>14993</v>
      </c>
      <c r="J17" s="305">
        <f t="shared" si="3"/>
        <v>14993</v>
      </c>
      <c r="K17" s="305">
        <f t="shared" si="3"/>
        <v>14993</v>
      </c>
      <c r="L17" s="305">
        <f t="shared" si="3"/>
        <v>14993</v>
      </c>
      <c r="M17" s="305">
        <f t="shared" si="3"/>
        <v>14993</v>
      </c>
      <c r="N17" s="305">
        <f t="shared" si="3"/>
        <v>14993</v>
      </c>
      <c r="O17" s="305">
        <f t="shared" si="3"/>
        <v>14993</v>
      </c>
      <c r="P17" s="305">
        <f t="shared" si="3"/>
        <v>180816</v>
      </c>
      <c r="Q17" s="710"/>
      <c r="R17" s="318"/>
    </row>
    <row r="18" spans="1:16" ht="13.5" thickBot="1">
      <c r="A18" t="s">
        <v>32</v>
      </c>
      <c r="B18" s="289" t="s">
        <v>31</v>
      </c>
      <c r="C18" s="774" t="s">
        <v>121</v>
      </c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7"/>
    </row>
    <row r="19" spans="1:19" ht="12.75">
      <c r="A19" t="s">
        <v>33</v>
      </c>
      <c r="B19" s="307" t="s">
        <v>32</v>
      </c>
      <c r="C19" s="308" t="s">
        <v>212</v>
      </c>
      <c r="D19" s="301">
        <v>3508</v>
      </c>
      <c r="E19" s="301">
        <f>+D19</f>
        <v>3508</v>
      </c>
      <c r="F19" s="301">
        <f aca="true" t="shared" si="4" ref="F19:N19">+E19</f>
        <v>3508</v>
      </c>
      <c r="G19" s="301">
        <f t="shared" si="4"/>
        <v>3508</v>
      </c>
      <c r="H19" s="301">
        <f t="shared" si="4"/>
        <v>3508</v>
      </c>
      <c r="I19" s="301">
        <f t="shared" si="4"/>
        <v>3508</v>
      </c>
      <c r="J19" s="301">
        <f t="shared" si="4"/>
        <v>3508</v>
      </c>
      <c r="K19" s="301">
        <f t="shared" si="4"/>
        <v>3508</v>
      </c>
      <c r="L19" s="301">
        <f t="shared" si="4"/>
        <v>3508</v>
      </c>
      <c r="M19" s="301">
        <f t="shared" si="4"/>
        <v>3508</v>
      </c>
      <c r="N19" s="301">
        <f t="shared" si="4"/>
        <v>3508</v>
      </c>
      <c r="O19" s="301">
        <f>+N19+1</f>
        <v>3509</v>
      </c>
      <c r="P19" s="309">
        <f>SUM(D19:O19)</f>
        <v>42097</v>
      </c>
      <c r="S19" s="107"/>
    </row>
    <row r="20" spans="1:19" ht="24.75" customHeight="1">
      <c r="A20" t="s">
        <v>34</v>
      </c>
      <c r="B20" s="296" t="s">
        <v>33</v>
      </c>
      <c r="C20" s="302" t="s">
        <v>320</v>
      </c>
      <c r="D20" s="298">
        <v>948</v>
      </c>
      <c r="E20" s="298">
        <f>+D20</f>
        <v>948</v>
      </c>
      <c r="F20" s="298">
        <f aca="true" t="shared" si="5" ref="F20:N20">+E20</f>
        <v>948</v>
      </c>
      <c r="G20" s="298">
        <f t="shared" si="5"/>
        <v>948</v>
      </c>
      <c r="H20" s="298">
        <f t="shared" si="5"/>
        <v>948</v>
      </c>
      <c r="I20" s="298">
        <f t="shared" si="5"/>
        <v>948</v>
      </c>
      <c r="J20" s="298">
        <f t="shared" si="5"/>
        <v>948</v>
      </c>
      <c r="K20" s="298">
        <f t="shared" si="5"/>
        <v>948</v>
      </c>
      <c r="L20" s="298">
        <f t="shared" si="5"/>
        <v>948</v>
      </c>
      <c r="M20" s="298">
        <f t="shared" si="5"/>
        <v>948</v>
      </c>
      <c r="N20" s="298">
        <f t="shared" si="5"/>
        <v>948</v>
      </c>
      <c r="O20" s="298">
        <f>+N20</f>
        <v>948</v>
      </c>
      <c r="P20" s="309">
        <f>SUM(D20:O20)</f>
        <v>11376</v>
      </c>
      <c r="S20" s="107"/>
    </row>
    <row r="21" spans="1:19" ht="12.75">
      <c r="A21" t="s">
        <v>35</v>
      </c>
      <c r="B21" s="296" t="s">
        <v>34</v>
      </c>
      <c r="C21" s="297" t="s">
        <v>248</v>
      </c>
      <c r="D21" s="298">
        <v>10537</v>
      </c>
      <c r="E21" s="298">
        <f>+D21</f>
        <v>10537</v>
      </c>
      <c r="F21" s="298">
        <f aca="true" t="shared" si="6" ref="F21:N21">+E21</f>
        <v>10537</v>
      </c>
      <c r="G21" s="298">
        <f t="shared" si="6"/>
        <v>10537</v>
      </c>
      <c r="H21" s="298">
        <f>+G21+900</f>
        <v>11437</v>
      </c>
      <c r="I21" s="298">
        <f>+F21</f>
        <v>10537</v>
      </c>
      <c r="J21" s="298">
        <f t="shared" si="6"/>
        <v>10537</v>
      </c>
      <c r="K21" s="298">
        <f t="shared" si="6"/>
        <v>10537</v>
      </c>
      <c r="L21" s="298">
        <f t="shared" si="6"/>
        <v>10537</v>
      </c>
      <c r="M21" s="298">
        <f t="shared" si="6"/>
        <v>10537</v>
      </c>
      <c r="N21" s="298">
        <f t="shared" si="6"/>
        <v>10537</v>
      </c>
      <c r="O21" s="298">
        <f>+N21-1</f>
        <v>10536</v>
      </c>
      <c r="P21" s="309">
        <f aca="true" t="shared" si="7" ref="P21:P28">SUM(D21:O21)</f>
        <v>127343</v>
      </c>
      <c r="S21" s="107"/>
    </row>
    <row r="22" spans="1:16" ht="12.75">
      <c r="A22" t="s">
        <v>36</v>
      </c>
      <c r="B22" s="296" t="s">
        <v>35</v>
      </c>
      <c r="C22" s="297" t="s">
        <v>321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309">
        <f t="shared" si="7"/>
        <v>0</v>
      </c>
    </row>
    <row r="23" spans="1:16" ht="12.75">
      <c r="A23" t="s">
        <v>37</v>
      </c>
      <c r="B23" s="296" t="s">
        <v>36</v>
      </c>
      <c r="C23" s="297" t="s">
        <v>322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309">
        <f t="shared" si="7"/>
        <v>0</v>
      </c>
    </row>
    <row r="24" spans="1:16" ht="12.75">
      <c r="A24" t="s">
        <v>40</v>
      </c>
      <c r="B24" s="296" t="s">
        <v>37</v>
      </c>
      <c r="C24" s="297" t="s">
        <v>323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309">
        <f t="shared" si="7"/>
        <v>0</v>
      </c>
    </row>
    <row r="25" spans="1:16" ht="21" customHeight="1">
      <c r="A25" t="s">
        <v>42</v>
      </c>
      <c r="B25" s="296" t="s">
        <v>40</v>
      </c>
      <c r="C25" s="302" t="s">
        <v>324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309">
        <f t="shared" si="7"/>
        <v>0</v>
      </c>
    </row>
    <row r="26" spans="1:16" ht="12.75">
      <c r="A26" t="s">
        <v>43</v>
      </c>
      <c r="B26" s="296" t="s">
        <v>42</v>
      </c>
      <c r="C26" s="297" t="s">
        <v>325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309">
        <f t="shared" si="7"/>
        <v>0</v>
      </c>
    </row>
    <row r="27" spans="1:16" ht="12.75">
      <c r="A27" t="s">
        <v>44</v>
      </c>
      <c r="B27" s="296" t="s">
        <v>43</v>
      </c>
      <c r="C27" s="297" t="s">
        <v>326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309">
        <f t="shared" si="7"/>
        <v>0</v>
      </c>
    </row>
    <row r="28" spans="1:16" ht="12.75">
      <c r="A28" t="s">
        <v>45</v>
      </c>
      <c r="B28" s="296" t="s">
        <v>44</v>
      </c>
      <c r="C28" s="297" t="s">
        <v>327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309">
        <f t="shared" si="7"/>
        <v>0</v>
      </c>
    </row>
    <row r="29" spans="1:16" ht="13.5" thickBot="1">
      <c r="A29" t="s">
        <v>46</v>
      </c>
      <c r="B29" s="296" t="s">
        <v>45</v>
      </c>
      <c r="C29" s="297" t="s">
        <v>328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309">
        <f>SUM(D29:O29)</f>
        <v>0</v>
      </c>
    </row>
    <row r="30" spans="1:17" ht="13.5" thickBot="1">
      <c r="A30" t="s">
        <v>47</v>
      </c>
      <c r="B30" s="310" t="s">
        <v>46</v>
      </c>
      <c r="C30" s="304" t="s">
        <v>329</v>
      </c>
      <c r="D30" s="305">
        <f>SUM(D19:D29)</f>
        <v>14993</v>
      </c>
      <c r="E30" s="305">
        <f aca="true" t="shared" si="8" ref="E30:O30">SUM(E19:E29)</f>
        <v>14993</v>
      </c>
      <c r="F30" s="305">
        <f t="shared" si="8"/>
        <v>14993</v>
      </c>
      <c r="G30" s="305">
        <f t="shared" si="8"/>
        <v>14993</v>
      </c>
      <c r="H30" s="305">
        <f t="shared" si="8"/>
        <v>15893</v>
      </c>
      <c r="I30" s="305">
        <f t="shared" si="8"/>
        <v>14993</v>
      </c>
      <c r="J30" s="305">
        <f t="shared" si="8"/>
        <v>14993</v>
      </c>
      <c r="K30" s="305">
        <f t="shared" si="8"/>
        <v>14993</v>
      </c>
      <c r="L30" s="305">
        <f t="shared" si="8"/>
        <v>14993</v>
      </c>
      <c r="M30" s="305">
        <f t="shared" si="8"/>
        <v>14993</v>
      </c>
      <c r="N30" s="305">
        <f t="shared" si="8"/>
        <v>14993</v>
      </c>
      <c r="O30" s="305">
        <f t="shared" si="8"/>
        <v>14993</v>
      </c>
      <c r="P30" s="311">
        <f>SUM(P19:P29)</f>
        <v>180816</v>
      </c>
      <c r="Q30" s="435"/>
    </row>
    <row r="31" spans="1:17" ht="13.5" thickBot="1">
      <c r="A31" t="s">
        <v>48</v>
      </c>
      <c r="B31" s="310" t="s">
        <v>47</v>
      </c>
      <c r="C31" s="312" t="s">
        <v>330</v>
      </c>
      <c r="D31" s="313">
        <f>+D30-D17</f>
        <v>0</v>
      </c>
      <c r="E31" s="313">
        <f aca="true" t="shared" si="9" ref="E31:P31">+E30-E17</f>
        <v>0</v>
      </c>
      <c r="F31" s="313">
        <f t="shared" si="9"/>
        <v>0</v>
      </c>
      <c r="G31" s="313">
        <f t="shared" si="9"/>
        <v>0</v>
      </c>
      <c r="H31" s="313">
        <f t="shared" si="9"/>
        <v>0</v>
      </c>
      <c r="I31" s="313">
        <f t="shared" si="9"/>
        <v>0</v>
      </c>
      <c r="J31" s="313">
        <f t="shared" si="9"/>
        <v>0</v>
      </c>
      <c r="K31" s="313">
        <f t="shared" si="9"/>
        <v>0</v>
      </c>
      <c r="L31" s="313">
        <f t="shared" si="9"/>
        <v>0</v>
      </c>
      <c r="M31" s="313">
        <f t="shared" si="9"/>
        <v>0</v>
      </c>
      <c r="N31" s="313">
        <f t="shared" si="9"/>
        <v>0</v>
      </c>
      <c r="O31" s="313">
        <f t="shared" si="9"/>
        <v>0</v>
      </c>
      <c r="P31" s="313">
        <f t="shared" si="9"/>
        <v>0</v>
      </c>
      <c r="Q31" s="107"/>
    </row>
    <row r="32" spans="2:16" ht="15.75">
      <c r="B32" s="31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3"/>
    </row>
    <row r="33" spans="2:16" ht="15.75">
      <c r="B33" s="283"/>
      <c r="C33" s="315"/>
      <c r="D33" s="317">
        <f>-D31</f>
        <v>0</v>
      </c>
      <c r="E33" s="316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3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2/2014.(I.24.) Önkormányzati költségvetési rendelethez ( 13 )&amp;R&amp;D</oddHeader>
    <oddFooter>&amp;L( 13 ) a 3/2014.(II.11.) önkormányzati rendelettel módosított szöveg</oddFooter>
  </headerFooter>
  <colBreaks count="1" manualBreakCount="1">
    <brk id="1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78"/>
      <c r="P1" s="778"/>
    </row>
    <row r="2" spans="2:16" ht="15.75">
      <c r="B2" s="779" t="s">
        <v>357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</row>
    <row r="3" spans="2:16" ht="15.75">
      <c r="B3" s="779" t="s">
        <v>423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</row>
    <row r="4" spans="2:16" ht="15.7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5" t="s">
        <v>296</v>
      </c>
    </row>
    <row r="5" spans="1:16" ht="16.5" thickBot="1">
      <c r="A5" t="s">
        <v>11</v>
      </c>
      <c r="B5" s="450" t="s">
        <v>12</v>
      </c>
      <c r="C5" s="451" t="s">
        <v>13</v>
      </c>
      <c r="D5" s="451" t="s">
        <v>14</v>
      </c>
      <c r="E5" s="451" t="s">
        <v>15</v>
      </c>
      <c r="F5" s="451" t="s">
        <v>16</v>
      </c>
      <c r="G5" s="451" t="s">
        <v>17</v>
      </c>
      <c r="H5" s="451" t="s">
        <v>18</v>
      </c>
      <c r="I5" s="451" t="s">
        <v>59</v>
      </c>
      <c r="J5" s="451" t="s">
        <v>370</v>
      </c>
      <c r="K5" s="451" t="s">
        <v>360</v>
      </c>
      <c r="L5" s="451" t="s">
        <v>361</v>
      </c>
      <c r="M5" s="451" t="s">
        <v>363</v>
      </c>
      <c r="N5" s="451" t="s">
        <v>367</v>
      </c>
      <c r="O5" s="451" t="s">
        <v>368</v>
      </c>
      <c r="P5" s="451" t="s">
        <v>369</v>
      </c>
    </row>
    <row r="6" spans="1:16" ht="24.75" thickBot="1">
      <c r="A6" t="s">
        <v>20</v>
      </c>
      <c r="B6" s="286" t="s">
        <v>297</v>
      </c>
      <c r="C6" s="287" t="s">
        <v>63</v>
      </c>
      <c r="D6" s="287" t="s">
        <v>298</v>
      </c>
      <c r="E6" s="287" t="s">
        <v>299</v>
      </c>
      <c r="F6" s="287" t="s">
        <v>300</v>
      </c>
      <c r="G6" s="287" t="s">
        <v>301</v>
      </c>
      <c r="H6" s="287" t="s">
        <v>302</v>
      </c>
      <c r="I6" s="287" t="s">
        <v>303</v>
      </c>
      <c r="J6" s="287" t="s">
        <v>304</v>
      </c>
      <c r="K6" s="287" t="s">
        <v>305</v>
      </c>
      <c r="L6" s="287" t="s">
        <v>306</v>
      </c>
      <c r="M6" s="287" t="s">
        <v>307</v>
      </c>
      <c r="N6" s="287" t="s">
        <v>308</v>
      </c>
      <c r="O6" s="287" t="s">
        <v>309</v>
      </c>
      <c r="P6" s="288" t="s">
        <v>310</v>
      </c>
    </row>
    <row r="7" spans="1:16" ht="13.5" thickBot="1">
      <c r="A7" t="s">
        <v>21</v>
      </c>
      <c r="B7" s="289" t="s">
        <v>20</v>
      </c>
      <c r="C7" s="774" t="s">
        <v>93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6"/>
    </row>
    <row r="8" spans="1:16" ht="12.75">
      <c r="A8" t="s">
        <v>22</v>
      </c>
      <c r="B8" s="292" t="s">
        <v>21</v>
      </c>
      <c r="C8" s="293" t="s">
        <v>311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>
        <f>SUM(D8:O8)</f>
        <v>0</v>
      </c>
    </row>
    <row r="9" spans="1:19" ht="12.75">
      <c r="A9" t="s">
        <v>23</v>
      </c>
      <c r="B9" s="296" t="s">
        <v>22</v>
      </c>
      <c r="C9" s="297" t="s">
        <v>312</v>
      </c>
      <c r="D9" s="298">
        <v>183</v>
      </c>
      <c r="E9" s="298">
        <f>+D9</f>
        <v>183</v>
      </c>
      <c r="F9" s="298">
        <f aca="true" t="shared" si="0" ref="F9:N9">+E9</f>
        <v>183</v>
      </c>
      <c r="G9" s="298">
        <f t="shared" si="0"/>
        <v>183</v>
      </c>
      <c r="H9" s="298">
        <f t="shared" si="0"/>
        <v>183</v>
      </c>
      <c r="I9" s="298">
        <f t="shared" si="0"/>
        <v>183</v>
      </c>
      <c r="J9" s="298">
        <f t="shared" si="0"/>
        <v>183</v>
      </c>
      <c r="K9" s="298">
        <f t="shared" si="0"/>
        <v>183</v>
      </c>
      <c r="L9" s="298">
        <f t="shared" si="0"/>
        <v>183</v>
      </c>
      <c r="M9" s="298">
        <f t="shared" si="0"/>
        <v>183</v>
      </c>
      <c r="N9" s="298">
        <f t="shared" si="0"/>
        <v>183</v>
      </c>
      <c r="O9" s="298">
        <f>+N9+6-2</f>
        <v>187</v>
      </c>
      <c r="P9" s="299">
        <f aca="true" t="shared" si="1" ref="P9:P15">SUM(D9:O9)</f>
        <v>2200</v>
      </c>
      <c r="S9" s="107"/>
    </row>
    <row r="10" spans="1:16" ht="12.75">
      <c r="A10" t="s">
        <v>24</v>
      </c>
      <c r="B10" s="296" t="s">
        <v>23</v>
      </c>
      <c r="C10" s="300" t="s">
        <v>313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299">
        <f t="shared" si="1"/>
        <v>0</v>
      </c>
    </row>
    <row r="11" spans="1:16" ht="12.75">
      <c r="A11" t="s">
        <v>25</v>
      </c>
      <c r="B11" s="296" t="s">
        <v>24</v>
      </c>
      <c r="C11" s="297" t="s">
        <v>314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>
        <f t="shared" si="1"/>
        <v>0</v>
      </c>
    </row>
    <row r="12" spans="1:16" ht="12.75">
      <c r="A12" t="s">
        <v>26</v>
      </c>
      <c r="B12" s="296" t="s">
        <v>25</v>
      </c>
      <c r="C12" s="297" t="s">
        <v>315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9">
        <f t="shared" si="1"/>
        <v>0</v>
      </c>
    </row>
    <row r="13" spans="1:16" ht="12.75">
      <c r="A13" t="s">
        <v>27</v>
      </c>
      <c r="B13" s="296" t="s">
        <v>26</v>
      </c>
      <c r="C13" s="297" t="s">
        <v>316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9">
        <f t="shared" si="1"/>
        <v>0</v>
      </c>
    </row>
    <row r="14" spans="1:16" ht="12.75">
      <c r="A14" t="s">
        <v>28</v>
      </c>
      <c r="B14" s="296" t="s">
        <v>27</v>
      </c>
      <c r="C14" s="297" t="s">
        <v>317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>
        <f t="shared" si="1"/>
        <v>0</v>
      </c>
    </row>
    <row r="15" spans="1:16" ht="22.5">
      <c r="A15" t="s">
        <v>29</v>
      </c>
      <c r="B15" s="296" t="s">
        <v>28</v>
      </c>
      <c r="C15" s="302" t="s">
        <v>318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>
        <f t="shared" si="1"/>
        <v>0</v>
      </c>
    </row>
    <row r="16" spans="1:17" ht="13.5" thickBot="1">
      <c r="A16" t="s">
        <v>30</v>
      </c>
      <c r="B16" s="296" t="s">
        <v>29</v>
      </c>
      <c r="C16" s="297" t="s">
        <v>219</v>
      </c>
      <c r="D16" s="298">
        <f>+D30-D8-D9-D10-D11-D12-D13-D14-D15</f>
        <v>1551</v>
      </c>
      <c r="E16" s="298">
        <f aca="true" t="shared" si="2" ref="E16:O16">+E30-E8-E9-E10-E11-E12-E13-E14-E15</f>
        <v>1551</v>
      </c>
      <c r="F16" s="298">
        <f t="shared" si="2"/>
        <v>1551</v>
      </c>
      <c r="G16" s="298">
        <f t="shared" si="2"/>
        <v>1551</v>
      </c>
      <c r="H16" s="298">
        <f t="shared" si="2"/>
        <v>1551</v>
      </c>
      <c r="I16" s="298">
        <f t="shared" si="2"/>
        <v>1551</v>
      </c>
      <c r="J16" s="298">
        <f t="shared" si="2"/>
        <v>1551</v>
      </c>
      <c r="K16" s="298">
        <f t="shared" si="2"/>
        <v>1551</v>
      </c>
      <c r="L16" s="298">
        <f t="shared" si="2"/>
        <v>2251</v>
      </c>
      <c r="M16" s="298">
        <f t="shared" si="2"/>
        <v>1551</v>
      </c>
      <c r="N16" s="298">
        <f t="shared" si="2"/>
        <v>1551</v>
      </c>
      <c r="O16" s="298">
        <f t="shared" si="2"/>
        <v>1557</v>
      </c>
      <c r="P16" s="303">
        <f>SUM(D16:O16)</f>
        <v>19318</v>
      </c>
      <c r="Q16" s="107"/>
    </row>
    <row r="17" spans="1:18" ht="13.5" thickBot="1">
      <c r="A17" t="s">
        <v>31</v>
      </c>
      <c r="B17" s="289" t="s">
        <v>30</v>
      </c>
      <c r="C17" s="304" t="s">
        <v>319</v>
      </c>
      <c r="D17" s="305">
        <f>SUM(D8:D16)</f>
        <v>1734</v>
      </c>
      <c r="E17" s="305">
        <f aca="true" t="shared" si="3" ref="E17:P17">SUM(E8:E16)</f>
        <v>1734</v>
      </c>
      <c r="F17" s="305">
        <f t="shared" si="3"/>
        <v>1734</v>
      </c>
      <c r="G17" s="305">
        <f t="shared" si="3"/>
        <v>1734</v>
      </c>
      <c r="H17" s="305">
        <f t="shared" si="3"/>
        <v>1734</v>
      </c>
      <c r="I17" s="305">
        <f t="shared" si="3"/>
        <v>1734</v>
      </c>
      <c r="J17" s="305">
        <f t="shared" si="3"/>
        <v>1734</v>
      </c>
      <c r="K17" s="305">
        <f t="shared" si="3"/>
        <v>1734</v>
      </c>
      <c r="L17" s="305">
        <f t="shared" si="3"/>
        <v>2434</v>
      </c>
      <c r="M17" s="305">
        <f t="shared" si="3"/>
        <v>1734</v>
      </c>
      <c r="N17" s="305">
        <f t="shared" si="3"/>
        <v>1734</v>
      </c>
      <c r="O17" s="305">
        <f t="shared" si="3"/>
        <v>1744</v>
      </c>
      <c r="P17" s="305">
        <f t="shared" si="3"/>
        <v>21518</v>
      </c>
      <c r="Q17" s="434"/>
      <c r="R17" s="107"/>
    </row>
    <row r="18" spans="1:16" ht="13.5" thickBot="1">
      <c r="A18" t="s">
        <v>32</v>
      </c>
      <c r="B18" s="289" t="s">
        <v>31</v>
      </c>
      <c r="C18" s="774" t="s">
        <v>121</v>
      </c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7"/>
    </row>
    <row r="19" spans="1:19" ht="12.75">
      <c r="A19" t="s">
        <v>33</v>
      </c>
      <c r="B19" s="307" t="s">
        <v>32</v>
      </c>
      <c r="C19" s="308" t="s">
        <v>212</v>
      </c>
      <c r="D19" s="301">
        <v>784</v>
      </c>
      <c r="E19" s="301">
        <f>+D19</f>
        <v>784</v>
      </c>
      <c r="F19" s="301">
        <f aca="true" t="shared" si="4" ref="F19:N19">+E19</f>
        <v>784</v>
      </c>
      <c r="G19" s="301">
        <f t="shared" si="4"/>
        <v>784</v>
      </c>
      <c r="H19" s="301">
        <f t="shared" si="4"/>
        <v>784</v>
      </c>
      <c r="I19" s="301">
        <f t="shared" si="4"/>
        <v>784</v>
      </c>
      <c r="J19" s="301">
        <f t="shared" si="4"/>
        <v>784</v>
      </c>
      <c r="K19" s="301">
        <f t="shared" si="4"/>
        <v>784</v>
      </c>
      <c r="L19" s="301">
        <f t="shared" si="4"/>
        <v>784</v>
      </c>
      <c r="M19" s="301">
        <f t="shared" si="4"/>
        <v>784</v>
      </c>
      <c r="N19" s="301">
        <f t="shared" si="4"/>
        <v>784</v>
      </c>
      <c r="O19" s="301">
        <f>+N19+1</f>
        <v>785</v>
      </c>
      <c r="P19" s="309">
        <f>SUM(D19:O19)</f>
        <v>9409</v>
      </c>
      <c r="S19" s="107"/>
    </row>
    <row r="20" spans="1:19" ht="24.75" customHeight="1">
      <c r="A20" t="s">
        <v>34</v>
      </c>
      <c r="B20" s="296" t="s">
        <v>33</v>
      </c>
      <c r="C20" s="302" t="s">
        <v>320</v>
      </c>
      <c r="D20" s="298">
        <v>211</v>
      </c>
      <c r="E20" s="298">
        <f>+D20</f>
        <v>211</v>
      </c>
      <c r="F20" s="298">
        <f aca="true" t="shared" si="5" ref="F20:N20">+E20</f>
        <v>211</v>
      </c>
      <c r="G20" s="298">
        <f t="shared" si="5"/>
        <v>211</v>
      </c>
      <c r="H20" s="298">
        <f t="shared" si="5"/>
        <v>211</v>
      </c>
      <c r="I20" s="298">
        <f t="shared" si="5"/>
        <v>211</v>
      </c>
      <c r="J20" s="298">
        <f t="shared" si="5"/>
        <v>211</v>
      </c>
      <c r="K20" s="298">
        <f t="shared" si="5"/>
        <v>211</v>
      </c>
      <c r="L20" s="298">
        <f t="shared" si="5"/>
        <v>211</v>
      </c>
      <c r="M20" s="298">
        <f t="shared" si="5"/>
        <v>211</v>
      </c>
      <c r="N20" s="298">
        <f t="shared" si="5"/>
        <v>211</v>
      </c>
      <c r="O20" s="298">
        <f>+N20+7</f>
        <v>218</v>
      </c>
      <c r="P20" s="309">
        <f aca="true" t="shared" si="6" ref="P20:P28">SUM(D20:O20)</f>
        <v>2539</v>
      </c>
      <c r="S20" s="107"/>
    </row>
    <row r="21" spans="1:19" ht="12.75">
      <c r="A21" t="s">
        <v>35</v>
      </c>
      <c r="B21" s="296" t="s">
        <v>34</v>
      </c>
      <c r="C21" s="297" t="s">
        <v>248</v>
      </c>
      <c r="D21" s="298">
        <v>739</v>
      </c>
      <c r="E21" s="298">
        <f>+D21</f>
        <v>739</v>
      </c>
      <c r="F21" s="298">
        <f aca="true" t="shared" si="7" ref="F21:N21">+E21</f>
        <v>739</v>
      </c>
      <c r="G21" s="298">
        <f t="shared" si="7"/>
        <v>739</v>
      </c>
      <c r="H21" s="298">
        <f t="shared" si="7"/>
        <v>739</v>
      </c>
      <c r="I21" s="298">
        <f t="shared" si="7"/>
        <v>739</v>
      </c>
      <c r="J21" s="298">
        <f t="shared" si="7"/>
        <v>739</v>
      </c>
      <c r="K21" s="298">
        <f t="shared" si="7"/>
        <v>739</v>
      </c>
      <c r="L21" s="298">
        <f>+K21+700</f>
        <v>1439</v>
      </c>
      <c r="M21" s="298">
        <f>+K21</f>
        <v>739</v>
      </c>
      <c r="N21" s="298">
        <f t="shared" si="7"/>
        <v>739</v>
      </c>
      <c r="O21" s="298">
        <f>+N21-3+5</f>
        <v>741</v>
      </c>
      <c r="P21" s="309">
        <f t="shared" si="6"/>
        <v>9570</v>
      </c>
      <c r="S21" s="107"/>
    </row>
    <row r="22" spans="1:16" ht="12.75">
      <c r="A22" t="s">
        <v>36</v>
      </c>
      <c r="B22" s="296" t="s">
        <v>35</v>
      </c>
      <c r="C22" s="297" t="s">
        <v>321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309">
        <f t="shared" si="6"/>
        <v>0</v>
      </c>
    </row>
    <row r="23" spans="1:16" ht="12.75">
      <c r="A23" t="s">
        <v>37</v>
      </c>
      <c r="B23" s="296" t="s">
        <v>36</v>
      </c>
      <c r="C23" s="297" t="s">
        <v>322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309">
        <f t="shared" si="6"/>
        <v>0</v>
      </c>
    </row>
    <row r="24" spans="1:16" ht="12.75">
      <c r="A24" t="s">
        <v>40</v>
      </c>
      <c r="B24" s="296" t="s">
        <v>37</v>
      </c>
      <c r="C24" s="297" t="s">
        <v>323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309">
        <f t="shared" si="6"/>
        <v>0</v>
      </c>
    </row>
    <row r="25" spans="1:16" ht="21" customHeight="1">
      <c r="A25" t="s">
        <v>42</v>
      </c>
      <c r="B25" s="296" t="s">
        <v>40</v>
      </c>
      <c r="C25" s="302" t="s">
        <v>324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309">
        <f t="shared" si="6"/>
        <v>0</v>
      </c>
    </row>
    <row r="26" spans="1:16" ht="12.75">
      <c r="A26" t="s">
        <v>43</v>
      </c>
      <c r="B26" s="296" t="s">
        <v>42</v>
      </c>
      <c r="C26" s="297" t="s">
        <v>325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309">
        <f t="shared" si="6"/>
        <v>0</v>
      </c>
    </row>
    <row r="27" spans="1:16" ht="12.75">
      <c r="A27" t="s">
        <v>44</v>
      </c>
      <c r="B27" s="296" t="s">
        <v>43</v>
      </c>
      <c r="C27" s="297" t="s">
        <v>326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309">
        <f t="shared" si="6"/>
        <v>0</v>
      </c>
    </row>
    <row r="28" spans="1:16" ht="12.75">
      <c r="A28" t="s">
        <v>45</v>
      </c>
      <c r="B28" s="296" t="s">
        <v>44</v>
      </c>
      <c r="C28" s="297" t="s">
        <v>327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309">
        <f t="shared" si="6"/>
        <v>0</v>
      </c>
    </row>
    <row r="29" spans="1:16" ht="13.5" thickBot="1">
      <c r="A29" t="s">
        <v>46</v>
      </c>
      <c r="B29" s="296" t="s">
        <v>45</v>
      </c>
      <c r="C29" s="297" t="s">
        <v>328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309">
        <f>SUM(D29:O29)</f>
        <v>0</v>
      </c>
    </row>
    <row r="30" spans="1:18" ht="13.5" thickBot="1">
      <c r="A30" t="s">
        <v>47</v>
      </c>
      <c r="B30" s="310" t="s">
        <v>46</v>
      </c>
      <c r="C30" s="304" t="s">
        <v>329</v>
      </c>
      <c r="D30" s="305">
        <f>SUM(D19:D29)</f>
        <v>1734</v>
      </c>
      <c r="E30" s="305">
        <f aca="true" t="shared" si="8" ref="E30:O30">SUM(E19:E29)</f>
        <v>1734</v>
      </c>
      <c r="F30" s="305">
        <f t="shared" si="8"/>
        <v>1734</v>
      </c>
      <c r="G30" s="305">
        <f t="shared" si="8"/>
        <v>1734</v>
      </c>
      <c r="H30" s="305">
        <f t="shared" si="8"/>
        <v>1734</v>
      </c>
      <c r="I30" s="305">
        <f t="shared" si="8"/>
        <v>1734</v>
      </c>
      <c r="J30" s="305">
        <f t="shared" si="8"/>
        <v>1734</v>
      </c>
      <c r="K30" s="305">
        <f t="shared" si="8"/>
        <v>1734</v>
      </c>
      <c r="L30" s="305">
        <f t="shared" si="8"/>
        <v>2434</v>
      </c>
      <c r="M30" s="305">
        <f t="shared" si="8"/>
        <v>1734</v>
      </c>
      <c r="N30" s="305">
        <f t="shared" si="8"/>
        <v>1734</v>
      </c>
      <c r="O30" s="305">
        <f t="shared" si="8"/>
        <v>1744</v>
      </c>
      <c r="P30" s="311">
        <f>SUM(P19:P29)</f>
        <v>21518</v>
      </c>
      <c r="Q30" s="435"/>
      <c r="R30" s="107"/>
    </row>
    <row r="31" spans="1:17" ht="13.5" thickBot="1">
      <c r="A31" t="s">
        <v>48</v>
      </c>
      <c r="B31" s="310" t="s">
        <v>47</v>
      </c>
      <c r="C31" s="312" t="s">
        <v>330</v>
      </c>
      <c r="D31" s="313">
        <f>+D30-D17</f>
        <v>0</v>
      </c>
      <c r="E31" s="313">
        <f aca="true" t="shared" si="9" ref="E31:P31">+E30-E17</f>
        <v>0</v>
      </c>
      <c r="F31" s="313">
        <f t="shared" si="9"/>
        <v>0</v>
      </c>
      <c r="G31" s="313">
        <f t="shared" si="9"/>
        <v>0</v>
      </c>
      <c r="H31" s="313">
        <f t="shared" si="9"/>
        <v>0</v>
      </c>
      <c r="I31" s="313">
        <f t="shared" si="9"/>
        <v>0</v>
      </c>
      <c r="J31" s="313">
        <f t="shared" si="9"/>
        <v>0</v>
      </c>
      <c r="K31" s="313">
        <f t="shared" si="9"/>
        <v>0</v>
      </c>
      <c r="L31" s="313">
        <f t="shared" si="9"/>
        <v>0</v>
      </c>
      <c r="M31" s="313">
        <f t="shared" si="9"/>
        <v>0</v>
      </c>
      <c r="N31" s="313">
        <f t="shared" si="9"/>
        <v>0</v>
      </c>
      <c r="O31" s="313">
        <f t="shared" si="9"/>
        <v>0</v>
      </c>
      <c r="P31" s="313">
        <f t="shared" si="9"/>
        <v>0</v>
      </c>
      <c r="Q31" s="107"/>
    </row>
    <row r="32" spans="2:16" ht="15.75">
      <c r="B32" s="31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3"/>
    </row>
    <row r="33" spans="2:16" ht="15.75">
      <c r="B33" s="283"/>
      <c r="C33" s="315"/>
      <c r="D33" s="317">
        <f>-D31</f>
        <v>0</v>
      </c>
      <c r="E33" s="316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3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2/2014.(I.24.) Önkormányzati költségvetési rendelethez&amp;R&amp;D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60" zoomScalePageLayoutView="0" workbookViewId="0" topLeftCell="A1">
      <selection activeCell="D36" sqref="D36"/>
    </sheetView>
  </sheetViews>
  <sheetFormatPr defaultColWidth="9.140625" defaultRowHeight="12.75"/>
  <cols>
    <col min="1" max="1" width="5.421875" style="135" customWidth="1"/>
    <col min="2" max="2" width="4.00390625" style="135" customWidth="1"/>
    <col min="3" max="3" width="33.28125" style="135" customWidth="1"/>
    <col min="4" max="4" width="17.57421875" style="135" customWidth="1"/>
    <col min="5" max="5" width="9.57421875" style="135" bestFit="1" customWidth="1"/>
    <col min="6" max="7" width="14.7109375" style="135" customWidth="1"/>
    <col min="8" max="8" width="9.421875" style="135" customWidth="1"/>
    <col min="9" max="10" width="9.421875" style="135" hidden="1" customWidth="1"/>
    <col min="11" max="11" width="11.140625" style="135" bestFit="1" customWidth="1"/>
    <col min="12" max="12" width="9.421875" style="135" bestFit="1" customWidth="1"/>
    <col min="13" max="13" width="6.7109375" style="135" customWidth="1"/>
    <col min="14" max="14" width="9.28125" style="135" bestFit="1" customWidth="1"/>
    <col min="15" max="15" width="25.28125" style="135" customWidth="1"/>
    <col min="16" max="16" width="9.8515625" style="135" bestFit="1" customWidth="1"/>
    <col min="17" max="17" width="9.28125" style="135" bestFit="1" customWidth="1"/>
    <col min="18" max="18" width="12.57421875" style="135" bestFit="1" customWidth="1"/>
    <col min="19" max="16384" width="9.140625" style="135" customWidth="1"/>
  </cols>
  <sheetData>
    <row r="1" spans="1:14" ht="14.25">
      <c r="A1" s="786" t="s">
        <v>159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</row>
    <row r="2" spans="1:14" ht="15" customHeight="1" thickBot="1">
      <c r="A2" s="135" t="s">
        <v>11</v>
      </c>
      <c r="B2" s="136" t="s">
        <v>12</v>
      </c>
      <c r="C2" s="136" t="s">
        <v>13</v>
      </c>
      <c r="D2" s="136" t="s">
        <v>14</v>
      </c>
      <c r="E2" s="136" t="s">
        <v>15</v>
      </c>
      <c r="F2" s="136" t="s">
        <v>16</v>
      </c>
      <c r="G2" s="136"/>
      <c r="H2" s="136" t="s">
        <v>17</v>
      </c>
      <c r="I2" s="136" t="s">
        <v>18</v>
      </c>
      <c r="J2" s="136" t="s">
        <v>365</v>
      </c>
      <c r="K2" s="136" t="s">
        <v>19</v>
      </c>
      <c r="L2" s="136" t="s">
        <v>360</v>
      </c>
      <c r="M2" s="135" t="s">
        <v>361</v>
      </c>
      <c r="N2" s="135" t="s">
        <v>363</v>
      </c>
    </row>
    <row r="3" spans="1:14" ht="18" customHeight="1">
      <c r="A3" s="135" t="s">
        <v>20</v>
      </c>
      <c r="B3" s="254" t="s">
        <v>160</v>
      </c>
      <c r="C3" s="255"/>
      <c r="D3" s="255"/>
      <c r="E3" s="255"/>
      <c r="F3" s="241"/>
      <c r="G3" s="644"/>
      <c r="H3" s="783">
        <v>2013</v>
      </c>
      <c r="I3" s="784"/>
      <c r="J3" s="785"/>
      <c r="K3" s="249">
        <v>2014</v>
      </c>
      <c r="L3" s="249">
        <v>2015</v>
      </c>
      <c r="M3" s="249">
        <v>2016</v>
      </c>
      <c r="N3" s="249">
        <v>2017</v>
      </c>
    </row>
    <row r="4" spans="1:14" ht="15" thickBot="1">
      <c r="A4" s="135" t="s">
        <v>21</v>
      </c>
      <c r="B4" s="264"/>
      <c r="C4" s="263"/>
      <c r="D4" s="263"/>
      <c r="E4" s="245"/>
      <c r="F4" s="278">
        <v>241.06</v>
      </c>
      <c r="G4" s="645"/>
      <c r="H4" s="650"/>
      <c r="I4" s="245" t="s">
        <v>265</v>
      </c>
      <c r="J4" s="651" t="s">
        <v>264</v>
      </c>
      <c r="K4" s="251"/>
      <c r="L4" s="251"/>
      <c r="M4" s="253"/>
      <c r="N4" s="253"/>
    </row>
    <row r="5" spans="2:14" ht="15">
      <c r="B5" s="256"/>
      <c r="C5" s="257"/>
      <c r="D5" s="257"/>
      <c r="E5" s="243"/>
      <c r="F5" s="244"/>
      <c r="G5" s="646"/>
      <c r="H5" s="242"/>
      <c r="I5" s="648"/>
      <c r="J5" s="649"/>
      <c r="K5" s="250"/>
      <c r="L5" s="250"/>
      <c r="M5" s="252"/>
      <c r="N5" s="252"/>
    </row>
    <row r="6" spans="1:18" ht="60">
      <c r="A6" s="135" t="s">
        <v>22</v>
      </c>
      <c r="B6" s="256"/>
      <c r="C6" s="258" t="s">
        <v>161</v>
      </c>
      <c r="D6" s="258" t="s">
        <v>162</v>
      </c>
      <c r="E6" s="259" t="s">
        <v>163</v>
      </c>
      <c r="F6" s="260" t="s">
        <v>164</v>
      </c>
      <c r="G6" s="652" t="s">
        <v>465</v>
      </c>
      <c r="H6" s="242">
        <f>+I6+J6</f>
        <v>24408</v>
      </c>
      <c r="I6" s="242">
        <v>16272</v>
      </c>
      <c r="J6" s="244">
        <v>8136</v>
      </c>
      <c r="K6" s="250">
        <f>675277.56*F4/1000</f>
        <v>162782.4086136</v>
      </c>
      <c r="L6" s="250">
        <v>0</v>
      </c>
      <c r="M6" s="252">
        <v>0</v>
      </c>
      <c r="N6" s="252">
        <v>0</v>
      </c>
      <c r="R6" s="137"/>
    </row>
    <row r="7" spans="1:16" ht="64.5" customHeight="1">
      <c r="A7" s="135" t="s">
        <v>23</v>
      </c>
      <c r="B7" s="256"/>
      <c r="C7" s="258" t="s">
        <v>165</v>
      </c>
      <c r="D7" s="258" t="s">
        <v>166</v>
      </c>
      <c r="E7" s="243">
        <v>80000</v>
      </c>
      <c r="F7" s="260" t="s">
        <v>228</v>
      </c>
      <c r="G7" s="652" t="s">
        <v>465</v>
      </c>
      <c r="H7" s="242">
        <f>+I7+J7</f>
        <v>1050</v>
      </c>
      <c r="I7" s="242"/>
      <c r="J7" s="244">
        <v>1050</v>
      </c>
      <c r="K7" s="250">
        <v>70000</v>
      </c>
      <c r="L7" s="250">
        <v>0</v>
      </c>
      <c r="M7" s="252">
        <v>0</v>
      </c>
      <c r="N7" s="252">
        <v>0</v>
      </c>
      <c r="P7" s="137"/>
    </row>
    <row r="8" spans="2:14" ht="7.5" customHeight="1" thickBot="1">
      <c r="B8" s="256"/>
      <c r="C8" s="257"/>
      <c r="D8" s="257"/>
      <c r="E8" s="243"/>
      <c r="F8" s="244"/>
      <c r="G8" s="646"/>
      <c r="H8" s="242"/>
      <c r="I8" s="242"/>
      <c r="J8" s="244"/>
      <c r="K8" s="250"/>
      <c r="L8" s="250"/>
      <c r="M8" s="252"/>
      <c r="N8" s="252"/>
    </row>
    <row r="9" spans="1:14" ht="15" thickBot="1">
      <c r="A9" s="135" t="s">
        <v>24</v>
      </c>
      <c r="B9" s="265" t="s">
        <v>167</v>
      </c>
      <c r="C9" s="266"/>
      <c r="D9" s="266"/>
      <c r="E9" s="247"/>
      <c r="F9" s="248"/>
      <c r="G9" s="647"/>
      <c r="H9" s="246">
        <f aca="true" t="shared" si="0" ref="H9:N9">SUM(H6:H8)</f>
        <v>25458</v>
      </c>
      <c r="I9" s="246">
        <f t="shared" si="0"/>
        <v>16272</v>
      </c>
      <c r="J9" s="246">
        <f t="shared" si="0"/>
        <v>9186</v>
      </c>
      <c r="K9" s="246">
        <f t="shared" si="0"/>
        <v>232782.4086136</v>
      </c>
      <c r="L9" s="246">
        <f t="shared" si="0"/>
        <v>0</v>
      </c>
      <c r="M9" s="246">
        <f t="shared" si="0"/>
        <v>0</v>
      </c>
      <c r="N9" s="246">
        <f t="shared" si="0"/>
        <v>0</v>
      </c>
    </row>
    <row r="10" spans="2:14" ht="14.25">
      <c r="B10" s="681"/>
      <c r="C10" s="682"/>
      <c r="D10" s="682"/>
      <c r="E10" s="683"/>
      <c r="F10" s="684"/>
      <c r="G10" s="685"/>
      <c r="H10" s="686"/>
      <c r="I10" s="686"/>
      <c r="J10" s="685"/>
      <c r="K10" s="687"/>
      <c r="L10" s="687"/>
      <c r="M10" s="687"/>
      <c r="N10" s="689"/>
    </row>
    <row r="11" spans="1:14" ht="14.25">
      <c r="A11" s="135" t="s">
        <v>25</v>
      </c>
      <c r="B11" s="688" t="s">
        <v>482</v>
      </c>
      <c r="C11" s="682"/>
      <c r="D11" s="682"/>
      <c r="E11" s="683"/>
      <c r="F11" s="684"/>
      <c r="G11" s="685"/>
      <c r="H11" s="686"/>
      <c r="I11" s="686"/>
      <c r="J11" s="685"/>
      <c r="K11" s="687"/>
      <c r="L11" s="687"/>
      <c r="M11" s="687"/>
      <c r="N11" s="690"/>
    </row>
    <row r="12" spans="1:14" ht="57">
      <c r="A12" s="135" t="s">
        <v>26</v>
      </c>
      <c r="B12" s="681"/>
      <c r="C12" s="544" t="s">
        <v>481</v>
      </c>
      <c r="D12" s="682"/>
      <c r="E12" s="683"/>
      <c r="F12" s="684"/>
      <c r="G12" s="685"/>
      <c r="H12" s="686"/>
      <c r="I12" s="686"/>
      <c r="J12" s="685"/>
      <c r="K12" s="687"/>
      <c r="L12" s="687">
        <v>48548</v>
      </c>
      <c r="M12" s="687"/>
      <c r="N12" s="690"/>
    </row>
    <row r="13" spans="2:14" ht="15" thickBot="1">
      <c r="B13" s="681"/>
      <c r="C13" s="544"/>
      <c r="D13" s="682"/>
      <c r="E13" s="683"/>
      <c r="F13" s="684"/>
      <c r="G13" s="685"/>
      <c r="H13" s="686"/>
      <c r="I13" s="686"/>
      <c r="J13" s="685"/>
      <c r="K13" s="687"/>
      <c r="L13" s="687"/>
      <c r="M13" s="687"/>
      <c r="N13" s="690"/>
    </row>
    <row r="14" spans="1:14" ht="15" thickBot="1">
      <c r="A14" s="135" t="s">
        <v>27</v>
      </c>
      <c r="B14" s="265" t="s">
        <v>483</v>
      </c>
      <c r="C14" s="691"/>
      <c r="D14" s="266"/>
      <c r="E14" s="247"/>
      <c r="F14" s="248"/>
      <c r="G14" s="647"/>
      <c r="H14" s="246"/>
      <c r="I14" s="246"/>
      <c r="J14" s="647"/>
      <c r="K14" s="692"/>
      <c r="L14" s="692">
        <f>SUM(L12:L13)</f>
        <v>48548</v>
      </c>
      <c r="M14" s="692"/>
      <c r="N14" s="693"/>
    </row>
    <row r="15" spans="2:14" ht="15">
      <c r="B15" s="694"/>
      <c r="C15" s="695"/>
      <c r="D15" s="695"/>
      <c r="E15" s="696"/>
      <c r="F15" s="697"/>
      <c r="G15" s="646"/>
      <c r="H15" s="242"/>
      <c r="I15" s="242"/>
      <c r="J15" s="649"/>
      <c r="K15" s="250"/>
      <c r="L15" s="250"/>
      <c r="M15" s="252"/>
      <c r="N15" s="252"/>
    </row>
    <row r="16" spans="1:14" ht="15">
      <c r="A16" s="135" t="s">
        <v>28</v>
      </c>
      <c r="B16" s="262" t="s">
        <v>168</v>
      </c>
      <c r="C16" s="257"/>
      <c r="D16" s="257"/>
      <c r="E16" s="243"/>
      <c r="F16" s="244"/>
      <c r="G16" s="646"/>
      <c r="H16" s="242"/>
      <c r="I16" s="242"/>
      <c r="J16" s="244"/>
      <c r="K16" s="250"/>
      <c r="L16" s="250"/>
      <c r="M16" s="252"/>
      <c r="N16" s="252"/>
    </row>
    <row r="17" spans="2:14" ht="7.5" customHeight="1">
      <c r="B17" s="261"/>
      <c r="C17" s="257"/>
      <c r="D17" s="257"/>
      <c r="E17" s="243"/>
      <c r="F17" s="244"/>
      <c r="G17" s="646"/>
      <c r="H17" s="242"/>
      <c r="I17" s="242"/>
      <c r="J17" s="244"/>
      <c r="K17" s="250"/>
      <c r="L17" s="250"/>
      <c r="M17" s="252"/>
      <c r="N17" s="252"/>
    </row>
    <row r="18" spans="1:14" ht="15">
      <c r="A18" s="135" t="s">
        <v>29</v>
      </c>
      <c r="B18" s="256"/>
      <c r="C18" s="258" t="str">
        <f>+C6</f>
        <v>"BATTONYA 2027" kötvény</v>
      </c>
      <c r="D18" s="257"/>
      <c r="E18" s="243"/>
      <c r="F18" s="244"/>
      <c r="G18" s="646"/>
      <c r="H18" s="242">
        <f>+I18+J18</f>
        <v>7644</v>
      </c>
      <c r="I18" s="242">
        <v>5096</v>
      </c>
      <c r="J18" s="244">
        <v>2548</v>
      </c>
      <c r="K18" s="250">
        <f>+9_mell!F14</f>
        <v>1867</v>
      </c>
      <c r="L18" s="250">
        <v>0</v>
      </c>
      <c r="M18" s="250">
        <v>0</v>
      </c>
      <c r="N18" s="250">
        <v>0</v>
      </c>
    </row>
    <row r="19" spans="2:14" ht="9" customHeight="1">
      <c r="B19" s="706"/>
      <c r="C19" s="258"/>
      <c r="D19" s="257"/>
      <c r="E19" s="243"/>
      <c r="F19" s="707"/>
      <c r="G19" s="646"/>
      <c r="H19" s="242"/>
      <c r="I19" s="242"/>
      <c r="J19" s="244"/>
      <c r="K19" s="250"/>
      <c r="L19" s="250"/>
      <c r="M19" s="250"/>
      <c r="N19" s="250"/>
    </row>
    <row r="20" spans="1:14" ht="60">
      <c r="A20" s="135" t="s">
        <v>30</v>
      </c>
      <c r="B20" s="708"/>
      <c r="C20" s="258" t="s">
        <v>165</v>
      </c>
      <c r="D20" s="258" t="s">
        <v>166</v>
      </c>
      <c r="E20" s="243"/>
      <c r="F20" s="709"/>
      <c r="G20" s="646"/>
      <c r="H20" s="242">
        <f>+I20+J20</f>
        <v>6450</v>
      </c>
      <c r="I20" s="242">
        <v>4300</v>
      </c>
      <c r="J20" s="244">
        <v>2150</v>
      </c>
      <c r="K20" s="250">
        <f>+9_mell!F13</f>
        <v>1200</v>
      </c>
      <c r="L20" s="250">
        <v>0</v>
      </c>
      <c r="M20" s="252">
        <v>0</v>
      </c>
      <c r="N20" s="252">
        <v>0</v>
      </c>
    </row>
    <row r="21" spans="2:14" ht="7.5" customHeight="1" thickBot="1">
      <c r="B21" s="698"/>
      <c r="C21" s="699"/>
      <c r="D21" s="699"/>
      <c r="E21" s="700"/>
      <c r="F21" s="701"/>
      <c r="G21" s="646"/>
      <c r="H21" s="242"/>
      <c r="I21" s="242"/>
      <c r="J21" s="244"/>
      <c r="K21" s="250"/>
      <c r="L21" s="250"/>
      <c r="M21" s="252"/>
      <c r="N21" s="253"/>
    </row>
    <row r="22" spans="1:14" ht="15" thickBot="1">
      <c r="A22" s="135" t="s">
        <v>31</v>
      </c>
      <c r="B22" s="265" t="s">
        <v>169</v>
      </c>
      <c r="C22" s="266"/>
      <c r="D22" s="266"/>
      <c r="E22" s="247"/>
      <c r="F22" s="248"/>
      <c r="G22" s="647"/>
      <c r="H22" s="246">
        <f aca="true" t="shared" si="1" ref="H22:N22">SUM(H18:H21)</f>
        <v>14094</v>
      </c>
      <c r="I22" s="246">
        <f t="shared" si="1"/>
        <v>9396</v>
      </c>
      <c r="J22" s="246">
        <f t="shared" si="1"/>
        <v>4698</v>
      </c>
      <c r="K22" s="246">
        <f t="shared" si="1"/>
        <v>3067</v>
      </c>
      <c r="L22" s="246">
        <f>SUM(L18:L21)</f>
        <v>0</v>
      </c>
      <c r="M22" s="246">
        <f t="shared" si="1"/>
        <v>0</v>
      </c>
      <c r="N22" s="471">
        <f t="shared" si="1"/>
        <v>0</v>
      </c>
    </row>
    <row r="23" spans="2:14" ht="9" customHeight="1" thickBot="1">
      <c r="B23" s="256"/>
      <c r="C23" s="257"/>
      <c r="D23" s="257"/>
      <c r="E23" s="243"/>
      <c r="F23" s="244"/>
      <c r="G23" s="646"/>
      <c r="H23" s="242"/>
      <c r="I23" s="242"/>
      <c r="J23" s="244"/>
      <c r="K23" s="250"/>
      <c r="L23" s="250"/>
      <c r="M23" s="252"/>
      <c r="N23" s="252"/>
    </row>
    <row r="24" spans="1:14" ht="15" thickBot="1">
      <c r="A24" s="135" t="s">
        <v>32</v>
      </c>
      <c r="B24" s="265" t="s">
        <v>170</v>
      </c>
      <c r="C24" s="266"/>
      <c r="D24" s="266"/>
      <c r="E24" s="247"/>
      <c r="F24" s="248"/>
      <c r="G24" s="647"/>
      <c r="H24" s="246">
        <f aca="true" t="shared" si="2" ref="H24:N24">H22+H9</f>
        <v>39552</v>
      </c>
      <c r="I24" s="246">
        <f t="shared" si="2"/>
        <v>25668</v>
      </c>
      <c r="J24" s="246">
        <f t="shared" si="2"/>
        <v>13884</v>
      </c>
      <c r="K24" s="246">
        <f t="shared" si="2"/>
        <v>235849.4086136</v>
      </c>
      <c r="L24" s="246">
        <f>L22+L9+L14</f>
        <v>48548</v>
      </c>
      <c r="M24" s="246">
        <f t="shared" si="2"/>
        <v>0</v>
      </c>
      <c r="N24" s="471">
        <f t="shared" si="2"/>
        <v>0</v>
      </c>
    </row>
    <row r="25" spans="2:14" ht="15">
      <c r="B25" s="136"/>
      <c r="C25" s="136"/>
      <c r="D25" s="136"/>
      <c r="E25" s="138"/>
      <c r="F25" s="138"/>
      <c r="G25" s="138"/>
      <c r="H25" s="138"/>
      <c r="I25" s="138"/>
      <c r="J25" s="138"/>
      <c r="K25" s="138"/>
      <c r="L25" s="138"/>
      <c r="M25" s="137"/>
      <c r="N25" s="137"/>
    </row>
    <row r="26" spans="5:14" ht="14.25"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2/2014.(I.24.) Önkormányzati költségvetési rendelethez ( 14 )&amp;R&amp;D</oddHeader>
    <oddFooter>&amp;L( 14 ) a 3/2014.(II.11.) önkormányzati rendelettel módosított szöveg</oddFooter>
  </headerFooter>
  <colBreaks count="1" manualBreakCount="1">
    <brk id="1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N51" sqref="N51"/>
    </sheetView>
  </sheetViews>
  <sheetFormatPr defaultColWidth="9.140625" defaultRowHeight="15" customHeight="1"/>
  <cols>
    <col min="1" max="1" width="4.57421875" style="18" bestFit="1" customWidth="1"/>
    <col min="2" max="2" width="25.421875" style="18" customWidth="1"/>
    <col min="3" max="3" width="13.28125" style="18" customWidth="1"/>
    <col min="4" max="4" width="9.28125" style="18" customWidth="1"/>
    <col min="5" max="5" width="9.421875" style="18" customWidth="1"/>
    <col min="6" max="6" width="11.00390625" style="18" customWidth="1"/>
    <col min="7" max="7" width="10.140625" style="18" bestFit="1" customWidth="1"/>
    <col min="8" max="8" width="10.7109375" style="18" customWidth="1"/>
    <col min="9" max="9" width="8.28125" style="18" hidden="1" customWidth="1"/>
    <col min="10" max="10" width="13.8515625" style="18" customWidth="1"/>
    <col min="11" max="11" width="9.421875" style="18" bestFit="1" customWidth="1"/>
    <col min="12" max="12" width="11.7109375" style="18" customWidth="1"/>
    <col min="13" max="13" width="12.421875" style="18" customWidth="1"/>
    <col min="14" max="14" width="9.140625" style="18" customWidth="1"/>
    <col min="15" max="15" width="9.57421875" style="18" bestFit="1" customWidth="1"/>
    <col min="16" max="17" width="9.140625" style="18" customWidth="1"/>
    <col min="18" max="18" width="9.421875" style="18" bestFit="1" customWidth="1"/>
    <col min="19" max="16384" width="9.140625" style="18" customWidth="1"/>
  </cols>
  <sheetData>
    <row r="1" spans="2:13" ht="15" customHeight="1">
      <c r="B1" s="19" t="s">
        <v>0</v>
      </c>
      <c r="C1" s="20"/>
      <c r="D1" s="21" t="s">
        <v>1</v>
      </c>
      <c r="E1" s="21" t="s">
        <v>2</v>
      </c>
      <c r="F1" s="743" t="s">
        <v>3</v>
      </c>
      <c r="G1" s="743"/>
      <c r="H1" s="743"/>
      <c r="I1" s="23" t="e">
        <f>+#REF!</f>
        <v>#REF!</v>
      </c>
      <c r="J1" s="21" t="s">
        <v>4</v>
      </c>
      <c r="K1" s="21"/>
      <c r="L1" s="21" t="s">
        <v>5</v>
      </c>
      <c r="M1" s="21" t="s">
        <v>6</v>
      </c>
    </row>
    <row r="2" spans="2:13" ht="15" customHeight="1">
      <c r="B2" s="24"/>
      <c r="C2" s="25"/>
      <c r="D2" s="26"/>
      <c r="E2" s="26"/>
      <c r="F2" s="22" t="s">
        <v>7</v>
      </c>
      <c r="G2" s="22" t="s">
        <v>8</v>
      </c>
      <c r="H2" s="22" t="s">
        <v>9</v>
      </c>
      <c r="I2" s="23"/>
      <c r="J2" s="26"/>
      <c r="K2" s="26"/>
      <c r="L2" s="26"/>
      <c r="M2" s="26"/>
    </row>
    <row r="3" spans="1:13" s="27" customFormat="1" ht="15.75" customHeight="1">
      <c r="A3" s="27" t="s">
        <v>11</v>
      </c>
      <c r="B3" s="19" t="s">
        <v>12</v>
      </c>
      <c r="C3" s="20" t="s">
        <v>13</v>
      </c>
      <c r="D3" s="21" t="s">
        <v>14</v>
      </c>
      <c r="E3" s="21" t="s">
        <v>15</v>
      </c>
      <c r="F3" s="21" t="s">
        <v>16</v>
      </c>
      <c r="G3" s="21" t="s">
        <v>17</v>
      </c>
      <c r="H3" s="21" t="s">
        <v>18</v>
      </c>
      <c r="I3" s="28"/>
      <c r="J3" s="21" t="s">
        <v>59</v>
      </c>
      <c r="K3" s="21" t="s">
        <v>19</v>
      </c>
      <c r="L3" s="21" t="s">
        <v>360</v>
      </c>
      <c r="M3" s="21" t="s">
        <v>361</v>
      </c>
    </row>
    <row r="4" spans="3:13" ht="9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3:13" ht="32.25" customHeight="1" hidden="1">
      <c r="C5" s="29" t="s">
        <v>50</v>
      </c>
      <c r="D5" s="30">
        <v>87890</v>
      </c>
      <c r="J5" s="30">
        <f>+M5-D5-E5-F5-G5-H5-K5</f>
        <v>94220</v>
      </c>
      <c r="K5" s="30"/>
      <c r="L5" s="30">
        <f>SUM(D5:J5)</f>
        <v>182110</v>
      </c>
      <c r="M5" s="30">
        <f>+4_mell!M4</f>
        <v>182110</v>
      </c>
    </row>
    <row r="6" spans="3:13" ht="0.75" customHeight="1" hidden="1">
      <c r="C6" s="29" t="s">
        <v>371</v>
      </c>
      <c r="D6" s="30">
        <f>+D5</f>
        <v>87890</v>
      </c>
      <c r="E6" s="30">
        <v>1114</v>
      </c>
      <c r="F6" s="30">
        <f>+F5</f>
        <v>0</v>
      </c>
      <c r="G6" s="30">
        <v>1346</v>
      </c>
      <c r="H6" s="30">
        <f>+H5</f>
        <v>0</v>
      </c>
      <c r="J6" s="30">
        <f>+M6-D6-E6-F6-G6-H6-K6</f>
        <v>137989</v>
      </c>
      <c r="K6" s="30"/>
      <c r="L6" s="30">
        <f>SUM(D6:J6)</f>
        <v>228339</v>
      </c>
      <c r="M6" s="30">
        <f>+4_mell!M5</f>
        <v>228339</v>
      </c>
    </row>
    <row r="7" spans="1:13" ht="30">
      <c r="A7" s="18" t="s">
        <v>20</v>
      </c>
      <c r="B7" s="29" t="str">
        <f>+'[1]2mell 1ápr'!A28</f>
        <v>Városellátó  Szervezet</v>
      </c>
      <c r="C7" s="29" t="s">
        <v>375</v>
      </c>
      <c r="D7" s="30">
        <v>85768</v>
      </c>
      <c r="E7" s="30"/>
      <c r="F7" s="30">
        <v>0</v>
      </c>
      <c r="G7" s="30"/>
      <c r="H7" s="30"/>
      <c r="J7" s="34">
        <f>+M7-K7-H7-G7-F7-E7-D7</f>
        <v>94148</v>
      </c>
      <c r="K7" s="30"/>
      <c r="L7" s="30">
        <f>SUM(D7:J7)</f>
        <v>179916</v>
      </c>
      <c r="M7" s="30">
        <f>+4_mell!M6</f>
        <v>179916</v>
      </c>
    </row>
    <row r="8" spans="1:13" ht="24" customHeight="1">
      <c r="A8" s="18" t="s">
        <v>21</v>
      </c>
      <c r="C8" s="18" t="s">
        <v>488</v>
      </c>
      <c r="D8" s="18">
        <f>+D7</f>
        <v>85768</v>
      </c>
      <c r="J8" s="34">
        <f>+M8-K8-H8-G8-F8-E8-D8</f>
        <v>95048</v>
      </c>
      <c r="L8" s="30">
        <f>SUM(D8:J8)</f>
        <v>180816</v>
      </c>
      <c r="M8" s="30">
        <f>+4_mell!M7</f>
        <v>180816</v>
      </c>
    </row>
    <row r="9" spans="2:13" ht="14.25" customHeight="1">
      <c r="B9" s="29"/>
      <c r="D9" s="30"/>
      <c r="F9" s="30"/>
      <c r="J9" s="30"/>
      <c r="K9" s="30"/>
      <c r="L9" s="30"/>
      <c r="M9" s="30"/>
    </row>
    <row r="10" spans="3:13" ht="0.75" customHeight="1" hidden="1">
      <c r="C10" s="29" t="s">
        <v>50</v>
      </c>
      <c r="D10" s="30">
        <v>19283</v>
      </c>
      <c r="F10" s="34">
        <f>+1_mell!E29+1_mell!E33+1_mell!E34</f>
        <v>46745</v>
      </c>
      <c r="J10" s="30">
        <f>+M10-D10-E10-F10-G10-H10-K10</f>
        <v>52974</v>
      </c>
      <c r="K10" s="30"/>
      <c r="L10" s="30">
        <f>SUM(D10:J10)</f>
        <v>119002</v>
      </c>
      <c r="M10" s="30">
        <f>+4_mell!M9</f>
        <v>119002</v>
      </c>
    </row>
    <row r="11" spans="3:13" ht="15" hidden="1">
      <c r="C11" s="29" t="s">
        <v>371</v>
      </c>
      <c r="D11" s="30">
        <f aca="true" t="shared" si="0" ref="D11:I11">+D10</f>
        <v>19283</v>
      </c>
      <c r="E11" s="30">
        <v>4065</v>
      </c>
      <c r="F11" s="34">
        <f>+F10-5671</f>
        <v>41074</v>
      </c>
      <c r="G11" s="30">
        <v>1349</v>
      </c>
      <c r="H11" s="30">
        <f t="shared" si="0"/>
        <v>0</v>
      </c>
      <c r="I11" s="30">
        <f t="shared" si="0"/>
        <v>0</v>
      </c>
      <c r="J11" s="30">
        <f>+M11-D11-E11-F11-G11-H11-K11</f>
        <v>69211</v>
      </c>
      <c r="K11" s="30"/>
      <c r="L11" s="30">
        <f>SUM(D11:J11)</f>
        <v>134982</v>
      </c>
      <c r="M11" s="30">
        <f>+4_mell!M10</f>
        <v>134982</v>
      </c>
    </row>
    <row r="12" spans="1:13" ht="45">
      <c r="A12" s="18" t="s">
        <v>22</v>
      </c>
      <c r="B12" s="29" t="str">
        <f>+'[1]2mell 1ápr'!A32</f>
        <v>Egészségügyi és Szociális Ellátó Szervezet</v>
      </c>
      <c r="C12" s="29" t="s">
        <v>375</v>
      </c>
      <c r="D12" s="34">
        <v>8903</v>
      </c>
      <c r="E12" s="30">
        <v>0</v>
      </c>
      <c r="F12" s="34">
        <v>32500</v>
      </c>
      <c r="G12" s="30">
        <v>0</v>
      </c>
      <c r="H12" s="30">
        <v>0</v>
      </c>
      <c r="I12" s="30"/>
      <c r="J12" s="34">
        <f>+M12-K12-H12-G12-F12-E12-D12</f>
        <v>84865</v>
      </c>
      <c r="K12" s="30"/>
      <c r="L12" s="30">
        <f>SUM(D12:J12)</f>
        <v>126268</v>
      </c>
      <c r="M12" s="30">
        <f>+4_mell!M11</f>
        <v>126268</v>
      </c>
    </row>
    <row r="13" spans="1:13" ht="27.75" customHeight="1">
      <c r="A13" s="18" t="s">
        <v>23</v>
      </c>
      <c r="C13" s="18" t="s">
        <v>488</v>
      </c>
      <c r="D13" s="31">
        <f>+D12</f>
        <v>8903</v>
      </c>
      <c r="F13" s="31">
        <f>+F12</f>
        <v>32500</v>
      </c>
      <c r="J13" s="34">
        <f>+M13-K13-H13-G13-F13-E13-D13</f>
        <v>84865</v>
      </c>
      <c r="L13" s="30">
        <f>SUM(D13:J13)</f>
        <v>126268</v>
      </c>
      <c r="M13" s="30">
        <f>+4_mell!M12</f>
        <v>126268</v>
      </c>
    </row>
    <row r="14" spans="4:13" ht="13.5" customHeight="1">
      <c r="D14" s="30"/>
      <c r="J14" s="30"/>
      <c r="K14" s="30"/>
      <c r="L14" s="30"/>
      <c r="M14" s="30"/>
    </row>
    <row r="15" spans="3:13" ht="28.5" customHeight="1" hidden="1">
      <c r="C15" s="29" t="s">
        <v>50</v>
      </c>
      <c r="D15" s="30">
        <v>1290</v>
      </c>
      <c r="J15" s="30">
        <f>+M15-D15-E15-F15-G15-H15-K15</f>
        <v>17458</v>
      </c>
      <c r="K15" s="30"/>
      <c r="L15" s="30">
        <f>SUM(D15:J15)</f>
        <v>18748</v>
      </c>
      <c r="M15" s="30">
        <f>+4_mell!M14</f>
        <v>18748</v>
      </c>
    </row>
    <row r="16" spans="3:13" ht="30.75" customHeight="1" hidden="1">
      <c r="C16" s="29" t="s">
        <v>371</v>
      </c>
      <c r="D16" s="30">
        <f>+D15</f>
        <v>1290</v>
      </c>
      <c r="E16" s="30">
        <f>+E15</f>
        <v>0</v>
      </c>
      <c r="F16" s="30">
        <f>+F15+4878</f>
        <v>4878</v>
      </c>
      <c r="G16" s="30">
        <v>806</v>
      </c>
      <c r="H16" s="30">
        <f>+H15+3122</f>
        <v>3122</v>
      </c>
      <c r="J16" s="30">
        <f>+M16-D16-E16-F16-G16-H16-K16</f>
        <v>20900</v>
      </c>
      <c r="K16" s="30"/>
      <c r="L16" s="30">
        <f>SUM(D16:J16)</f>
        <v>30996</v>
      </c>
      <c r="M16" s="30">
        <f>+4_mell!M15</f>
        <v>30996</v>
      </c>
    </row>
    <row r="17" spans="1:13" ht="28.5" customHeight="1">
      <c r="A17" s="18" t="s">
        <v>24</v>
      </c>
      <c r="B17" s="29" t="str">
        <f>+'[2]kiadás'!B24</f>
        <v>Városi Művelődési Központ és Könyvtár</v>
      </c>
      <c r="C17" s="29" t="s">
        <v>375</v>
      </c>
      <c r="D17" s="30">
        <v>2200</v>
      </c>
      <c r="E17" s="30"/>
      <c r="F17" s="30">
        <v>0</v>
      </c>
      <c r="G17" s="30"/>
      <c r="H17" s="30"/>
      <c r="J17" s="34">
        <f>+M17-K17-H17-G17-F17-E17-D17</f>
        <v>19318</v>
      </c>
      <c r="K17" s="30"/>
      <c r="L17" s="30">
        <f>SUM(D17:J17)</f>
        <v>21518</v>
      </c>
      <c r="M17" s="30">
        <f>+4_mell!M16</f>
        <v>21518</v>
      </c>
    </row>
    <row r="18" spans="1:13" ht="21" customHeight="1">
      <c r="A18" s="18" t="s">
        <v>25</v>
      </c>
      <c r="C18" s="18" t="s">
        <v>488</v>
      </c>
      <c r="D18" s="32">
        <f>+D17</f>
        <v>2200</v>
      </c>
      <c r="E18" s="32"/>
      <c r="F18" s="32"/>
      <c r="G18" s="32"/>
      <c r="H18" s="32"/>
      <c r="I18" s="32"/>
      <c r="J18" s="34">
        <f>+M18-K18-H18-G18-F18-E18-D18</f>
        <v>19318</v>
      </c>
      <c r="K18" s="32"/>
      <c r="L18" s="30">
        <f>SUM(D18:J18)</f>
        <v>21518</v>
      </c>
      <c r="M18" s="30">
        <f>+4_mell!M17</f>
        <v>21518</v>
      </c>
    </row>
    <row r="19" spans="4:13" ht="15" customHeight="1">
      <c r="D19" s="32"/>
      <c r="E19" s="32"/>
      <c r="F19" s="33"/>
      <c r="G19" s="32"/>
      <c r="H19" s="33"/>
      <c r="I19" s="32"/>
      <c r="J19" s="33"/>
      <c r="L19" s="32"/>
      <c r="M19" s="32"/>
    </row>
    <row r="20" spans="3:13" ht="28.5" customHeight="1" hidden="1">
      <c r="C20" s="29" t="s">
        <v>50</v>
      </c>
      <c r="D20" s="32">
        <f>122+2014+2061+48-1</f>
        <v>4244</v>
      </c>
      <c r="E20" s="32"/>
      <c r="F20" s="33">
        <f>+1_mell!E31+1_mell!E32+1_mell!E33+1_mell!E34</f>
        <v>19345</v>
      </c>
      <c r="G20" s="32"/>
      <c r="H20" s="33"/>
      <c r="I20" s="32"/>
      <c r="J20" s="33"/>
      <c r="L20" s="32">
        <f>SUM(D20:J20)</f>
        <v>23589</v>
      </c>
      <c r="M20" s="32">
        <f>+4_mell!M19</f>
        <v>102806</v>
      </c>
    </row>
    <row r="21" spans="3:13" ht="15" hidden="1">
      <c r="C21" s="29" t="s">
        <v>371</v>
      </c>
      <c r="D21" s="32">
        <f>+D20</f>
        <v>4244</v>
      </c>
      <c r="E21" s="32">
        <v>40813</v>
      </c>
      <c r="F21" s="33">
        <f>+F20-8000-5671+420+2000+384+93588+39-6500+66445+19+3248</f>
        <v>165317</v>
      </c>
      <c r="G21" s="32">
        <f>+G20</f>
        <v>0</v>
      </c>
      <c r="H21" s="33">
        <v>20200</v>
      </c>
      <c r="I21" s="32"/>
      <c r="J21" s="33"/>
      <c r="L21" s="32">
        <f>SUM(D21:J21)</f>
        <v>230574</v>
      </c>
      <c r="M21" s="32">
        <f>+4_mell!M20</f>
        <v>378492</v>
      </c>
    </row>
    <row r="22" spans="1:13" ht="30">
      <c r="A22" s="18" t="s">
        <v>26</v>
      </c>
      <c r="B22" s="29" t="s">
        <v>41</v>
      </c>
      <c r="C22" s="29" t="s">
        <v>375</v>
      </c>
      <c r="D22" s="32">
        <v>500</v>
      </c>
      <c r="E22" s="32"/>
      <c r="F22" s="33">
        <f>+1_mell!E30+1_mell!E31+1_mell!E32+1_mell!E33+1_mell!E34+1_mell!E35</f>
        <v>117844</v>
      </c>
      <c r="G22" s="32"/>
      <c r="H22" s="33"/>
      <c r="I22" s="32"/>
      <c r="J22" s="33"/>
      <c r="K22" s="31">
        <f>+1_mell!E6-1_mell!E7+1_mell!E19+1_mell!E23+1_mell!E40</f>
        <v>447916</v>
      </c>
      <c r="L22" s="32">
        <f>SUM(D22:K22)</f>
        <v>566260</v>
      </c>
      <c r="M22" s="32">
        <f>+4_mell!M21</f>
        <v>89097</v>
      </c>
    </row>
    <row r="23" spans="1:13" ht="24" customHeight="1">
      <c r="A23" s="18" t="s">
        <v>27</v>
      </c>
      <c r="C23" s="18" t="s">
        <v>488</v>
      </c>
      <c r="D23" s="32">
        <f>+D22</f>
        <v>500</v>
      </c>
      <c r="E23" s="32"/>
      <c r="F23" s="33">
        <f>+F22</f>
        <v>117844</v>
      </c>
      <c r="G23" s="32"/>
      <c r="H23" s="33">
        <f>+1_mell!F38</f>
        <v>26212</v>
      </c>
      <c r="I23" s="32"/>
      <c r="J23" s="33"/>
      <c r="K23" s="31">
        <f>+1_mell!F6-1_mell!F7+1_mell!F19+1_mell!F23+1_mell!F40</f>
        <v>447916</v>
      </c>
      <c r="L23" s="32">
        <f>SUM(D23:K23)</f>
        <v>592472</v>
      </c>
      <c r="M23" s="32">
        <f>+4_mell!M22</f>
        <v>114409</v>
      </c>
    </row>
    <row r="24" spans="3:13" ht="15">
      <c r="C24" s="29"/>
      <c r="D24" s="32"/>
      <c r="E24" s="32"/>
      <c r="F24" s="33"/>
      <c r="G24" s="32"/>
      <c r="H24" s="33"/>
      <c r="I24" s="32"/>
      <c r="J24" s="33"/>
      <c r="L24" s="32"/>
      <c r="M24" s="32"/>
    </row>
    <row r="25" spans="3:13" ht="31.5" customHeight="1" hidden="1">
      <c r="C25" s="29" t="s">
        <v>50</v>
      </c>
      <c r="D25" s="30">
        <f>216+1375-1</f>
        <v>1590</v>
      </c>
      <c r="F25" s="31">
        <f>+1_mell!D30</f>
        <v>146826</v>
      </c>
      <c r="J25" s="34">
        <f>+M25-D25-E25-F25-G25-H25-K25</f>
        <v>175377</v>
      </c>
      <c r="K25" s="33"/>
      <c r="L25" s="30">
        <f>SUM(D25:J25)</f>
        <v>323793</v>
      </c>
      <c r="M25" s="30">
        <f>+4_mell!M27</f>
        <v>323793</v>
      </c>
    </row>
    <row r="26" spans="3:13" ht="31.5" customHeight="1" hidden="1">
      <c r="C26" s="29" t="s">
        <v>371</v>
      </c>
      <c r="D26" s="30">
        <f>+D25</f>
        <v>1590</v>
      </c>
      <c r="E26" s="30">
        <v>6610</v>
      </c>
      <c r="F26" s="34">
        <f>+F25-84005+9981-26912-16962+11548</f>
        <v>40476</v>
      </c>
      <c r="G26" s="30">
        <v>225</v>
      </c>
      <c r="H26" s="30">
        <f>+H25</f>
        <v>0</v>
      </c>
      <c r="J26" s="34">
        <f>+M26-K26-H26-G26-F26-E26-D26</f>
        <v>311996</v>
      </c>
      <c r="K26" s="33"/>
      <c r="L26" s="30">
        <f>SUM(D26:J26)</f>
        <v>360897</v>
      </c>
      <c r="M26" s="30">
        <f>+4_mell!M28</f>
        <v>360897</v>
      </c>
    </row>
    <row r="27" spans="1:13" ht="32.25" customHeight="1">
      <c r="A27" s="18" t="s">
        <v>28</v>
      </c>
      <c r="B27" s="29" t="s">
        <v>335</v>
      </c>
      <c r="C27" s="29" t="s">
        <v>375</v>
      </c>
      <c r="D27" s="18">
        <v>2100</v>
      </c>
      <c r="F27" s="18">
        <v>0</v>
      </c>
      <c r="J27" s="34">
        <f>+M27-K27-H27-G27-F27-E27-D27</f>
        <v>278832</v>
      </c>
      <c r="L27" s="30">
        <f>SUM(D27:J27)</f>
        <v>280932</v>
      </c>
      <c r="M27" s="18">
        <f>+4_mell!M30</f>
        <v>280932</v>
      </c>
    </row>
    <row r="28" spans="1:13" ht="24.75" customHeight="1">
      <c r="A28" s="18" t="s">
        <v>29</v>
      </c>
      <c r="C28" s="18" t="s">
        <v>488</v>
      </c>
      <c r="D28" s="18">
        <f>+D27</f>
        <v>2100</v>
      </c>
      <c r="J28" s="34">
        <f>+M28-K28-H28-G28-F28-E28-D28</f>
        <v>278832</v>
      </c>
      <c r="L28" s="30">
        <f>SUM(D28:J28)</f>
        <v>280932</v>
      </c>
      <c r="M28" s="18">
        <f>+4_mell!M31</f>
        <v>280932</v>
      </c>
    </row>
    <row r="29" spans="3:12" ht="15" customHeight="1">
      <c r="C29" s="29"/>
      <c r="L29" s="30"/>
    </row>
    <row r="30" spans="3:13" ht="32.25" customHeight="1" hidden="1">
      <c r="C30" s="29" t="s">
        <v>50</v>
      </c>
      <c r="D30" s="32">
        <f aca="true" t="shared" si="1" ref="D30:M30">+D25+D20+D15+D10+D5</f>
        <v>114297</v>
      </c>
      <c r="E30" s="32">
        <f t="shared" si="1"/>
        <v>0</v>
      </c>
      <c r="F30" s="32">
        <f t="shared" si="1"/>
        <v>212916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33">
        <f t="shared" si="1"/>
        <v>340029</v>
      </c>
      <c r="K30" s="32">
        <f t="shared" si="1"/>
        <v>0</v>
      </c>
      <c r="L30" s="32">
        <f t="shared" si="1"/>
        <v>667242</v>
      </c>
      <c r="M30" s="32">
        <f t="shared" si="1"/>
        <v>746459</v>
      </c>
    </row>
    <row r="31" spans="3:13" ht="15" hidden="1">
      <c r="C31" s="29" t="s">
        <v>371</v>
      </c>
      <c r="D31" s="32">
        <f aca="true" t="shared" si="2" ref="D31:M31">+D26+D21+D16+D11+D6</f>
        <v>114297</v>
      </c>
      <c r="E31" s="32">
        <f t="shared" si="2"/>
        <v>52602</v>
      </c>
      <c r="F31" s="33">
        <f t="shared" si="2"/>
        <v>251745</v>
      </c>
      <c r="G31" s="32">
        <f t="shared" si="2"/>
        <v>3726</v>
      </c>
      <c r="H31" s="32">
        <f t="shared" si="2"/>
        <v>23322</v>
      </c>
      <c r="I31" s="32">
        <f t="shared" si="2"/>
        <v>0</v>
      </c>
      <c r="J31" s="32">
        <f t="shared" si="2"/>
        <v>540096</v>
      </c>
      <c r="K31" s="32">
        <f t="shared" si="2"/>
        <v>0</v>
      </c>
      <c r="L31" s="32">
        <f t="shared" si="2"/>
        <v>985788</v>
      </c>
      <c r="M31" s="32">
        <f t="shared" si="2"/>
        <v>1133706</v>
      </c>
    </row>
    <row r="32" spans="1:13" ht="33.75" customHeight="1">
      <c r="A32" s="18" t="s">
        <v>30</v>
      </c>
      <c r="B32" s="35" t="s">
        <v>49</v>
      </c>
      <c r="C32" s="29" t="s">
        <v>375</v>
      </c>
      <c r="D32" s="32">
        <f aca="true" t="shared" si="3" ref="D32:K33">+D27+D22+D17+D12+D7</f>
        <v>99471</v>
      </c>
      <c r="E32" s="32">
        <f t="shared" si="3"/>
        <v>0</v>
      </c>
      <c r="F32" s="32">
        <f t="shared" si="3"/>
        <v>150344</v>
      </c>
      <c r="G32" s="32">
        <f t="shared" si="3"/>
        <v>0</v>
      </c>
      <c r="H32" s="32">
        <f t="shared" si="3"/>
        <v>0</v>
      </c>
      <c r="I32" s="32">
        <f t="shared" si="3"/>
        <v>0</v>
      </c>
      <c r="J32" s="33">
        <f t="shared" si="3"/>
        <v>477163</v>
      </c>
      <c r="K32" s="32">
        <f t="shared" si="3"/>
        <v>447916</v>
      </c>
      <c r="L32" s="32">
        <f>+K32+H32+G32+F32+E32+D32</f>
        <v>697731</v>
      </c>
      <c r="M32" s="32">
        <f>+M27+M22+M17+M12+M7</f>
        <v>697731</v>
      </c>
    </row>
    <row r="33" spans="1:13" ht="15">
      <c r="A33" s="18" t="s">
        <v>31</v>
      </c>
      <c r="B33" s="32"/>
      <c r="C33" s="18" t="s">
        <v>488</v>
      </c>
      <c r="D33" s="32">
        <f t="shared" si="3"/>
        <v>99471</v>
      </c>
      <c r="E33" s="32">
        <f t="shared" si="3"/>
        <v>0</v>
      </c>
      <c r="F33" s="32">
        <f t="shared" si="3"/>
        <v>150344</v>
      </c>
      <c r="G33" s="32">
        <f t="shared" si="3"/>
        <v>0</v>
      </c>
      <c r="H33" s="32">
        <f t="shared" si="3"/>
        <v>26212</v>
      </c>
      <c r="I33" s="32">
        <f t="shared" si="3"/>
        <v>0</v>
      </c>
      <c r="J33" s="32">
        <f t="shared" si="3"/>
        <v>478063</v>
      </c>
      <c r="K33" s="32">
        <f t="shared" si="3"/>
        <v>447916</v>
      </c>
      <c r="L33" s="32">
        <f>+L28+L23+L18+L13+L8</f>
        <v>1202006</v>
      </c>
      <c r="M33" s="32">
        <f>+M28+M23+M18+M13+M8</f>
        <v>723943</v>
      </c>
    </row>
    <row r="34" spans="2:13" ht="15">
      <c r="B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2:13" ht="15">
      <c r="B35" s="32"/>
      <c r="D35" s="32"/>
      <c r="E35" s="32"/>
      <c r="F35" s="33"/>
      <c r="G35" s="32"/>
      <c r="H35" s="33"/>
      <c r="I35" s="32"/>
      <c r="J35" s="32"/>
      <c r="K35" s="32"/>
      <c r="L35" s="32"/>
      <c r="M35" s="32"/>
    </row>
    <row r="36" spans="2:13" ht="15">
      <c r="B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15">
      <c r="B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15">
      <c r="B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15">
      <c r="B39" s="32"/>
      <c r="C39" s="29"/>
      <c r="D39" s="32"/>
      <c r="E39" s="32"/>
      <c r="F39" s="32"/>
      <c r="G39" s="32"/>
      <c r="H39" s="32"/>
      <c r="I39" s="32"/>
      <c r="J39" s="33"/>
      <c r="K39" s="32"/>
      <c r="L39" s="32"/>
      <c r="M39" s="32"/>
    </row>
    <row r="40" spans="4:13" ht="15" customHeight="1">
      <c r="D40" s="31"/>
      <c r="F40" s="31"/>
      <c r="G40" s="31"/>
      <c r="H40" s="31"/>
      <c r="L40" s="31"/>
      <c r="M40" s="31"/>
    </row>
    <row r="41" spans="8:13" ht="15" customHeight="1">
      <c r="H41" s="31"/>
      <c r="J41" s="31"/>
      <c r="L41" s="31"/>
      <c r="M41" s="31"/>
    </row>
    <row r="42" spans="2:13" s="27" customFormat="1" ht="15" customHeight="1">
      <c r="B42" s="19"/>
      <c r="C42" s="20"/>
      <c r="D42" s="21"/>
      <c r="E42" s="21"/>
      <c r="F42" s="467"/>
      <c r="G42" s="467"/>
      <c r="H42" s="467"/>
      <c r="I42" s="28"/>
      <c r="J42" s="31"/>
      <c r="K42" s="21"/>
      <c r="L42" s="21"/>
      <c r="M42" s="21"/>
    </row>
    <row r="43" ht="15" customHeight="1">
      <c r="F43" s="31"/>
    </row>
    <row r="44" ht="15" customHeight="1">
      <c r="F44" s="31"/>
    </row>
    <row r="45" ht="15" customHeight="1">
      <c r="F45" s="21"/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2/2014.(I.24.) Önkormányzati költségvetési rendelethez (4 )&amp;R&amp;D</oddHeader>
    <oddFooter>&amp;L( 4 ) a 3/2014.(II.11.) önkormányzati rendelettel módosított szöveg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29">
      <selection activeCell="J56" sqref="J56"/>
    </sheetView>
  </sheetViews>
  <sheetFormatPr defaultColWidth="9.140625" defaultRowHeight="15" customHeight="1"/>
  <cols>
    <col min="1" max="1" width="4.57421875" style="8" bestFit="1" customWidth="1"/>
    <col min="2" max="2" width="25.57421875" style="1" customWidth="1"/>
    <col min="3" max="3" width="15.140625" style="39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703" t="s">
        <v>51</v>
      </c>
      <c r="D1" s="9" t="s">
        <v>52</v>
      </c>
      <c r="E1" s="3" t="s">
        <v>53</v>
      </c>
      <c r="F1" s="36" t="s">
        <v>54</v>
      </c>
      <c r="G1" s="4" t="s">
        <v>55</v>
      </c>
      <c r="H1" s="744" t="s">
        <v>56</v>
      </c>
      <c r="I1" s="744"/>
      <c r="J1" s="744"/>
      <c r="K1" s="744"/>
      <c r="L1" s="3" t="s">
        <v>39</v>
      </c>
      <c r="M1" s="3" t="s">
        <v>57</v>
      </c>
      <c r="N1" s="3"/>
    </row>
    <row r="2" spans="2:14" ht="15" customHeight="1">
      <c r="B2" s="5"/>
      <c r="C2" s="473"/>
      <c r="D2" s="7"/>
      <c r="E2" s="7"/>
      <c r="F2" s="7"/>
      <c r="G2" s="7"/>
      <c r="H2" s="7" t="s">
        <v>7</v>
      </c>
      <c r="I2" s="7" t="s">
        <v>58</v>
      </c>
      <c r="J2" s="7" t="s">
        <v>8</v>
      </c>
      <c r="K2" s="7" t="s">
        <v>9</v>
      </c>
      <c r="L2" s="7"/>
      <c r="M2" s="7"/>
      <c r="N2" s="7"/>
    </row>
    <row r="3" spans="1:14" s="8" customFormat="1" ht="20.25" customHeight="1">
      <c r="A3" s="8" t="s">
        <v>362</v>
      </c>
      <c r="B3" s="2" t="s">
        <v>12</v>
      </c>
      <c r="C3" s="70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59</v>
      </c>
      <c r="J3" s="3" t="s">
        <v>19</v>
      </c>
      <c r="K3" s="3" t="s">
        <v>360</v>
      </c>
      <c r="L3" s="3" t="s">
        <v>361</v>
      </c>
      <c r="M3" s="3" t="s">
        <v>363</v>
      </c>
      <c r="N3" s="3"/>
    </row>
    <row r="4" spans="3:14" ht="31.5" customHeight="1" hidden="1">
      <c r="C4" s="463" t="s">
        <v>50</v>
      </c>
      <c r="D4" s="109">
        <v>41905</v>
      </c>
      <c r="E4" s="109">
        <v>11238</v>
      </c>
      <c r="F4" s="109">
        <f>130967-4000+2000</f>
        <v>128967</v>
      </c>
      <c r="G4" s="109">
        <f>SUM(D4:F4)</f>
        <v>182110</v>
      </c>
      <c r="H4" s="109"/>
      <c r="I4" s="109"/>
      <c r="J4" s="109"/>
      <c r="K4" s="109"/>
      <c r="L4" s="109"/>
      <c r="M4" s="109">
        <f>SUM(G4:L4)</f>
        <v>182110</v>
      </c>
      <c r="N4" s="11"/>
    </row>
    <row r="5" spans="3:14" ht="30.75" hidden="1">
      <c r="C5" s="466" t="s">
        <v>372</v>
      </c>
      <c r="D5" s="109">
        <f>+D4+713+364+235+449</f>
        <v>43666</v>
      </c>
      <c r="E5" s="109">
        <f>+E4+192+462+63+122</f>
        <v>12077</v>
      </c>
      <c r="F5" s="109">
        <f>+F4+43132</f>
        <v>172099</v>
      </c>
      <c r="G5" s="109">
        <f>SUM(D5:F5)</f>
        <v>227842</v>
      </c>
      <c r="H5" s="109"/>
      <c r="I5" s="109"/>
      <c r="J5" s="109"/>
      <c r="K5" s="109"/>
      <c r="L5" s="109">
        <v>497</v>
      </c>
      <c r="M5" s="109">
        <f>SUM(G5:L5)</f>
        <v>228339</v>
      </c>
      <c r="N5" s="11"/>
    </row>
    <row r="6" spans="1:13" s="11" customFormat="1" ht="31.5">
      <c r="A6" s="8" t="s">
        <v>20</v>
      </c>
      <c r="B6" s="10" t="str">
        <f>+'[1]2mell 1ápr'!A28</f>
        <v>Városellátó  Szervezet</v>
      </c>
      <c r="C6" s="11" t="s">
        <v>375</v>
      </c>
      <c r="D6" s="11">
        <v>42097</v>
      </c>
      <c r="E6" s="11">
        <v>11376</v>
      </c>
      <c r="F6" s="11">
        <v>126443</v>
      </c>
      <c r="G6" s="11">
        <f>SUM(D6:F6)</f>
        <v>179916</v>
      </c>
      <c r="L6" s="11">
        <v>0</v>
      </c>
      <c r="M6" s="11">
        <f>SUM(G6:L6)</f>
        <v>179916</v>
      </c>
    </row>
    <row r="7" spans="1:13" s="11" customFormat="1" ht="31.5">
      <c r="A7" s="41" t="s">
        <v>21</v>
      </c>
      <c r="B7" s="474"/>
      <c r="C7" s="474" t="s">
        <v>487</v>
      </c>
      <c r="D7" s="11">
        <f>+D6</f>
        <v>42097</v>
      </c>
      <c r="E7" s="11">
        <f>+E6</f>
        <v>11376</v>
      </c>
      <c r="F7" s="11">
        <f>+F6+900</f>
        <v>127343</v>
      </c>
      <c r="G7" s="11">
        <f>SUM(D7:F7)</f>
        <v>180816</v>
      </c>
      <c r="L7" s="11">
        <f>+L6</f>
        <v>0</v>
      </c>
      <c r="M7" s="11">
        <f>SUM(G7:L7)</f>
        <v>180816</v>
      </c>
    </row>
    <row r="8" spans="3:14" ht="15.75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"/>
    </row>
    <row r="9" spans="1:16" ht="33" customHeight="1" hidden="1">
      <c r="A9" s="1"/>
      <c r="C9" s="463" t="s">
        <v>50</v>
      </c>
      <c r="D9" s="109">
        <v>62208</v>
      </c>
      <c r="E9" s="109">
        <v>14440</v>
      </c>
      <c r="F9" s="109">
        <f>42090+274+3846+144-4000</f>
        <v>42354</v>
      </c>
      <c r="G9" s="109">
        <f>SUM(D9:F9)</f>
        <v>119002</v>
      </c>
      <c r="H9" s="109"/>
      <c r="I9" s="109"/>
      <c r="J9" s="109"/>
      <c r="K9" s="109"/>
      <c r="L9" s="109"/>
      <c r="M9" s="109">
        <f>SUM(G9:L9)</f>
        <v>119002</v>
      </c>
      <c r="N9" s="11"/>
      <c r="O9" s="1">
        <v>127355</v>
      </c>
      <c r="P9" s="1">
        <f>+O9-M9</f>
        <v>8353</v>
      </c>
    </row>
    <row r="10" spans="3:14" ht="30.75" hidden="1">
      <c r="C10" s="466" t="s">
        <v>372</v>
      </c>
      <c r="D10" s="109">
        <f>+D9+1303+360+462+669</f>
        <v>65002</v>
      </c>
      <c r="E10" s="109">
        <f>+E9+352+97+125+180</f>
        <v>15194</v>
      </c>
      <c r="F10" s="109">
        <f>+F9+8867+1674+1891</f>
        <v>54786</v>
      </c>
      <c r="G10" s="109">
        <f>SUM(D10:F10)</f>
        <v>134982</v>
      </c>
      <c r="H10" s="109"/>
      <c r="I10" s="109"/>
      <c r="J10" s="109"/>
      <c r="K10" s="109"/>
      <c r="L10" s="109"/>
      <c r="M10" s="109">
        <f>SUM(G10:L10)</f>
        <v>134982</v>
      </c>
      <c r="N10" s="11"/>
    </row>
    <row r="11" spans="1:13" s="11" customFormat="1" ht="47.25">
      <c r="A11" s="8" t="s">
        <v>22</v>
      </c>
      <c r="B11" s="10" t="str">
        <f>+'[1]2mell 1ápr'!A32</f>
        <v>Egészségügyi és Szociális Ellátó Szervezet</v>
      </c>
      <c r="C11" s="11" t="s">
        <v>375</v>
      </c>
      <c r="D11" s="15">
        <v>66502</v>
      </c>
      <c r="E11" s="15">
        <v>17794</v>
      </c>
      <c r="F11" s="15">
        <v>41972</v>
      </c>
      <c r="G11" s="15">
        <f>SUM(D11:F11)</f>
        <v>126268</v>
      </c>
      <c r="M11" s="15">
        <f>SUM(G11:L11)</f>
        <v>126268</v>
      </c>
    </row>
    <row r="12" spans="1:13" s="11" customFormat="1" ht="31.5">
      <c r="A12" s="41" t="s">
        <v>23</v>
      </c>
      <c r="B12" s="474"/>
      <c r="C12" s="474" t="s">
        <v>487</v>
      </c>
      <c r="D12" s="15">
        <f>+D11</f>
        <v>66502</v>
      </c>
      <c r="E12" s="15">
        <f>+E11</f>
        <v>17794</v>
      </c>
      <c r="F12" s="15">
        <f>+F11</f>
        <v>41972</v>
      </c>
      <c r="G12" s="15">
        <f>SUM(D12:F12)</f>
        <v>126268</v>
      </c>
      <c r="M12" s="15">
        <f>SUM(G12:L12)</f>
        <v>126268</v>
      </c>
    </row>
    <row r="13" spans="3:14" ht="15.75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"/>
      <c r="N13" s="11"/>
    </row>
    <row r="14" spans="1:14" ht="31.5" customHeight="1" hidden="1">
      <c r="A14" s="1"/>
      <c r="C14" s="463" t="s">
        <v>50</v>
      </c>
      <c r="D14" s="109">
        <v>9313</v>
      </c>
      <c r="E14" s="109">
        <v>2514</v>
      </c>
      <c r="F14" s="109">
        <f>8521-2000+400</f>
        <v>6921</v>
      </c>
      <c r="G14" s="109">
        <f>SUM(D14:F14)</f>
        <v>18748</v>
      </c>
      <c r="H14" s="109"/>
      <c r="I14" s="109"/>
      <c r="J14" s="109"/>
      <c r="K14" s="109"/>
      <c r="L14" s="109"/>
      <c r="M14" s="109">
        <f>SUM(G14:L14)</f>
        <v>18748</v>
      </c>
      <c r="N14" s="11"/>
    </row>
    <row r="15" spans="3:14" ht="30.75" hidden="1">
      <c r="C15" s="466" t="s">
        <v>372</v>
      </c>
      <c r="D15" s="109">
        <f>+D14+95+32+756+72</f>
        <v>10268</v>
      </c>
      <c r="E15" s="109">
        <f>+E14+25+8+204+21</f>
        <v>2772</v>
      </c>
      <c r="F15" s="109">
        <f>+F14+2408+408-408+179+3918+1000</f>
        <v>14426</v>
      </c>
      <c r="G15" s="109">
        <f>SUM(D15:F15)</f>
        <v>27466</v>
      </c>
      <c r="H15" s="109"/>
      <c r="I15" s="109"/>
      <c r="J15" s="109"/>
      <c r="K15" s="109"/>
      <c r="L15" s="109">
        <f>408+3122</f>
        <v>3530</v>
      </c>
      <c r="M15" s="109">
        <f>SUM(G15:L15)</f>
        <v>30996</v>
      </c>
      <c r="N15" s="11"/>
    </row>
    <row r="16" spans="1:13" s="11" customFormat="1" ht="31.5">
      <c r="A16" s="8" t="s">
        <v>24</v>
      </c>
      <c r="B16" s="10" t="s">
        <v>60</v>
      </c>
      <c r="C16" s="11" t="s">
        <v>375</v>
      </c>
      <c r="D16" s="11">
        <v>9409</v>
      </c>
      <c r="E16" s="11">
        <v>2539</v>
      </c>
      <c r="F16" s="11">
        <f>8870+700</f>
        <v>9570</v>
      </c>
      <c r="G16" s="11">
        <f>SUM(D16:F16)</f>
        <v>21518</v>
      </c>
      <c r="L16" s="11">
        <v>0</v>
      </c>
      <c r="M16" s="11">
        <f>SUM(G16:L16)</f>
        <v>21518</v>
      </c>
    </row>
    <row r="17" spans="1:13" s="11" customFormat="1" ht="31.5">
      <c r="A17" s="41" t="s">
        <v>25</v>
      </c>
      <c r="B17" s="474"/>
      <c r="C17" s="474" t="s">
        <v>487</v>
      </c>
      <c r="D17" s="11">
        <f>+D16</f>
        <v>9409</v>
      </c>
      <c r="E17" s="11">
        <f>+E16</f>
        <v>2539</v>
      </c>
      <c r="F17" s="11">
        <f>+F16</f>
        <v>9570</v>
      </c>
      <c r="G17" s="11">
        <f>SUM(D17:F17)</f>
        <v>21518</v>
      </c>
      <c r="L17" s="11">
        <f>+L16</f>
        <v>0</v>
      </c>
      <c r="M17" s="11">
        <f>SUM(G17:L17)</f>
        <v>21518</v>
      </c>
    </row>
    <row r="18" spans="3:14" ht="15.75">
      <c r="C18" s="464"/>
      <c r="D18" s="464"/>
      <c r="E18" s="464"/>
      <c r="F18" s="464"/>
      <c r="G18" s="464"/>
      <c r="H18" s="465"/>
      <c r="I18" s="465"/>
      <c r="J18" s="465"/>
      <c r="K18" s="465"/>
      <c r="L18" s="465"/>
      <c r="M18" s="464"/>
      <c r="N18" s="13"/>
    </row>
    <row r="19" spans="1:14" ht="29.25" customHeight="1" hidden="1">
      <c r="A19" s="1"/>
      <c r="C19" s="466" t="s">
        <v>50</v>
      </c>
      <c r="D19" s="464">
        <v>15988</v>
      </c>
      <c r="E19" s="464">
        <v>2561</v>
      </c>
      <c r="F19" s="464">
        <f>54260-2000</f>
        <v>52260</v>
      </c>
      <c r="G19" s="464">
        <f>SUM(D19:F19)</f>
        <v>70809</v>
      </c>
      <c r="H19" s="465">
        <f>+5_mell!C17</f>
        <v>26169</v>
      </c>
      <c r="I19" s="465">
        <v>5828</v>
      </c>
      <c r="J19" s="465"/>
      <c r="K19" s="465"/>
      <c r="L19" s="465">
        <v>0</v>
      </c>
      <c r="M19" s="464">
        <f>SUM(G19:L19)</f>
        <v>102806</v>
      </c>
      <c r="N19" s="13"/>
    </row>
    <row r="20" spans="1:14" ht="0.75" customHeight="1">
      <c r="A20" s="8">
        <v>7</v>
      </c>
      <c r="C20" s="466" t="s">
        <v>372</v>
      </c>
      <c r="D20" s="464">
        <f>+D19+21+302+62985+214+45000+21+37</f>
        <v>124568</v>
      </c>
      <c r="E20" s="464">
        <f>+E19+6+82+8503+52+6300+6</f>
        <v>17510</v>
      </c>
      <c r="F20" s="464">
        <f>+F19+55665+15600-4751+15145-323-2252-347+9</f>
        <v>131006</v>
      </c>
      <c r="G20" s="464">
        <f>SUM(D20:F20)</f>
        <v>273084</v>
      </c>
      <c r="H20" s="465">
        <v>29562</v>
      </c>
      <c r="I20" s="465">
        <v>18442</v>
      </c>
      <c r="J20" s="465">
        <v>3726</v>
      </c>
      <c r="K20" s="465">
        <v>3000</v>
      </c>
      <c r="L20" s="465">
        <v>50678</v>
      </c>
      <c r="M20" s="464">
        <f>SUM(G20:L20)</f>
        <v>378492</v>
      </c>
      <c r="N20" s="13"/>
    </row>
    <row r="21" spans="1:14" ht="31.5">
      <c r="A21" s="8" t="s">
        <v>26</v>
      </c>
      <c r="B21" s="16" t="str">
        <f>+'[2]bevétel'!B34</f>
        <v>Battonya Város Önkormányzata</v>
      </c>
      <c r="C21" s="1" t="s">
        <v>375</v>
      </c>
      <c r="D21" s="14">
        <f>1620+1412</f>
        <v>3032</v>
      </c>
      <c r="E21" s="14">
        <f>381+394</f>
        <v>775</v>
      </c>
      <c r="F21" s="14">
        <f>2105+507+3067+9450</f>
        <v>15129</v>
      </c>
      <c r="G21" s="13">
        <f>SUM(D21:F21)</f>
        <v>18936</v>
      </c>
      <c r="H21" s="14">
        <f>+5_mell!C17</f>
        <v>26169</v>
      </c>
      <c r="I21" s="14">
        <f>+6_mell!J31</f>
        <v>5114</v>
      </c>
      <c r="J21" s="14">
        <v>0</v>
      </c>
      <c r="K21" s="14">
        <f>+2_mell!E19</f>
        <v>3000</v>
      </c>
      <c r="L21" s="14">
        <f>+7_mell!C21</f>
        <v>35878</v>
      </c>
      <c r="M21" s="13">
        <f>SUM(G21:L21)</f>
        <v>89097</v>
      </c>
      <c r="N21" s="13"/>
    </row>
    <row r="22" spans="1:14" ht="31.5">
      <c r="A22" s="8" t="s">
        <v>27</v>
      </c>
      <c r="B22" s="13"/>
      <c r="C22" s="474" t="s">
        <v>487</v>
      </c>
      <c r="D22" s="14">
        <f>+D21</f>
        <v>3032</v>
      </c>
      <c r="E22" s="14">
        <f>+E21</f>
        <v>775</v>
      </c>
      <c r="F22" s="14">
        <f>+F21</f>
        <v>15129</v>
      </c>
      <c r="G22" s="13">
        <f>SUM(D22:F22)</f>
        <v>18936</v>
      </c>
      <c r="H22" s="14">
        <f>+5_mell!D17</f>
        <v>26169</v>
      </c>
      <c r="I22" s="14">
        <f>+6_mell!J31</f>
        <v>5114</v>
      </c>
      <c r="J22" s="14"/>
      <c r="K22" s="14">
        <f>+5_mell!D19</f>
        <v>3000</v>
      </c>
      <c r="L22" s="14">
        <f>+7_mell!D21</f>
        <v>61190</v>
      </c>
      <c r="M22" s="13">
        <f>SUM(G22:L22)</f>
        <v>114409</v>
      </c>
      <c r="N22" s="13"/>
    </row>
    <row r="23" spans="2:14" ht="15" customHeight="1" hidden="1">
      <c r="B23" s="2" t="s">
        <v>0</v>
      </c>
      <c r="C23" s="472" t="s">
        <v>51</v>
      </c>
      <c r="D23" s="9" t="s">
        <v>52</v>
      </c>
      <c r="E23" s="3" t="s">
        <v>53</v>
      </c>
      <c r="F23" s="36" t="s">
        <v>54</v>
      </c>
      <c r="G23" s="4" t="s">
        <v>55</v>
      </c>
      <c r="H23" s="744" t="s">
        <v>56</v>
      </c>
      <c r="I23" s="744"/>
      <c r="J23" s="744"/>
      <c r="K23" s="744"/>
      <c r="L23" s="3" t="s">
        <v>39</v>
      </c>
      <c r="M23" s="3" t="s">
        <v>57</v>
      </c>
      <c r="N23" s="3"/>
    </row>
    <row r="24" spans="2:14" ht="15" customHeight="1" hidden="1">
      <c r="B24" s="5"/>
      <c r="C24" s="473"/>
      <c r="D24" s="7"/>
      <c r="E24" s="7"/>
      <c r="F24" s="7"/>
      <c r="G24" s="7"/>
      <c r="H24" s="7" t="s">
        <v>7</v>
      </c>
      <c r="I24" s="7" t="s">
        <v>58</v>
      </c>
      <c r="J24" s="7" t="s">
        <v>8</v>
      </c>
      <c r="K24" s="7" t="s">
        <v>9</v>
      </c>
      <c r="L24" s="7"/>
      <c r="M24" s="7"/>
      <c r="N24" s="7"/>
    </row>
    <row r="25" spans="2:14" s="8" customFormat="1" ht="20.25" customHeight="1" hidden="1">
      <c r="B25" s="2" t="s">
        <v>12</v>
      </c>
      <c r="C25" s="472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59</v>
      </c>
      <c r="J25" s="3" t="s">
        <v>19</v>
      </c>
      <c r="K25" s="3" t="s">
        <v>360</v>
      </c>
      <c r="L25" s="3" t="s">
        <v>361</v>
      </c>
      <c r="M25" s="3" t="s">
        <v>363</v>
      </c>
      <c r="N25" s="3"/>
    </row>
    <row r="26" spans="2:14" s="8" customFormat="1" ht="20.25" customHeight="1" hidden="1">
      <c r="B26" s="2"/>
      <c r="C26" s="47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466" t="s">
        <v>50</v>
      </c>
      <c r="D27" s="39">
        <f>95148-565+1430</f>
        <v>96013</v>
      </c>
      <c r="E27" s="39">
        <f>25853-153+386</f>
        <v>26086</v>
      </c>
      <c r="F27" s="39">
        <v>23222</v>
      </c>
      <c r="G27" s="39">
        <f>SUM(D27:F27)</f>
        <v>145321</v>
      </c>
      <c r="H27" s="39"/>
      <c r="I27" s="44">
        <v>178472</v>
      </c>
      <c r="J27" s="44"/>
      <c r="K27" s="39"/>
      <c r="L27" s="39"/>
      <c r="M27" s="39">
        <f>SUM(G27:L27)</f>
        <v>323793</v>
      </c>
      <c r="Q27" s="1">
        <f>1430*0.27</f>
        <v>386.1</v>
      </c>
    </row>
    <row r="28" spans="3:13" ht="31.5" customHeight="1" hidden="1">
      <c r="C28" s="466" t="s">
        <v>372</v>
      </c>
      <c r="D28" s="39">
        <f>+D27+377+7152+151+248+8883</f>
        <v>112824</v>
      </c>
      <c r="E28" s="39">
        <f>+E27+102+1813+41+67+2177</f>
        <v>30286</v>
      </c>
      <c r="F28" s="39">
        <f>+F27+14159+1016+488</f>
        <v>38885</v>
      </c>
      <c r="G28" s="39">
        <f>SUM(D28:F28)</f>
        <v>181995</v>
      </c>
      <c r="H28" s="39"/>
      <c r="I28" s="44">
        <v>178902</v>
      </c>
      <c r="J28" s="44"/>
      <c r="K28" s="39"/>
      <c r="L28" s="39"/>
      <c r="M28" s="39">
        <f>SUM(G28:L28)</f>
        <v>360897</v>
      </c>
    </row>
    <row r="29" spans="3:13" ht="15.75">
      <c r="C29" s="466"/>
      <c r="D29" s="39"/>
      <c r="E29" s="39"/>
      <c r="F29" s="39"/>
      <c r="G29" s="39"/>
      <c r="H29" s="39"/>
      <c r="I29" s="44"/>
      <c r="J29" s="44"/>
      <c r="K29" s="39"/>
      <c r="L29" s="39"/>
      <c r="M29" s="39"/>
    </row>
    <row r="30" spans="1:13" s="11" customFormat="1" ht="31.5">
      <c r="A30" s="8" t="s">
        <v>28</v>
      </c>
      <c r="B30" s="10" t="str">
        <f>+3_mell!B27</f>
        <v>Battonyai Polgármesteri Hivatal</v>
      </c>
      <c r="C30" s="11" t="s">
        <v>375</v>
      </c>
      <c r="D30" s="15">
        <f>101076+3364</f>
        <v>104440</v>
      </c>
      <c r="E30" s="15">
        <f>27015+908</f>
        <v>27923</v>
      </c>
      <c r="F30" s="15">
        <v>35344</v>
      </c>
      <c r="G30" s="11">
        <f>SUM(D30:F30)</f>
        <v>167707</v>
      </c>
      <c r="I30" s="15">
        <f>+6_mell!I31</f>
        <v>113225</v>
      </c>
      <c r="M30" s="11">
        <f>SUM(G30:L30)</f>
        <v>280932</v>
      </c>
    </row>
    <row r="31" spans="1:13" s="11" customFormat="1" ht="31.5">
      <c r="A31" s="41" t="s">
        <v>29</v>
      </c>
      <c r="C31" s="474" t="s">
        <v>487</v>
      </c>
      <c r="D31" s="15">
        <f>+D30</f>
        <v>104440</v>
      </c>
      <c r="E31" s="15">
        <f>+E30</f>
        <v>27923</v>
      </c>
      <c r="F31" s="15">
        <f>+F30</f>
        <v>35344</v>
      </c>
      <c r="G31" s="11">
        <f>SUM(D31:F31)</f>
        <v>167707</v>
      </c>
      <c r="I31" s="15">
        <f>+6_mell!I31</f>
        <v>113225</v>
      </c>
      <c r="M31" s="11">
        <f>SUM(G31:L31)</f>
        <v>280932</v>
      </c>
    </row>
    <row r="32" spans="3:14" ht="15" customHeight="1">
      <c r="C32" s="109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13"/>
    </row>
    <row r="33" spans="1:14" ht="33" customHeight="1" hidden="1">
      <c r="A33" s="1"/>
      <c r="C33" s="466" t="s">
        <v>50</v>
      </c>
      <c r="D33" s="464">
        <f aca="true" t="shared" si="0" ref="D33:N33">+D27+D19+D14+D9+D4</f>
        <v>225427</v>
      </c>
      <c r="E33" s="464">
        <f t="shared" si="0"/>
        <v>56839</v>
      </c>
      <c r="F33" s="464">
        <f t="shared" si="0"/>
        <v>253724</v>
      </c>
      <c r="G33" s="464">
        <f t="shared" si="0"/>
        <v>535990</v>
      </c>
      <c r="H33" s="465">
        <f t="shared" si="0"/>
        <v>26169</v>
      </c>
      <c r="I33" s="464">
        <f t="shared" si="0"/>
        <v>184300</v>
      </c>
      <c r="J33" s="464">
        <f t="shared" si="0"/>
        <v>0</v>
      </c>
      <c r="K33" s="464">
        <f t="shared" si="0"/>
        <v>0</v>
      </c>
      <c r="L33" s="464">
        <f t="shared" si="0"/>
        <v>0</v>
      </c>
      <c r="M33" s="464">
        <f t="shared" si="0"/>
        <v>746459</v>
      </c>
      <c r="N33" s="13">
        <f t="shared" si="0"/>
        <v>0</v>
      </c>
    </row>
    <row r="34" spans="3:14" ht="33" customHeight="1" hidden="1">
      <c r="C34" s="466" t="s">
        <v>372</v>
      </c>
      <c r="D34" s="464">
        <f>+D28+D20+D15+D10+D5</f>
        <v>356328</v>
      </c>
      <c r="E34" s="464">
        <f aca="true" t="shared" si="1" ref="E34:N34">+E28+E20+E15+E10+E5</f>
        <v>77839</v>
      </c>
      <c r="F34" s="464">
        <f t="shared" si="1"/>
        <v>411202</v>
      </c>
      <c r="G34" s="464">
        <f t="shared" si="1"/>
        <v>845369</v>
      </c>
      <c r="H34" s="464">
        <f t="shared" si="1"/>
        <v>29562</v>
      </c>
      <c r="I34" s="464">
        <f t="shared" si="1"/>
        <v>197344</v>
      </c>
      <c r="J34" s="464">
        <f t="shared" si="1"/>
        <v>3726</v>
      </c>
      <c r="K34" s="464">
        <f t="shared" si="1"/>
        <v>3000</v>
      </c>
      <c r="L34" s="465">
        <f t="shared" si="1"/>
        <v>54705</v>
      </c>
      <c r="M34" s="464">
        <f t="shared" si="1"/>
        <v>1133706</v>
      </c>
      <c r="N34" s="13">
        <f t="shared" si="1"/>
        <v>0</v>
      </c>
    </row>
    <row r="35" spans="1:14" ht="31.5">
      <c r="A35" s="8" t="s">
        <v>30</v>
      </c>
      <c r="B35" s="16" t="s">
        <v>61</v>
      </c>
      <c r="C35" s="1" t="s">
        <v>375</v>
      </c>
      <c r="D35" s="13">
        <f>+D30+D21+D16+D11+D6</f>
        <v>225480</v>
      </c>
      <c r="E35" s="13">
        <f aca="true" t="shared" si="2" ref="E35:L35">+E30+E21+E16+E11+E6</f>
        <v>60407</v>
      </c>
      <c r="F35" s="13">
        <f t="shared" si="2"/>
        <v>228458</v>
      </c>
      <c r="G35" s="13">
        <f>+G30+G21+G16+G11+G6</f>
        <v>514345</v>
      </c>
      <c r="H35" s="13">
        <f t="shared" si="2"/>
        <v>26169</v>
      </c>
      <c r="I35" s="13">
        <f t="shared" si="2"/>
        <v>118339</v>
      </c>
      <c r="J35" s="13">
        <f t="shared" si="2"/>
        <v>0</v>
      </c>
      <c r="K35" s="13">
        <f t="shared" si="2"/>
        <v>3000</v>
      </c>
      <c r="L35" s="13">
        <f t="shared" si="2"/>
        <v>35878</v>
      </c>
      <c r="M35" s="14">
        <f>+M30+M21+M16+M11+M6</f>
        <v>697731</v>
      </c>
      <c r="N35" s="13"/>
    </row>
    <row r="36" spans="1:14" ht="31.5">
      <c r="A36" s="8" t="s">
        <v>31</v>
      </c>
      <c r="C36" s="474" t="s">
        <v>487</v>
      </c>
      <c r="D36" s="13">
        <f>+D31+D22+D17+D12+D7</f>
        <v>225480</v>
      </c>
      <c r="E36" s="13">
        <f aca="true" t="shared" si="3" ref="E36:L36">+E31+E22+E17+E12+E7</f>
        <v>60407</v>
      </c>
      <c r="F36" s="13">
        <f t="shared" si="3"/>
        <v>229358</v>
      </c>
      <c r="G36" s="14">
        <f>+G31+G22+G17+G12+G7</f>
        <v>515245</v>
      </c>
      <c r="H36" s="13">
        <f t="shared" si="3"/>
        <v>26169</v>
      </c>
      <c r="I36" s="13">
        <f t="shared" si="3"/>
        <v>118339</v>
      </c>
      <c r="J36" s="13">
        <f t="shared" si="3"/>
        <v>0</v>
      </c>
      <c r="K36" s="13">
        <f t="shared" si="3"/>
        <v>3000</v>
      </c>
      <c r="L36" s="13">
        <f t="shared" si="3"/>
        <v>61190</v>
      </c>
      <c r="M36" s="14">
        <f>+M31+M22+M17+M12+M7</f>
        <v>723943</v>
      </c>
      <c r="N36" s="13"/>
    </row>
    <row r="37" spans="7:13" ht="15" customHeight="1">
      <c r="G37" s="17"/>
      <c r="H37" s="12"/>
      <c r="I37" s="17"/>
      <c r="K37" s="12"/>
      <c r="L37" s="17"/>
      <c r="M37" s="17"/>
    </row>
    <row r="38" spans="7:13" ht="15" customHeight="1">
      <c r="G38" s="17"/>
      <c r="H38" s="12"/>
      <c r="I38" s="12"/>
      <c r="J38" s="12"/>
      <c r="K38" s="12"/>
      <c r="L38" s="12"/>
      <c r="M38" s="12"/>
    </row>
    <row r="39" spans="7:13" ht="15" customHeight="1">
      <c r="G39" s="17"/>
      <c r="H39" s="12"/>
      <c r="I39" s="17"/>
      <c r="K39" s="12"/>
      <c r="L39" s="17"/>
      <c r="M39" s="17"/>
    </row>
    <row r="40" spans="8:13" ht="15" customHeight="1">
      <c r="H40" s="12"/>
      <c r="I40" s="12"/>
      <c r="L40" s="12"/>
      <c r="M40" s="12"/>
    </row>
    <row r="41" spans="3:12" ht="15" customHeight="1">
      <c r="C41" s="1"/>
      <c r="L41" s="12"/>
    </row>
    <row r="42" ht="15" customHeight="1">
      <c r="C42" s="1"/>
    </row>
    <row r="43" ht="15" customHeight="1">
      <c r="C43" s="1"/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2/2014.(I.24.) Önkormányzati költségvetési rendelethez (5 )&amp;R&amp;D</oddHeader>
    <oddFooter>&amp;L( 5 ) a 3/2014.(II.11.) önkormányzati rendelettel módosított szöveg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8515625" style="235" customWidth="1"/>
    <col min="2" max="2" width="47.140625" style="235" customWidth="1"/>
    <col min="3" max="3" width="16.140625" style="235" customWidth="1"/>
    <col min="4" max="4" width="15.57421875" style="235" customWidth="1"/>
    <col min="5" max="5" width="9.140625" style="235" customWidth="1"/>
    <col min="6" max="6" width="13.7109375" style="235" bestFit="1" customWidth="1"/>
    <col min="7" max="16384" width="9.140625" style="235" customWidth="1"/>
  </cols>
  <sheetData>
    <row r="1" spans="1:3" ht="12.75">
      <c r="A1" s="745" t="s">
        <v>340</v>
      </c>
      <c r="B1" s="745"/>
      <c r="C1" s="745"/>
    </row>
    <row r="2" spans="2:3" ht="12.75">
      <c r="B2" s="342"/>
      <c r="C2" s="342"/>
    </row>
    <row r="3" spans="2:3" ht="12.75">
      <c r="B3" s="342"/>
      <c r="C3" s="342"/>
    </row>
    <row r="5" spans="2:7" ht="52.5" customHeight="1">
      <c r="B5" s="415" t="s">
        <v>337</v>
      </c>
      <c r="C5" s="416" t="s">
        <v>339</v>
      </c>
      <c r="D5" s="411" t="s">
        <v>375</v>
      </c>
      <c r="E5" s="279"/>
      <c r="F5" s="411"/>
      <c r="G5" s="411"/>
    </row>
    <row r="6" spans="1:7" s="445" customFormat="1" ht="24" customHeight="1">
      <c r="A6" s="445" t="s">
        <v>11</v>
      </c>
      <c r="B6" s="448" t="s">
        <v>12</v>
      </c>
      <c r="C6" s="414" t="s">
        <v>14</v>
      </c>
      <c r="D6" s="446"/>
      <c r="E6" s="447"/>
      <c r="F6" s="414"/>
      <c r="G6" s="414"/>
    </row>
    <row r="7" spans="1:4" ht="12.75">
      <c r="A7" s="235" t="s">
        <v>20</v>
      </c>
      <c r="B7" s="412" t="str">
        <f>+'[3]bevétel'!A40</f>
        <v>Városellátó  Szervezet</v>
      </c>
      <c r="C7" s="667">
        <v>30</v>
      </c>
      <c r="D7" s="343">
        <v>28</v>
      </c>
    </row>
    <row r="8" spans="2:4" ht="12.75">
      <c r="B8" s="412"/>
      <c r="C8" s="343"/>
      <c r="D8" s="343"/>
    </row>
    <row r="9" spans="1:4" ht="12.75">
      <c r="A9" s="235" t="s">
        <v>21</v>
      </c>
      <c r="B9" s="412" t="str">
        <f>+'[3]bevétel'!A46</f>
        <v>Egészségügyi és Szociális Ellátó Szervezet</v>
      </c>
      <c r="C9" s="352">
        <v>34</v>
      </c>
      <c r="D9" s="343">
        <v>35</v>
      </c>
    </row>
    <row r="10" spans="2:4" ht="12.75">
      <c r="B10" s="412" t="s">
        <v>373</v>
      </c>
      <c r="C10" s="352">
        <v>4</v>
      </c>
      <c r="D10" s="343">
        <v>4</v>
      </c>
    </row>
    <row r="11" spans="2:4" ht="12.75">
      <c r="B11" s="413"/>
      <c r="C11" s="343"/>
      <c r="D11" s="343"/>
    </row>
    <row r="12" spans="1:4" ht="12.75">
      <c r="A12" s="235" t="s">
        <v>22</v>
      </c>
      <c r="B12" s="412" t="str">
        <f>+'[3]bevétel'!A62</f>
        <v>Városi Művelődési Központ és Könyvtár</v>
      </c>
      <c r="C12" s="343">
        <v>4</v>
      </c>
      <c r="D12" s="343">
        <v>4</v>
      </c>
    </row>
    <row r="13" spans="2:4" s="275" customFormat="1" ht="12.75">
      <c r="B13" s="414"/>
      <c r="C13" s="398"/>
      <c r="D13" s="398"/>
    </row>
    <row r="14" spans="1:4" ht="12.75">
      <c r="A14" s="235" t="s">
        <v>23</v>
      </c>
      <c r="B14" s="412" t="str">
        <f>+'[3]bevétel'!A76</f>
        <v>Battonya Város Önkormányzata</v>
      </c>
      <c r="C14" s="343">
        <v>1</v>
      </c>
      <c r="D14" s="343">
        <v>1</v>
      </c>
    </row>
    <row r="15" spans="2:4" s="275" customFormat="1" ht="12.75">
      <c r="B15" s="414"/>
      <c r="C15" s="398"/>
      <c r="D15" s="398"/>
    </row>
    <row r="16" spans="1:4" ht="12.75">
      <c r="A16" s="235" t="s">
        <v>24</v>
      </c>
      <c r="B16" s="412" t="s">
        <v>335</v>
      </c>
      <c r="C16" s="343">
        <v>23</v>
      </c>
      <c r="D16" s="343">
        <v>23</v>
      </c>
    </row>
    <row r="17" spans="2:4" ht="12.75">
      <c r="B17" s="413"/>
      <c r="C17" s="343"/>
      <c r="D17" s="343"/>
    </row>
    <row r="18" spans="2:4" s="275" customFormat="1" ht="12.75">
      <c r="B18" s="414"/>
      <c r="C18" s="398"/>
      <c r="D18" s="398"/>
    </row>
    <row r="19" spans="2:4" ht="12.75">
      <c r="B19" s="343"/>
      <c r="C19" s="343"/>
      <c r="D19" s="343"/>
    </row>
    <row r="20" spans="1:4" ht="12.75">
      <c r="A20" s="235" t="s">
        <v>25</v>
      </c>
      <c r="B20" s="398" t="s">
        <v>338</v>
      </c>
      <c r="C20" s="530">
        <f>SUM(C7:C19)</f>
        <v>96</v>
      </c>
      <c r="D20" s="398">
        <f>SUM(D7:D19)</f>
        <v>95</v>
      </c>
    </row>
    <row r="21" spans="2:4" ht="12.75">
      <c r="B21" s="343"/>
      <c r="C21" s="343"/>
      <c r="D21" s="343"/>
    </row>
    <row r="22" spans="2:4" ht="12.75">
      <c r="B22" s="343"/>
      <c r="C22" s="343"/>
      <c r="D22" s="343"/>
    </row>
    <row r="23" spans="1:4" ht="12.75">
      <c r="A23" s="235" t="s">
        <v>26</v>
      </c>
      <c r="B23" s="343" t="s">
        <v>341</v>
      </c>
      <c r="C23" s="343">
        <v>220</v>
      </c>
      <c r="D23" s="343">
        <v>250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2/2014.(I.24.) Önkormányzati költségvetési rendelethez&amp;R&amp;D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F38" sqref="F38"/>
    </sheetView>
  </sheetViews>
  <sheetFormatPr defaultColWidth="9.140625" defaultRowHeight="15" customHeight="1"/>
  <cols>
    <col min="1" max="1" width="5.140625" style="39" customWidth="1"/>
    <col min="2" max="2" width="58.421875" style="38" customWidth="1"/>
    <col min="3" max="3" width="11.57421875" style="39" bestFit="1" customWidth="1"/>
    <col min="4" max="4" width="13.28125" style="39" customWidth="1"/>
    <col min="5" max="5" width="10.28125" style="39" bestFit="1" customWidth="1"/>
    <col min="6" max="7" width="9.140625" style="39" customWidth="1"/>
    <col min="8" max="8" width="10.140625" style="39" bestFit="1" customWidth="1"/>
    <col min="9" max="13" width="13.00390625" style="44" bestFit="1" customWidth="1"/>
    <col min="14" max="29" width="9.140625" style="44" customWidth="1"/>
    <col min="30" max="16384" width="9.140625" style="39" customWidth="1"/>
  </cols>
  <sheetData>
    <row r="1" ht="15" customHeight="1">
      <c r="A1" s="37" t="s">
        <v>62</v>
      </c>
    </row>
    <row r="2" ht="15" customHeight="1">
      <c r="B2" s="40"/>
    </row>
    <row r="3" spans="2:4" ht="15" customHeight="1">
      <c r="B3" s="40" t="s">
        <v>63</v>
      </c>
      <c r="C3" s="41" t="s">
        <v>376</v>
      </c>
      <c r="D3" s="41" t="s">
        <v>376</v>
      </c>
    </row>
    <row r="4" spans="3:4" ht="21" customHeight="1">
      <c r="C4" s="42" t="s">
        <v>64</v>
      </c>
      <c r="D4" s="41" t="s">
        <v>480</v>
      </c>
    </row>
    <row r="6" spans="1:4" ht="15" customHeight="1">
      <c r="A6" s="11" t="s">
        <v>362</v>
      </c>
      <c r="B6" s="43" t="s">
        <v>12</v>
      </c>
      <c r="C6" s="41" t="s">
        <v>13</v>
      </c>
      <c r="D6" s="41" t="s">
        <v>14</v>
      </c>
    </row>
    <row r="8" spans="1:4" ht="15" customHeight="1">
      <c r="A8" s="39" t="s">
        <v>20</v>
      </c>
      <c r="B8" s="38" t="s">
        <v>69</v>
      </c>
      <c r="C8" s="39">
        <f>13319+5</f>
        <v>13324</v>
      </c>
      <c r="D8" s="39">
        <f aca="true" t="shared" si="0" ref="D8:D15">+C8</f>
        <v>13324</v>
      </c>
    </row>
    <row r="9" spans="1:4" ht="15" customHeight="1">
      <c r="A9" s="39" t="s">
        <v>21</v>
      </c>
      <c r="B9" s="38" t="s">
        <v>229</v>
      </c>
      <c r="C9" s="39">
        <v>5000</v>
      </c>
      <c r="D9" s="39">
        <f t="shared" si="0"/>
        <v>5000</v>
      </c>
    </row>
    <row r="10" spans="1:4" ht="15" customHeight="1">
      <c r="A10" s="47" t="s">
        <v>22</v>
      </c>
      <c r="B10" s="45" t="s">
        <v>466</v>
      </c>
      <c r="C10" s="47">
        <f>4000-700-50+1600-45-5</f>
        <v>4800</v>
      </c>
      <c r="D10" s="39">
        <f t="shared" si="0"/>
        <v>4800</v>
      </c>
    </row>
    <row r="11" spans="1:4" ht="15" customHeight="1">
      <c r="A11" s="47" t="s">
        <v>23</v>
      </c>
      <c r="B11" s="88" t="s">
        <v>468</v>
      </c>
      <c r="C11" s="47">
        <v>300</v>
      </c>
      <c r="D11" s="39">
        <f t="shared" si="0"/>
        <v>300</v>
      </c>
    </row>
    <row r="12" spans="1:4" ht="15" customHeight="1">
      <c r="A12" s="47" t="s">
        <v>24</v>
      </c>
      <c r="B12" s="88" t="s">
        <v>469</v>
      </c>
      <c r="C12" s="47">
        <v>300</v>
      </c>
      <c r="D12" s="39">
        <f t="shared" si="0"/>
        <v>300</v>
      </c>
    </row>
    <row r="13" spans="1:4" ht="15" customHeight="1">
      <c r="A13" s="47" t="s">
        <v>25</v>
      </c>
      <c r="B13" s="88" t="s">
        <v>470</v>
      </c>
      <c r="C13" s="47">
        <v>1000</v>
      </c>
      <c r="D13" s="39">
        <f t="shared" si="0"/>
        <v>1000</v>
      </c>
    </row>
    <row r="14" spans="1:4" ht="15" customHeight="1">
      <c r="A14" s="47" t="s">
        <v>26</v>
      </c>
      <c r="B14" s="45" t="s">
        <v>444</v>
      </c>
      <c r="C14" s="47">
        <v>3000</v>
      </c>
      <c r="D14" s="39">
        <f t="shared" si="0"/>
        <v>3000</v>
      </c>
    </row>
    <row r="15" spans="1:4" ht="32.25" customHeight="1">
      <c r="A15" s="47" t="s">
        <v>27</v>
      </c>
      <c r="B15" s="679" t="s">
        <v>477</v>
      </c>
      <c r="C15" s="47">
        <f>15*3</f>
        <v>45</v>
      </c>
      <c r="D15" s="39">
        <f t="shared" si="0"/>
        <v>45</v>
      </c>
    </row>
    <row r="16" spans="1:3" ht="15" customHeight="1">
      <c r="A16" s="47"/>
      <c r="B16" s="45"/>
      <c r="C16" s="47"/>
    </row>
    <row r="17" spans="1:4" ht="15" customHeight="1">
      <c r="A17" s="47" t="s">
        <v>28</v>
      </c>
      <c r="B17" s="5" t="s">
        <v>65</v>
      </c>
      <c r="C17" s="7">
        <f>SUM(C8:C16)-C11-C12-C13</f>
        <v>26169</v>
      </c>
      <c r="D17" s="7">
        <f>SUM(D8:D16)-D11-D12-D13</f>
        <v>26169</v>
      </c>
    </row>
    <row r="18" spans="1:4" ht="15" customHeight="1">
      <c r="A18" s="47"/>
      <c r="B18" s="5"/>
      <c r="C18" s="7"/>
      <c r="D18" s="7"/>
    </row>
    <row r="19" spans="1:4" ht="15" customHeight="1">
      <c r="A19" s="47" t="s">
        <v>29</v>
      </c>
      <c r="B19" s="5" t="s">
        <v>66</v>
      </c>
      <c r="C19" s="7">
        <f>SUM(C21)</f>
        <v>3000</v>
      </c>
      <c r="D19" s="7">
        <f>SUM(D21)</f>
        <v>3000</v>
      </c>
    </row>
    <row r="20" spans="1:4" ht="15" customHeight="1">
      <c r="A20" s="47"/>
      <c r="B20" s="5"/>
      <c r="C20" s="7"/>
      <c r="D20" s="7"/>
    </row>
    <row r="21" spans="1:4" ht="15" customHeight="1">
      <c r="A21" s="47" t="s">
        <v>30</v>
      </c>
      <c r="B21" s="45" t="s">
        <v>442</v>
      </c>
      <c r="C21" s="48">
        <v>3000</v>
      </c>
      <c r="D21" s="7">
        <f>+C21</f>
        <v>3000</v>
      </c>
    </row>
    <row r="22" spans="1:4" ht="15" customHeight="1">
      <c r="A22" s="47"/>
      <c r="B22" s="45"/>
      <c r="C22" s="48"/>
      <c r="D22" s="7"/>
    </row>
    <row r="23" spans="1:3" ht="15" customHeight="1">
      <c r="A23" s="47"/>
      <c r="B23" s="5"/>
      <c r="C23" s="47"/>
    </row>
    <row r="24" spans="1:4" ht="15" customHeight="1">
      <c r="A24" s="47" t="s">
        <v>31</v>
      </c>
      <c r="B24" s="49" t="s">
        <v>67</v>
      </c>
      <c r="C24" s="7">
        <f>+C17+C19</f>
        <v>29169</v>
      </c>
      <c r="D24" s="7">
        <f>+D17+D19</f>
        <v>29169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2/2014.(I.24.) Önkormányzati költségvetési rendelethez&amp;R&amp;D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1">
      <selection activeCell="O44" sqref="O44"/>
    </sheetView>
  </sheetViews>
  <sheetFormatPr defaultColWidth="9.140625" defaultRowHeight="15" customHeight="1"/>
  <cols>
    <col min="1" max="1" width="4.140625" style="54" bestFit="1" customWidth="1"/>
    <col min="2" max="2" width="52.57421875" style="54" customWidth="1"/>
    <col min="3" max="3" width="11.00390625" style="54" bestFit="1" customWidth="1"/>
    <col min="4" max="4" width="10.28125" style="54" customWidth="1"/>
    <col min="5" max="5" width="11.28125" style="54" bestFit="1" customWidth="1"/>
    <col min="6" max="6" width="11.00390625" style="54" bestFit="1" customWidth="1"/>
    <col min="7" max="7" width="10.28125" style="54" customWidth="1"/>
    <col min="8" max="8" width="11.28125" style="54" bestFit="1" customWidth="1"/>
    <col min="9" max="9" width="10.57421875" style="54" bestFit="1" customWidth="1"/>
    <col min="10" max="10" width="9.421875" style="54" bestFit="1" customWidth="1"/>
    <col min="11" max="16384" width="9.140625" style="54" customWidth="1"/>
  </cols>
  <sheetData>
    <row r="1" spans="1:10" ht="22.5" customHeight="1" thickBot="1">
      <c r="A1" s="52" t="s">
        <v>70</v>
      </c>
      <c r="B1" s="557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5"/>
      <c r="B2" s="551"/>
      <c r="C2" s="746" t="s">
        <v>372</v>
      </c>
      <c r="D2" s="747"/>
      <c r="E2" s="748"/>
      <c r="F2" s="750" t="s">
        <v>375</v>
      </c>
      <c r="G2" s="751"/>
      <c r="H2" s="752"/>
      <c r="I2" s="746" t="str">
        <f>+F2</f>
        <v>2014.évi er.ei.</v>
      </c>
      <c r="J2" s="749"/>
    </row>
    <row r="3" spans="1:10" ht="43.5" customHeight="1" thickBot="1">
      <c r="A3" s="56"/>
      <c r="B3" s="57"/>
      <c r="C3" s="552" t="s">
        <v>71</v>
      </c>
      <c r="D3" s="553" t="s">
        <v>72</v>
      </c>
      <c r="E3" s="554" t="s">
        <v>5</v>
      </c>
      <c r="F3" s="60" t="s">
        <v>71</v>
      </c>
      <c r="G3" s="60" t="s">
        <v>72</v>
      </c>
      <c r="H3" s="58" t="s">
        <v>5</v>
      </c>
      <c r="I3" s="61" t="s">
        <v>73</v>
      </c>
      <c r="J3" s="59" t="s">
        <v>74</v>
      </c>
    </row>
    <row r="4" spans="1:10" s="30" customFormat="1" ht="15" customHeight="1">
      <c r="A4" s="678" t="s">
        <v>11</v>
      </c>
      <c r="B4" s="62" t="s">
        <v>12</v>
      </c>
      <c r="C4" s="489" t="s">
        <v>16</v>
      </c>
      <c r="D4" s="63" t="s">
        <v>17</v>
      </c>
      <c r="E4" s="490" t="s">
        <v>18</v>
      </c>
      <c r="F4" s="489" t="s">
        <v>16</v>
      </c>
      <c r="G4" s="63" t="s">
        <v>17</v>
      </c>
      <c r="H4" s="490" t="s">
        <v>18</v>
      </c>
      <c r="I4" s="64" t="s">
        <v>59</v>
      </c>
      <c r="J4" s="487" t="s">
        <v>19</v>
      </c>
    </row>
    <row r="5" spans="1:10" ht="15" customHeight="1">
      <c r="A5" s="65"/>
      <c r="B5" s="505"/>
      <c r="C5" s="79"/>
      <c r="D5" s="66"/>
      <c r="E5" s="488"/>
      <c r="F5" s="79"/>
      <c r="G5" s="66"/>
      <c r="H5" s="488"/>
      <c r="I5" s="67"/>
      <c r="J5" s="488"/>
    </row>
    <row r="6" spans="1:10" ht="15" customHeight="1">
      <c r="A6" s="65" t="s">
        <v>20</v>
      </c>
      <c r="B6" s="505" t="s">
        <v>75</v>
      </c>
      <c r="C6" s="79">
        <f>+E6-D6</f>
        <v>1188.7999999999993</v>
      </c>
      <c r="D6" s="66">
        <f>+E6*0.9</f>
        <v>10699.2</v>
      </c>
      <c r="E6" s="479">
        <f>3140+337+8411</f>
        <v>11888</v>
      </c>
      <c r="F6" s="79">
        <f>+H6-G6</f>
        <v>1690</v>
      </c>
      <c r="G6" s="66">
        <f>+H6*0.9</f>
        <v>15210</v>
      </c>
      <c r="H6" s="479">
        <v>16900</v>
      </c>
      <c r="I6" s="69">
        <v>16900</v>
      </c>
      <c r="J6" s="479"/>
    </row>
    <row r="7" spans="1:10" ht="15" customHeight="1">
      <c r="A7" s="65" t="s">
        <v>21</v>
      </c>
      <c r="B7" s="505" t="s">
        <v>474</v>
      </c>
      <c r="C7" s="79">
        <f>+E7-D7</f>
        <v>264.9000000000001</v>
      </c>
      <c r="D7" s="66">
        <f>+E7*0.9</f>
        <v>2384.1</v>
      </c>
      <c r="E7" s="479">
        <f>2407+242</f>
        <v>2649</v>
      </c>
      <c r="F7" s="79">
        <f>+H7-G7</f>
        <v>264.9000000000001</v>
      </c>
      <c r="G7" s="66">
        <f>+H7*0.9</f>
        <v>2384.1</v>
      </c>
      <c r="H7" s="479">
        <f>2407+242</f>
        <v>2649</v>
      </c>
      <c r="I7" s="69">
        <v>2649</v>
      </c>
      <c r="J7" s="479"/>
    </row>
    <row r="8" spans="1:10" ht="15" customHeight="1">
      <c r="A8" s="65" t="s">
        <v>22</v>
      </c>
      <c r="B8" s="478" t="s">
        <v>473</v>
      </c>
      <c r="C8" s="491">
        <f>+E8-D8</f>
        <v>28174.59999999999</v>
      </c>
      <c r="D8" s="66">
        <f>+E8*0.8</f>
        <v>112698.40000000001</v>
      </c>
      <c r="E8" s="479">
        <f>128536+12337</f>
        <v>140873</v>
      </c>
      <c r="F8" s="491">
        <f>+H8-G8</f>
        <v>14700</v>
      </c>
      <c r="G8" s="66">
        <f>+H8*0.8</f>
        <v>58800</v>
      </c>
      <c r="H8" s="479">
        <v>73500</v>
      </c>
      <c r="I8" s="69">
        <v>73500</v>
      </c>
      <c r="J8" s="479"/>
    </row>
    <row r="9" spans="1:10" s="81" customFormat="1" ht="15" customHeight="1">
      <c r="A9" s="65" t="s">
        <v>23</v>
      </c>
      <c r="B9" s="478" t="s">
        <v>76</v>
      </c>
      <c r="C9" s="492">
        <f>+E9-D9</f>
        <v>2017.5999999999985</v>
      </c>
      <c r="D9" s="66">
        <f>+E9*0.9</f>
        <v>18158.4</v>
      </c>
      <c r="E9" s="479">
        <f>18399+1777</f>
        <v>20176</v>
      </c>
      <c r="F9" s="492">
        <f>+H9-G9</f>
        <v>2017.5999999999985</v>
      </c>
      <c r="G9" s="66">
        <f>+H9*0.9</f>
        <v>18158.4</v>
      </c>
      <c r="H9" s="479">
        <f>18399+1777</f>
        <v>20176</v>
      </c>
      <c r="I9" s="69">
        <v>20176</v>
      </c>
      <c r="J9" s="479"/>
    </row>
    <row r="10" spans="1:10" ht="15" customHeight="1">
      <c r="A10" s="65" t="s">
        <v>24</v>
      </c>
      <c r="B10" s="478" t="s">
        <v>380</v>
      </c>
      <c r="C10" s="491"/>
      <c r="D10" s="66">
        <v>264</v>
      </c>
      <c r="E10" s="479">
        <f>+D10</f>
        <v>264</v>
      </c>
      <c r="F10" s="491"/>
      <c r="G10" s="66"/>
      <c r="H10" s="479"/>
      <c r="I10" s="69"/>
      <c r="J10" s="479"/>
    </row>
    <row r="11" spans="1:10" ht="15" customHeight="1" thickBot="1">
      <c r="A11" s="70" t="s">
        <v>25</v>
      </c>
      <c r="B11" s="506" t="s">
        <v>381</v>
      </c>
      <c r="C11" s="491"/>
      <c r="D11" s="66">
        <v>2622</v>
      </c>
      <c r="E11" s="479">
        <f>+D11</f>
        <v>2622</v>
      </c>
      <c r="F11" s="491"/>
      <c r="G11" s="66"/>
      <c r="H11" s="479"/>
      <c r="I11" s="72"/>
      <c r="J11" s="493"/>
    </row>
    <row r="12" spans="1:10" ht="30" customHeight="1">
      <c r="A12" s="73" t="s">
        <v>26</v>
      </c>
      <c r="B12" s="656" t="s">
        <v>77</v>
      </c>
      <c r="C12" s="564">
        <f>SUM(C6:C11)</f>
        <v>31645.89999999999</v>
      </c>
      <c r="D12" s="565">
        <f aca="true" t="shared" si="0" ref="D12:J12">SUM(D6:D11)</f>
        <v>146826.1</v>
      </c>
      <c r="E12" s="566">
        <f t="shared" si="0"/>
        <v>178472</v>
      </c>
      <c r="F12" s="565">
        <f t="shared" si="0"/>
        <v>18672.5</v>
      </c>
      <c r="G12" s="565">
        <f t="shared" si="0"/>
        <v>94552.5</v>
      </c>
      <c r="H12" s="565">
        <f t="shared" si="0"/>
        <v>113225</v>
      </c>
      <c r="I12" s="507">
        <f>SUM(I6:I11)</f>
        <v>113225</v>
      </c>
      <c r="J12" s="507">
        <f t="shared" si="0"/>
        <v>0</v>
      </c>
    </row>
    <row r="13" spans="1:10" ht="15" customHeight="1">
      <c r="A13" s="65"/>
      <c r="C13" s="567"/>
      <c r="D13" s="74"/>
      <c r="E13" s="568">
        <f>SUM(C12:D12)</f>
        <v>178472</v>
      </c>
      <c r="F13" s="561"/>
      <c r="G13" s="74"/>
      <c r="H13" s="561">
        <f>SUM(F12:G12)</f>
        <v>113225</v>
      </c>
      <c r="I13" s="75"/>
      <c r="J13" s="75"/>
    </row>
    <row r="14" spans="1:10" ht="7.5" customHeight="1">
      <c r="A14" s="65"/>
      <c r="B14" s="657"/>
      <c r="C14" s="569"/>
      <c r="D14" s="76"/>
      <c r="E14" s="570"/>
      <c r="F14" s="562"/>
      <c r="G14" s="76"/>
      <c r="H14" s="562"/>
      <c r="I14" s="77"/>
      <c r="J14" s="77"/>
    </row>
    <row r="15" spans="1:10" ht="15" customHeight="1">
      <c r="A15" s="65" t="s">
        <v>27</v>
      </c>
      <c r="B15" s="658" t="s">
        <v>78</v>
      </c>
      <c r="C15" s="492">
        <f>+E15</f>
        <v>280</v>
      </c>
      <c r="D15" s="66"/>
      <c r="E15" s="571">
        <v>280</v>
      </c>
      <c r="F15" s="654"/>
      <c r="G15" s="66"/>
      <c r="H15" s="563"/>
      <c r="I15" s="69"/>
      <c r="J15" s="69"/>
    </row>
    <row r="16" spans="1:10" ht="15" customHeight="1">
      <c r="A16" s="65" t="s">
        <v>28</v>
      </c>
      <c r="B16" s="658" t="s">
        <v>79</v>
      </c>
      <c r="C16" s="492">
        <f>+E16</f>
        <v>2814</v>
      </c>
      <c r="D16" s="66"/>
      <c r="E16" s="571">
        <v>2814</v>
      </c>
      <c r="F16" s="654"/>
      <c r="G16" s="66"/>
      <c r="H16" s="563"/>
      <c r="I16" s="69"/>
      <c r="J16" s="69"/>
    </row>
    <row r="17" spans="1:10" ht="15" customHeight="1">
      <c r="A17" s="65" t="s">
        <v>29</v>
      </c>
      <c r="B17" s="659" t="s">
        <v>80</v>
      </c>
      <c r="C17" s="492">
        <f>+E17</f>
        <v>552</v>
      </c>
      <c r="D17" s="66"/>
      <c r="E17" s="571">
        <v>552</v>
      </c>
      <c r="F17" s="654">
        <v>100</v>
      </c>
      <c r="G17" s="66"/>
      <c r="H17" s="563">
        <f>SUM(F17:G17)</f>
        <v>100</v>
      </c>
      <c r="I17" s="69"/>
      <c r="J17" s="69">
        <f>+H17</f>
        <v>100</v>
      </c>
    </row>
    <row r="18" spans="1:10" s="81" customFormat="1" ht="15" customHeight="1">
      <c r="A18" s="65" t="s">
        <v>30</v>
      </c>
      <c r="B18" s="653" t="s">
        <v>81</v>
      </c>
      <c r="C18" s="492">
        <f>+E18</f>
        <v>1832</v>
      </c>
      <c r="D18" s="66"/>
      <c r="E18" s="571">
        <v>1832</v>
      </c>
      <c r="F18" s="654"/>
      <c r="G18" s="66"/>
      <c r="H18" s="563"/>
      <c r="I18" s="666"/>
      <c r="J18" s="69"/>
    </row>
    <row r="19" spans="1:10" ht="16.5" customHeight="1">
      <c r="A19" s="65" t="s">
        <v>31</v>
      </c>
      <c r="B19" s="655" t="s">
        <v>476</v>
      </c>
      <c r="C19" s="492"/>
      <c r="D19" s="66"/>
      <c r="E19" s="571"/>
      <c r="F19" s="654">
        <f>4764+350-100</f>
        <v>5014</v>
      </c>
      <c r="G19" s="66"/>
      <c r="H19" s="563">
        <f>SUM(F19:G19)</f>
        <v>5014</v>
      </c>
      <c r="I19" s="69"/>
      <c r="J19" s="69">
        <f>+H19</f>
        <v>5014</v>
      </c>
    </row>
    <row r="20" spans="1:10" ht="15" customHeight="1">
      <c r="A20" s="65" t="s">
        <v>32</v>
      </c>
      <c r="B20" s="660" t="s">
        <v>82</v>
      </c>
      <c r="C20" s="558">
        <f>SUM(C15:C18)</f>
        <v>5478</v>
      </c>
      <c r="D20" s="559">
        <f>SUM(D15:D18)</f>
        <v>0</v>
      </c>
      <c r="E20" s="560">
        <f>SUM(E15:E18)</f>
        <v>5478</v>
      </c>
      <c r="F20" s="572">
        <f>SUM(F15:F19)</f>
        <v>5114</v>
      </c>
      <c r="G20" s="559">
        <f>SUM(G15:G19)</f>
        <v>0</v>
      </c>
      <c r="H20" s="663">
        <f>SUM(H15:H19)</f>
        <v>5114</v>
      </c>
      <c r="I20" s="75">
        <f>SUM(I15:I19)</f>
        <v>0</v>
      </c>
      <c r="J20" s="75">
        <f>SUM(J15:J19)</f>
        <v>5114</v>
      </c>
    </row>
    <row r="21" spans="1:10" ht="7.5" customHeight="1">
      <c r="A21" s="65"/>
      <c r="B21" s="658"/>
      <c r="C21" s="79"/>
      <c r="D21" s="66"/>
      <c r="E21" s="80"/>
      <c r="F21" s="661"/>
      <c r="G21" s="66"/>
      <c r="H21" s="664"/>
      <c r="I21" s="67"/>
      <c r="J21" s="67"/>
    </row>
    <row r="22" spans="1:10" ht="15" customHeight="1" thickBot="1">
      <c r="A22" s="65" t="s">
        <v>33</v>
      </c>
      <c r="B22" s="658" t="s">
        <v>83</v>
      </c>
      <c r="C22" s="475">
        <v>350</v>
      </c>
      <c r="D22" s="71"/>
      <c r="E22" s="476">
        <f>+C22</f>
        <v>350</v>
      </c>
      <c r="F22" s="662"/>
      <c r="G22" s="71"/>
      <c r="H22" s="665"/>
      <c r="I22" s="72"/>
      <c r="J22" s="72"/>
    </row>
    <row r="23" spans="1:10" ht="31.5" customHeight="1">
      <c r="A23" s="675" t="s">
        <v>34</v>
      </c>
      <c r="B23" s="668" t="s">
        <v>84</v>
      </c>
      <c r="C23" s="494">
        <f aca="true" t="shared" si="1" ref="C23:J23">SUM(C22:C22)</f>
        <v>350</v>
      </c>
      <c r="D23" s="495">
        <f t="shared" si="1"/>
        <v>0</v>
      </c>
      <c r="E23" s="496">
        <f t="shared" si="1"/>
        <v>350</v>
      </c>
      <c r="F23" s="74">
        <f t="shared" si="1"/>
        <v>0</v>
      </c>
      <c r="G23" s="74">
        <f t="shared" si="1"/>
        <v>0</v>
      </c>
      <c r="H23" s="74">
        <f t="shared" si="1"/>
        <v>0</v>
      </c>
      <c r="I23" s="78">
        <f t="shared" si="1"/>
        <v>0</v>
      </c>
      <c r="J23" s="78">
        <f t="shared" si="1"/>
        <v>0</v>
      </c>
    </row>
    <row r="24" spans="1:10" ht="7.5" customHeight="1">
      <c r="A24" s="676"/>
      <c r="B24" s="669"/>
      <c r="C24" s="497"/>
      <c r="D24" s="74"/>
      <c r="E24" s="498"/>
      <c r="F24" s="74"/>
      <c r="G24" s="74"/>
      <c r="H24" s="74"/>
      <c r="I24" s="75"/>
      <c r="J24" s="75"/>
    </row>
    <row r="25" spans="1:10" ht="15" customHeight="1">
      <c r="A25" s="676" t="s">
        <v>35</v>
      </c>
      <c r="B25" s="669" t="s">
        <v>85</v>
      </c>
      <c r="C25" s="497"/>
      <c r="D25" s="74">
        <v>430</v>
      </c>
      <c r="E25" s="498">
        <f>SUM(C25:D25)</f>
        <v>430</v>
      </c>
      <c r="F25" s="74"/>
      <c r="G25" s="74"/>
      <c r="H25" s="74">
        <f>SUM(F25:G25)</f>
        <v>0</v>
      </c>
      <c r="I25" s="75"/>
      <c r="J25" s="75"/>
    </row>
    <row r="26" spans="1:10" ht="6" customHeight="1">
      <c r="A26" s="65"/>
      <c r="B26" s="669"/>
      <c r="C26" s="497"/>
      <c r="D26" s="74"/>
      <c r="E26" s="498"/>
      <c r="F26" s="74"/>
      <c r="G26" s="74"/>
      <c r="H26" s="74"/>
      <c r="I26" s="75"/>
      <c r="J26" s="75"/>
    </row>
    <row r="27" spans="1:10" ht="15" customHeight="1">
      <c r="A27" s="65" t="s">
        <v>36</v>
      </c>
      <c r="B27" s="670" t="s">
        <v>374</v>
      </c>
      <c r="C27" s="477"/>
      <c r="D27" s="81">
        <v>3248</v>
      </c>
      <c r="E27" s="498">
        <f>SUM(C27:D27)</f>
        <v>3248</v>
      </c>
      <c r="I27" s="65"/>
      <c r="J27" s="82"/>
    </row>
    <row r="28" spans="1:10" ht="15" customHeight="1">
      <c r="A28" s="676" t="s">
        <v>37</v>
      </c>
      <c r="B28" s="671" t="s">
        <v>86</v>
      </c>
      <c r="C28" s="497"/>
      <c r="D28" s="74">
        <v>9366</v>
      </c>
      <c r="E28" s="498">
        <f>SUM(C28:D28)</f>
        <v>9366</v>
      </c>
      <c r="F28" s="74"/>
      <c r="G28" s="74"/>
      <c r="H28" s="74">
        <f>SUM(F28:G28)</f>
        <v>0</v>
      </c>
      <c r="I28" s="75"/>
      <c r="J28" s="75"/>
    </row>
    <row r="29" spans="1:10" ht="15" customHeight="1">
      <c r="A29" s="676" t="s">
        <v>40</v>
      </c>
      <c r="B29" s="672" t="s">
        <v>87</v>
      </c>
      <c r="C29" s="499">
        <f aca="true" t="shared" si="2" ref="C29:J29">SUM(C23:C28)+C20+C12</f>
        <v>37473.899999999994</v>
      </c>
      <c r="D29" s="76">
        <f t="shared" si="2"/>
        <v>159870.1</v>
      </c>
      <c r="E29" s="500">
        <f t="shared" si="2"/>
        <v>197344</v>
      </c>
      <c r="F29" s="76">
        <f t="shared" si="2"/>
        <v>23786.5</v>
      </c>
      <c r="G29" s="76">
        <f t="shared" si="2"/>
        <v>94552.5</v>
      </c>
      <c r="H29" s="76">
        <f t="shared" si="2"/>
        <v>118339</v>
      </c>
      <c r="I29" s="77">
        <f t="shared" si="2"/>
        <v>113225</v>
      </c>
      <c r="J29" s="77">
        <f t="shared" si="2"/>
        <v>5114</v>
      </c>
    </row>
    <row r="30" spans="1:10" ht="15.75" thickBot="1">
      <c r="A30" s="676"/>
      <c r="B30" s="673"/>
      <c r="C30" s="501"/>
      <c r="D30" s="502"/>
      <c r="E30" s="503">
        <f>SUM(C29:D29)</f>
        <v>197344</v>
      </c>
      <c r="F30" s="76"/>
      <c r="G30" s="76"/>
      <c r="H30" s="76">
        <f>SUM(F29:G29)</f>
        <v>118339</v>
      </c>
      <c r="I30" s="504"/>
      <c r="J30" s="504"/>
    </row>
    <row r="31" spans="1:10" ht="15.75" thickBot="1">
      <c r="A31" s="677" t="s">
        <v>47</v>
      </c>
      <c r="B31" s="674" t="s">
        <v>88</v>
      </c>
      <c r="C31" s="83">
        <f aca="true" t="shared" si="3" ref="C31:J31">+C29</f>
        <v>37473.899999999994</v>
      </c>
      <c r="D31" s="83">
        <f t="shared" si="3"/>
        <v>159870.1</v>
      </c>
      <c r="E31" s="83">
        <f t="shared" si="3"/>
        <v>197344</v>
      </c>
      <c r="F31" s="555">
        <f t="shared" si="3"/>
        <v>23786.5</v>
      </c>
      <c r="G31" s="83">
        <f t="shared" si="3"/>
        <v>94552.5</v>
      </c>
      <c r="H31" s="556">
        <f t="shared" si="3"/>
        <v>118339</v>
      </c>
      <c r="I31" s="84">
        <f>+I29</f>
        <v>113225</v>
      </c>
      <c r="J31" s="84">
        <f t="shared" si="3"/>
        <v>5114</v>
      </c>
    </row>
  </sheetData>
  <sheetProtection/>
  <mergeCells count="3">
    <mergeCell ref="C2:E2"/>
    <mergeCell ref="I2:J2"/>
    <mergeCell ref="F2:H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2/2014.(I.24.) Önkormányzati költségvetési rendelethez&amp;R&amp;D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L32" sqref="L32"/>
    </sheetView>
  </sheetViews>
  <sheetFormatPr defaultColWidth="9.140625" defaultRowHeight="15" customHeight="1"/>
  <cols>
    <col min="1" max="1" width="7.28125" style="135" customWidth="1"/>
    <col min="2" max="2" width="50.421875" style="135" customWidth="1"/>
    <col min="3" max="3" width="17.421875" style="135" customWidth="1"/>
    <col min="4" max="16384" width="9.140625" style="135" customWidth="1"/>
  </cols>
  <sheetData>
    <row r="1" spans="1:2" ht="15" customHeight="1">
      <c r="A1" s="534" t="s">
        <v>89</v>
      </c>
      <c r="B1" s="160"/>
    </row>
    <row r="2" spans="1:4" ht="15" customHeight="1">
      <c r="A2" s="534"/>
      <c r="B2" s="160"/>
      <c r="C2" s="535" t="s">
        <v>376</v>
      </c>
      <c r="D2" s="535" t="s">
        <v>376</v>
      </c>
    </row>
    <row r="3" spans="1:4" ht="15" customHeight="1">
      <c r="A3" s="162"/>
      <c r="B3" s="160" t="s">
        <v>364</v>
      </c>
      <c r="C3" s="536" t="s">
        <v>64</v>
      </c>
      <c r="D3" s="536" t="s">
        <v>480</v>
      </c>
    </row>
    <row r="4" spans="1:2" s="539" customFormat="1" ht="15" customHeight="1">
      <c r="A4" s="537"/>
      <c r="B4" s="538"/>
    </row>
    <row r="5" spans="1:4" s="540" customFormat="1" ht="15" customHeight="1">
      <c r="A5" s="574" t="s">
        <v>11</v>
      </c>
      <c r="B5" s="574" t="s">
        <v>12</v>
      </c>
      <c r="C5" s="575" t="s">
        <v>13</v>
      </c>
      <c r="D5" s="535" t="s">
        <v>14</v>
      </c>
    </row>
    <row r="6" spans="2:4" ht="15" customHeight="1">
      <c r="B6" s="541"/>
      <c r="C6" s="542"/>
      <c r="D6" s="542"/>
    </row>
    <row r="7" spans="1:4" ht="15" customHeight="1">
      <c r="A7" s="543" t="s">
        <v>20</v>
      </c>
      <c r="B7" s="544" t="s">
        <v>377</v>
      </c>
      <c r="C7" s="137">
        <f>+8_mell!C7+22863-1000-1000-4272-500</f>
        <v>16241</v>
      </c>
      <c r="D7" s="137">
        <f>+C7-900</f>
        <v>15341</v>
      </c>
    </row>
    <row r="8" spans="1:4" ht="15" customHeight="1">
      <c r="A8" s="543" t="s">
        <v>21</v>
      </c>
      <c r="B8" s="544" t="s">
        <v>445</v>
      </c>
      <c r="C8" s="137">
        <v>5000</v>
      </c>
      <c r="D8" s="137">
        <f>+C8</f>
        <v>5000</v>
      </c>
    </row>
    <row r="9" spans="1:4" ht="15" customHeight="1">
      <c r="A9" s="543" t="s">
        <v>22</v>
      </c>
      <c r="B9" s="544" t="s">
        <v>472</v>
      </c>
      <c r="C9" s="137">
        <v>1000</v>
      </c>
      <c r="D9" s="137">
        <f>+C9</f>
        <v>1000</v>
      </c>
    </row>
    <row r="10" spans="1:4" ht="42.75">
      <c r="A10" s="543" t="s">
        <v>23</v>
      </c>
      <c r="B10" s="544" t="s">
        <v>481</v>
      </c>
      <c r="C10" s="137"/>
      <c r="D10" s="135">
        <v>26212</v>
      </c>
    </row>
    <row r="11" spans="1:3" ht="15" customHeight="1">
      <c r="A11" s="543"/>
      <c r="B11" s="544"/>
      <c r="C11" s="137"/>
    </row>
    <row r="12" spans="1:3" ht="15" customHeight="1">
      <c r="A12" s="543"/>
      <c r="B12" s="544"/>
      <c r="C12" s="137"/>
    </row>
    <row r="13" spans="1:4" ht="15" customHeight="1">
      <c r="A13" s="543" t="s">
        <v>24</v>
      </c>
      <c r="B13" s="545" t="s">
        <v>90</v>
      </c>
      <c r="C13" s="542">
        <f>SUM(C7:C12)</f>
        <v>22241</v>
      </c>
      <c r="D13" s="542">
        <f>SUM(D7:D12)</f>
        <v>47553</v>
      </c>
    </row>
    <row r="14" ht="15" customHeight="1">
      <c r="A14" s="539"/>
    </row>
    <row r="15" spans="1:4" ht="15" customHeight="1">
      <c r="A15" s="543" t="s">
        <v>25</v>
      </c>
      <c r="B15" s="546" t="s">
        <v>446</v>
      </c>
      <c r="C15" s="54">
        <f>9041+3096</f>
        <v>12137</v>
      </c>
      <c r="D15" s="135">
        <f>+C15</f>
        <v>12137</v>
      </c>
    </row>
    <row r="16" spans="1:4" ht="15" customHeight="1">
      <c r="A16" s="573" t="s">
        <v>26</v>
      </c>
      <c r="B16" s="546" t="s">
        <v>471</v>
      </c>
      <c r="C16" s="54">
        <v>1500</v>
      </c>
      <c r="D16" s="135">
        <f>+C16</f>
        <v>1500</v>
      </c>
    </row>
    <row r="17" spans="1:3" ht="15" customHeight="1">
      <c r="A17" s="543"/>
      <c r="B17" s="546"/>
      <c r="C17" s="54"/>
    </row>
    <row r="18" spans="1:3" ht="15" customHeight="1">
      <c r="A18" s="539"/>
      <c r="B18" s="546"/>
      <c r="C18" s="137"/>
    </row>
    <row r="19" spans="1:4" ht="15" customHeight="1">
      <c r="A19" s="573" t="s">
        <v>27</v>
      </c>
      <c r="B19" s="547" t="s">
        <v>91</v>
      </c>
      <c r="C19" s="548">
        <f>SUM(C15:C18)</f>
        <v>13637</v>
      </c>
      <c r="D19" s="548">
        <f>SUM(D15:D18)</f>
        <v>13637</v>
      </c>
    </row>
    <row r="20" spans="1:4" ht="15" customHeight="1">
      <c r="A20" s="539"/>
      <c r="B20" s="547"/>
      <c r="C20" s="548"/>
      <c r="D20" s="548"/>
    </row>
    <row r="21" spans="1:4" ht="15" customHeight="1">
      <c r="A21" s="573" t="s">
        <v>28</v>
      </c>
      <c r="B21" s="548" t="s">
        <v>92</v>
      </c>
      <c r="C21" s="549">
        <f>+C19+C13</f>
        <v>35878</v>
      </c>
      <c r="D21" s="549">
        <f>+D19+D13</f>
        <v>61190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2/2014.(I.24.) Önkormányzati költségvetési rendelethez ( 6 )</oddHeader>
    <oddFooter>&amp;L( 6 ) a 3/2014.(II.11.) önkormányzati rendelettel módosított szöveg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Q48" sqref="Q48"/>
    </sheetView>
  </sheetViews>
  <sheetFormatPr defaultColWidth="9.140625" defaultRowHeight="12.75"/>
  <cols>
    <col min="1" max="1" width="4.7109375" style="114" bestFit="1" customWidth="1"/>
    <col min="2" max="2" width="66.421875" style="113" customWidth="1"/>
    <col min="3" max="3" width="12.140625" style="113" customWidth="1"/>
    <col min="4" max="16384" width="9.140625" style="113" customWidth="1"/>
  </cols>
  <sheetData>
    <row r="1" ht="15.75">
      <c r="A1" s="112" t="s">
        <v>146</v>
      </c>
    </row>
    <row r="2" ht="15.75">
      <c r="B2" s="115"/>
    </row>
    <row r="3" spans="2:4" ht="15.75">
      <c r="B3" s="116" t="s">
        <v>147</v>
      </c>
      <c r="C3" s="531" t="s">
        <v>376</v>
      </c>
      <c r="D3" s="531" t="s">
        <v>376</v>
      </c>
    </row>
    <row r="4" spans="3:4" ht="15.75">
      <c r="C4" s="531" t="s">
        <v>64</v>
      </c>
      <c r="D4" s="531" t="s">
        <v>480</v>
      </c>
    </row>
    <row r="5" spans="1:4" ht="15.75">
      <c r="A5" s="114" t="s">
        <v>11</v>
      </c>
      <c r="B5" s="532" t="s">
        <v>12</v>
      </c>
      <c r="C5" s="531" t="s">
        <v>13</v>
      </c>
      <c r="D5" s="531" t="s">
        <v>14</v>
      </c>
    </row>
    <row r="7" spans="1:4" ht="15.75">
      <c r="A7" s="114" t="s">
        <v>20</v>
      </c>
      <c r="B7" s="113" t="s">
        <v>148</v>
      </c>
      <c r="C7" s="117">
        <f>+1_mell!E40</f>
        <v>150</v>
      </c>
      <c r="D7" s="117">
        <f>+1_mell!F41</f>
        <v>150</v>
      </c>
    </row>
    <row r="8" spans="1:4" ht="15.75">
      <c r="A8" s="114" t="s">
        <v>21</v>
      </c>
      <c r="B8" s="113" t="s">
        <v>452</v>
      </c>
      <c r="C8" s="117">
        <v>7000</v>
      </c>
      <c r="D8" s="117">
        <f>+C8</f>
        <v>7000</v>
      </c>
    </row>
    <row r="9" spans="1:4" ht="15.75">
      <c r="A9" s="114" t="s">
        <v>22</v>
      </c>
      <c r="B9" s="113" t="s">
        <v>451</v>
      </c>
      <c r="C9" s="113">
        <f>35000+9450</f>
        <v>44450</v>
      </c>
      <c r="D9" s="113">
        <f>+C9</f>
        <v>44450</v>
      </c>
    </row>
    <row r="10" spans="1:4" ht="36.75" customHeight="1">
      <c r="A10" s="114" t="s">
        <v>23</v>
      </c>
      <c r="B10" s="704" t="s">
        <v>463</v>
      </c>
      <c r="C10" s="113">
        <v>9450</v>
      </c>
      <c r="D10" s="113">
        <f>+C10</f>
        <v>9450</v>
      </c>
    </row>
    <row r="11" spans="1:4" ht="15.75">
      <c r="A11" s="114" t="s">
        <v>24</v>
      </c>
      <c r="B11" s="113" t="str">
        <f>+1_mell!C38</f>
        <v>BM EU Önerő Alap KEOP-1.3.0/09-11 pályázathoz</v>
      </c>
      <c r="D11" s="117">
        <f>+1_mell!F38</f>
        <v>26212</v>
      </c>
    </row>
    <row r="18" spans="1:6" ht="15.75">
      <c r="A18" s="114" t="s">
        <v>25</v>
      </c>
      <c r="B18" s="116" t="s">
        <v>149</v>
      </c>
      <c r="C18" s="470">
        <f>SUM(C7:C17)-C10</f>
        <v>51600</v>
      </c>
      <c r="D18" s="470">
        <f>SUM(D7:D17)-D10</f>
        <v>77812</v>
      </c>
      <c r="F18" s="11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2/2014.(I.24.) Önkormányzati költségvetési rendelethez ( 7 )&amp;R&amp;D</oddHeader>
    <oddFooter>&amp;L( 7 ) a 3/2014.(II.11.) önkormányzati rendelettel módosított szöveg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2014-02-12T09:26:35Z</cp:lastPrinted>
  <dcterms:created xsi:type="dcterms:W3CDTF">2013-01-09T15:47:27Z</dcterms:created>
  <dcterms:modified xsi:type="dcterms:W3CDTF">2014-02-12T10:15:50Z</dcterms:modified>
  <cp:category/>
  <cp:version/>
  <cp:contentType/>
  <cp:contentStatus/>
</cp:coreProperties>
</file>