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525" activeTab="0"/>
  </bookViews>
  <sheets>
    <sheet name="1 bevétel-kiadás" sheetId="1" r:id="rId1"/>
    <sheet name="2 helyi adó bev." sheetId="2" r:id="rId2"/>
    <sheet name="3 tám.ért. bev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szoc.jell. kiad." sheetId="8" r:id="rId8"/>
    <sheet name="9 létszám" sheetId="9" r:id="rId9"/>
    <sheet name="10 közvetett tám-ok kiad." sheetId="10" r:id="rId10"/>
    <sheet name="11 ktgvetési mérleg" sheetId="11" r:id="rId11"/>
    <sheet name="12 EI felh.terv" sheetId="12" r:id="rId12"/>
  </sheets>
  <externalReferences>
    <externalReference r:id="rId15"/>
  </externalReferences>
  <definedNames>
    <definedName name="_xlnm.Print_Area" localSheetId="0">'1 bevétel-kiadás'!$A$1:$P$79</definedName>
  </definedNames>
  <calcPr fullCalcOnLoad="1"/>
</workbook>
</file>

<file path=xl/sharedStrings.xml><?xml version="1.0" encoding="utf-8"?>
<sst xmlns="http://schemas.openxmlformats.org/spreadsheetml/2006/main" count="678" uniqueCount="330">
  <si>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</si>
  <si>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</si>
  <si>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</si>
  <si>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</si>
  <si>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</si>
  <si>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</si>
  <si>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</si>
  <si>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</si>
  <si>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</si>
  <si>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</si>
  <si>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</si>
  <si>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</si>
  <si>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</si>
  <si>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</si>
  <si>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</si>
  <si>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</si>
  <si>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</si>
  <si>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</si>
  <si>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</si>
  <si>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Intézményi működési bevételek</t>
    </r>
    <r>
      <rPr>
        <sz val="11"/>
        <rFont val="Georgia"/>
        <family val="1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</si>
  <si>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Georgia"/>
        <family val="1"/>
      </rPr>
      <t>(adók, illetékek, járulékok, hozzájárulások, bírságok, díjak, és más fizetési kötelezettségek)</t>
    </r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</si>
  <si>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</si>
  <si>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</si>
  <si>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</si>
  <si>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</si>
  <si>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</si>
  <si>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</si>
  <si>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</si>
  <si>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</si>
  <si>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</si>
  <si>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</si>
  <si>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</si>
  <si>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</si>
  <si>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</si>
  <si>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</si>
  <si>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</si>
  <si>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</si>
  <si>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</si>
  <si>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</si>
  <si>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</si>
  <si>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</si>
  <si>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</si>
  <si>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</si>
  <si>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</si>
  <si>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</si>
  <si>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</si>
  <si>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</si>
  <si>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</si>
  <si>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</si>
  <si>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</si>
  <si>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</si>
  <si>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</si>
  <si>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</si>
  <si>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</si>
  <si>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</si>
  <si>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   társadalom-, szociálpolitikai és egyéb juttatás, támogatás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</si>
  <si>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</si>
  <si>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</si>
  <si>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</si>
  <si>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</si>
  <si>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</si>
  <si>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</si>
  <si>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>Kormányzati beruházások</t>
  </si>
  <si>
    <t>Lakástámogatás</t>
  </si>
  <si>
    <t>Lakásépítés</t>
  </si>
  <si>
    <t xml:space="preserve">   irányító szerv alá tartozó költségvetési szervnek folyósított felhalmozási támogatás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</si>
  <si>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</si>
  <si>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</si>
  <si>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</si>
  <si>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</si>
  <si>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</si>
  <si>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</si>
  <si>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</si>
  <si>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</si>
  <si>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</si>
  <si>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</si>
  <si>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</si>
  <si>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</si>
  <si>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</si>
  <si>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BEVÉTELEK 2013</t>
  </si>
  <si>
    <t>KIADÁSOK 2013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</si>
  <si>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</si>
  <si>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</si>
  <si>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</si>
  <si>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</si>
  <si>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</si>
  <si>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</si>
  <si>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</si>
  <si>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</si>
  <si>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</si>
  <si>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</si>
  <si>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</si>
  <si>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LÉTSZÁM (FŐ)</t>
  </si>
  <si>
    <t>KÖZFOGLALKOZTATOTT</t>
  </si>
  <si>
    <t>N</t>
  </si>
  <si>
    <t>O</t>
  </si>
  <si>
    <t xml:space="preserve">2013. évi költségvetés </t>
  </si>
  <si>
    <t>Önkormányzat módosított előirányzatai</t>
  </si>
  <si>
    <t xml:space="preserve">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</si>
  <si>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</si>
  <si>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</si>
  <si>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</si>
  <si>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Iparűzési adó állandó jelleggel végzett iparűzési tevékenység után </t>
  </si>
  <si>
    <t>Iparűzési adó ideiglenes jelleggel végzett iparűzési tevékenység után</t>
  </si>
  <si>
    <t>Helyi adók összesen:</t>
  </si>
  <si>
    <t xml:space="preserve">E </t>
  </si>
  <si>
    <t>Támogatásértékű működési bevétel központi költségvetési szervtől</t>
  </si>
  <si>
    <t xml:space="preserve">Támogatásértékű működési bevétel fejezeti kezelésű előirányzattól hazai programokra </t>
  </si>
  <si>
    <t xml:space="preserve">Támogatásértékű működési bevétel fejezeti kezelésű előirányzattól EU-s programokra és azok hazai társfinanszírozására </t>
  </si>
  <si>
    <t xml:space="preserve">Támogatásértékű működési bevétel társadalombiztosítási alaptól </t>
  </si>
  <si>
    <t xml:space="preserve">Támogatásértékű működési bevétel elkülönített állami pénzalaptól </t>
  </si>
  <si>
    <t xml:space="preserve">Támogatásértékű működési bevétel helyi önkormányzatoktól és költségvetési szerveiktől </t>
  </si>
  <si>
    <t xml:space="preserve">Támogatásértékű működési bevétel többcélú kistérségi társulástól </t>
  </si>
  <si>
    <t xml:space="preserve">Támogatásértékű működési bevétel országos nemzetiségi önkormányzatoktól </t>
  </si>
  <si>
    <t xml:space="preserve">Működési célú garancia- és kezességvállalásból származó megtérülések államháztartáson belülről </t>
  </si>
  <si>
    <t>Működési költségvetés támogatása (finanszírozás)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</si>
  <si>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</si>
  <si>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</si>
  <si>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</si>
  <si>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fejezeti kezelésű előirányzattól EU-s programokra és azok hazai társfinanszírozására </t>
  </si>
  <si>
    <t xml:space="preserve">A 179. és 180. sorba nem tartozó támogatásértékű felhalmozási bevétel fejezeti kezelésű előirányzattól 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</si>
  <si>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</si>
  <si>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</si>
  <si>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</si>
  <si>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</si>
  <si>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</si>
  <si>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</si>
  <si>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>Intézményi felhalmozási kiadások támogatása (finanszírozás)</t>
  </si>
  <si>
    <t xml:space="preserve">Támogatásértékű felhalmozási bevételek </t>
  </si>
  <si>
    <t>Támogatásértékű bevételek mindösszesen</t>
  </si>
  <si>
    <t>MŰKÖDÉSHEZ ÉS ÁGAZATI FELADATOKHOZ KAPCSOLÓDÓ TÁMOGATÁSÉRTÉKŰ BEVÉTELEK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</si>
  <si>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</si>
  <si>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</si>
  <si>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</si>
  <si>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</si>
  <si>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</si>
  <si>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</si>
  <si>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Beszámítás összege</t>
  </si>
  <si>
    <t>Általános feladatok támogatása összesen</t>
  </si>
  <si>
    <t>Óvodapedagógusok, óvodapedagógusok munkáját közvetlenül segítők bértámogatása</t>
  </si>
  <si>
    <t>Óvodaműködtetési támogatás</t>
  </si>
  <si>
    <t>Óvodai étkeztetés támogatása</t>
  </si>
  <si>
    <t>Települési önkormányzatok köznevelési és gyermekétkeztetési feladatainak támogatása összesen</t>
  </si>
  <si>
    <t>Hozzájárulás pénzbeli szociális ellátásokhoz</t>
  </si>
  <si>
    <t xml:space="preserve">Egyes szociális és gyermekjóléti feladatok támogatása 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</si>
  <si>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</si>
  <si>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</si>
  <si>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</si>
  <si>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</si>
  <si>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Költségvetési kapcsolatokból számított bevételek összesen</t>
  </si>
  <si>
    <t>Európai Uniós Projektek</t>
  </si>
  <si>
    <t>Összesen</t>
  </si>
  <si>
    <t>LEADER Kultúrparkok és központok kialakítása (MERSE PARK) LEADER pályázat, benyújtás ideje: 2010.08.02.</t>
  </si>
  <si>
    <t>Összesen:</t>
  </si>
  <si>
    <t>Támogatási bevétel</t>
  </si>
  <si>
    <t>Megvalósítás költsége</t>
  </si>
  <si>
    <t>Önkormányzat önrésze</t>
  </si>
  <si>
    <t>Megjegyzés</t>
  </si>
  <si>
    <t>KEOP -4.2.0/A/11-2011 "Alsóörsi Sportcsarnok energia termelésének megvalósítása fotovoltaikus rendszerrel", benyújtás ideje: 2011.06.15.</t>
  </si>
  <si>
    <t>BERUHÁZÁS-FELÚJÍTÁS</t>
  </si>
  <si>
    <t>Beruházás</t>
  </si>
  <si>
    <t>Szakf.</t>
  </si>
  <si>
    <t>fők.szám</t>
  </si>
  <si>
    <t>1233 épületek vás., létes.</t>
  </si>
  <si>
    <t>1234 Egyéb építm.</t>
  </si>
  <si>
    <t>1134 Szell.term.</t>
  </si>
  <si>
    <t>Felújítás</t>
  </si>
  <si>
    <t>1243 ép.felújítása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</si>
  <si>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</si>
  <si>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</si>
  <si>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</si>
  <si>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</si>
  <si>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</si>
  <si>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</si>
  <si>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</si>
  <si>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r>
      <t xml:space="preserve">Kertmozi épület külső felújítása </t>
    </r>
    <r>
      <rPr>
        <b/>
        <sz val="14"/>
        <rFont val="Georgia"/>
        <family val="1"/>
      </rPr>
      <t>RÉSZ 1</t>
    </r>
  </si>
  <si>
    <r>
      <t xml:space="preserve">Strand I. kapu szálláshely kialakítás </t>
    </r>
    <r>
      <rPr>
        <b/>
        <sz val="14"/>
        <rFont val="Georgia"/>
        <family val="1"/>
      </rPr>
      <t>RÉSZ 2</t>
    </r>
  </si>
  <si>
    <r>
      <t xml:space="preserve">Kemping belső út burkolása </t>
    </r>
    <r>
      <rPr>
        <b/>
        <sz val="14"/>
        <rFont val="Georgia"/>
        <family val="1"/>
      </rPr>
      <t>RÉSZ 3</t>
    </r>
  </si>
  <si>
    <r>
      <t xml:space="preserve">Új önkormányzati hivatal épület építés </t>
    </r>
    <r>
      <rPr>
        <b/>
        <sz val="14"/>
        <rFont val="Georgia"/>
        <family val="1"/>
      </rPr>
      <t>RÉSZ 4</t>
    </r>
  </si>
  <si>
    <r>
      <t xml:space="preserve">Sportcsarnok napelem </t>
    </r>
    <r>
      <rPr>
        <b/>
        <sz val="14"/>
        <rFont val="Georgia"/>
        <family val="1"/>
      </rPr>
      <t>RÉSZ 5</t>
    </r>
  </si>
  <si>
    <r>
      <t xml:space="preserve">Leader Kultúrpark kialakítása (Merse I.) </t>
    </r>
    <r>
      <rPr>
        <b/>
        <sz val="14"/>
        <rFont val="Georgia"/>
        <family val="1"/>
      </rPr>
      <t>RÉSZ 6</t>
    </r>
  </si>
  <si>
    <r>
      <t xml:space="preserve">Digitális térkép szoftver </t>
    </r>
    <r>
      <rPr>
        <b/>
        <sz val="14"/>
        <rFont val="Georgia"/>
        <family val="1"/>
      </rPr>
      <t>RÉSZ 8</t>
    </r>
  </si>
  <si>
    <t xml:space="preserve">Működési célú pénzeszközátadás non-profit szervezeteknek </t>
  </si>
  <si>
    <t xml:space="preserve">Működési célú pénzeszközátadás egyházaknak </t>
  </si>
  <si>
    <t xml:space="preserve">Működési célú pénzeszközátadás háztartásoknak </t>
  </si>
  <si>
    <t xml:space="preserve">Működési célú pénzeszközátadás vállalkozásoknak </t>
  </si>
  <si>
    <t xml:space="preserve">Működési célú pénzeszközátadás az Európai Unió költségvetésének </t>
  </si>
  <si>
    <t>Működési célú pénzeszközátadás kormányoknak és nemzetközi szervezeteknek</t>
  </si>
  <si>
    <t xml:space="preserve">Működési célú pénzeszközátadás egyéb külföldinek </t>
  </si>
  <si>
    <t xml:space="preserve">Működési célú pénzeszközátadások államháztartáson kívülre </t>
  </si>
  <si>
    <t xml:space="preserve">Felhalmozási célú pénzeszközátadás non-profit szervezeteknek </t>
  </si>
  <si>
    <t xml:space="preserve">Felhalmozási célú pénzeszközátadás egyházaknak </t>
  </si>
  <si>
    <t xml:space="preserve">Felhalmozási célú pénzeszközátadás háztartásoknak </t>
  </si>
  <si>
    <t xml:space="preserve">Felhalmozási célú pénzeszközátadás vállalkozásoknak </t>
  </si>
  <si>
    <t xml:space="preserve">Felhalmozási célú pénzeszközátadás az Európai Unió költségvetésének </t>
  </si>
  <si>
    <t>Felhalmozási célú pénzeszközátadás kormányoknak és nemzetközi szervezeteknek</t>
  </si>
  <si>
    <t xml:space="preserve">Felhalmozási célú pénzeszközátadás egyéb külföldinek 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</si>
  <si>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</si>
  <si>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</si>
  <si>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</si>
  <si>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Felhalmozási célú pénzeszközátadások államháztartáson kívülre</t>
  </si>
  <si>
    <t>ÁTADOTT PÉNZESZKÖZÖK ÁLLAMHÁZTARTÁSON KÍVÜLRE</t>
  </si>
  <si>
    <t>SZOCIÁLIS, RÁSZORULTSÁG JELLEGŰ ELLÁTÁSOK KIADÁSAI</t>
  </si>
  <si>
    <t>Nem foglalkoztatott személyek rendsz.szoc.segélye</t>
  </si>
  <si>
    <t>Foglalkoztatást helyettesítő támogatás</t>
  </si>
  <si>
    <t>Normatív lakásfenntartási támog.</t>
  </si>
  <si>
    <t>Adósságkezelési szolg-ban rész.lakásfennt.tám-sa</t>
  </si>
  <si>
    <t>Ápolási díj (helyi megállapítású)</t>
  </si>
  <si>
    <t>Pénzbeni átmeneti segélyek</t>
  </si>
  <si>
    <t>Pénzbeni temetési segélyek</t>
  </si>
  <si>
    <t>Rendszeres gyermekvéd.tám. (norm. 5800/fő)</t>
  </si>
  <si>
    <t>Kiegészítő gyermekv.tám.</t>
  </si>
  <si>
    <t>Óvodáztatási tám.</t>
  </si>
  <si>
    <t>Rendkívüli gyermekvéd.tám. (önk.rend.)</t>
  </si>
  <si>
    <t>Rászorultságtól függő pénzb.szoc., gyv. Ellát.</t>
  </si>
  <si>
    <t>Természetben nyújtott lakásfennt.tám.</t>
  </si>
  <si>
    <t>Rászorultságtól függő normatív kedv-ek (Étkeztetési tám.  óvodai, iskolai)</t>
  </si>
  <si>
    <t>Étkeztetési tám. (Szt.62.§, szoc.étkezők)</t>
  </si>
  <si>
    <t>Első lakáshoz jutási támogatás (önk-i rendelet alapján)</t>
  </si>
  <si>
    <t>Önk.által saját hk-ben adott pü-i ellátások</t>
  </si>
  <si>
    <t>Szociálpolitikai ellátások és egyéb juttatások, TB pénzbeli ellátások összesen</t>
  </si>
  <si>
    <t>Természetben nyújt.szoc. Ellátások</t>
  </si>
  <si>
    <t>LÉTSZÁM</t>
  </si>
  <si>
    <t>Szakmai teljes munkaidős</t>
  </si>
  <si>
    <t>Intézmény üzemeltetéshez kapcsolódó teljes munkaidős</t>
  </si>
  <si>
    <t>Szakmai részmunkaidős</t>
  </si>
  <si>
    <t>Intézmény üzemeltetéshez kapcsolódó részmunkaidős</t>
  </si>
  <si>
    <t xml:space="preserve">Létszám összesen </t>
  </si>
  <si>
    <t>Teljes munkaidős összesen</t>
  </si>
  <si>
    <t>Részmunkaidős összesen</t>
  </si>
  <si>
    <t>KÖZVETETT TÁMOGATÁSOK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</si>
  <si>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</si>
  <si>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</si>
  <si>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</si>
  <si>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</si>
  <si>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</si>
  <si>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</si>
  <si>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</si>
  <si>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</si>
  <si>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</si>
  <si>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</si>
  <si>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</si>
  <si>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</si>
  <si>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</si>
  <si>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</si>
  <si>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</si>
  <si>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</si>
  <si>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</si>
  <si>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</si>
  <si>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17.sz.melléklet a …/2013. (II. 12.) sz. önk.rendelethez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</si>
  <si>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</si>
  <si>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</si>
  <si>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</si>
  <si>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</si>
  <si>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</si>
  <si>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</si>
  <si>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</si>
  <si>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</si>
  <si>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</si>
  <si>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</si>
  <si>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</si>
  <si>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</si>
  <si>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 xml:space="preserve">Átfutó bevételek </t>
  </si>
  <si>
    <t>Átfutó kiadások forgalma</t>
  </si>
  <si>
    <t>* aműködési és felhalmozási kiadás összesen összegből levonásra került az intézményeknek átadott finanszírozás, annak érdekében, hogy a végösszesen ne tartalmazzon halmozódást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</si>
  <si>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</si>
  <si>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</si>
  <si>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</si>
  <si>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</si>
  <si>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</si>
  <si>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</si>
  <si>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</si>
  <si>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</si>
  <si>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</si>
  <si>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</si>
  <si>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</si>
  <si>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</si>
  <si>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ELŐIRÁNYZAT FELHASZNÁLÁSI TERV</t>
  </si>
  <si>
    <t>Alsóörs Község Önkormányzata</t>
  </si>
  <si>
    <t>Alsóörsi Közös Önkormányzati Hivatal</t>
  </si>
  <si>
    <t>Alsóörsi Településműködtetési és Községgazdálkodási Szervezet</t>
  </si>
  <si>
    <t>Napraforgó Óvoda Alsóörs</t>
  </si>
  <si>
    <t>Mindösszesen</t>
  </si>
  <si>
    <t>Talajterhelési díj</t>
  </si>
  <si>
    <t>Egyes jövedelempótló kiegészítő támogatások</t>
  </si>
  <si>
    <t>Központi támogatás: Bérkompenzáció</t>
  </si>
  <si>
    <t>Külterülettel kapcsolatos feladatok támogatása</t>
  </si>
  <si>
    <t>Szerkezetátalakítási tartalék</t>
  </si>
  <si>
    <t>Egyéb működési célú központi támogatás</t>
  </si>
  <si>
    <r>
      <t xml:space="preserve">Vis maior Templom u. </t>
    </r>
    <r>
      <rPr>
        <b/>
        <sz val="14"/>
        <rFont val="Georgia"/>
        <family val="1"/>
      </rPr>
      <t>RÉSZ 10</t>
    </r>
  </si>
  <si>
    <r>
      <t xml:space="preserve">Strand II. kapu szálláshelyre klíma beszerelés </t>
    </r>
    <r>
      <rPr>
        <b/>
        <sz val="14"/>
        <rFont val="Georgia"/>
        <family val="1"/>
      </rPr>
      <t>RÉSZ 11</t>
    </r>
  </si>
  <si>
    <r>
      <t xml:space="preserve">Művelődési Ház klíma beszerelés </t>
    </r>
    <r>
      <rPr>
        <b/>
        <sz val="14"/>
        <rFont val="Georgia"/>
        <family val="1"/>
      </rPr>
      <t>RÉSZ 12</t>
    </r>
  </si>
  <si>
    <t>Normatív ápolási díj (dec.havi tény)</t>
  </si>
  <si>
    <t>Önk.által saját hk-ben adott természetbeni ellátások</t>
  </si>
  <si>
    <t>Beiskolázási támogatás (önk-i rendelet alapján) ingyen tankönyv</t>
  </si>
  <si>
    <t>Egyéb önk-i rendeletben megállapított juttatások, ellátások (pénzbeni) Beiskolázási tám. Pénzbeli része</t>
  </si>
  <si>
    <r>
      <t xml:space="preserve">Fűkasza tartozékokkal </t>
    </r>
    <r>
      <rPr>
        <b/>
        <sz val="14"/>
        <rFont val="Georgia"/>
        <family val="1"/>
      </rPr>
      <t>RÉSZ 1</t>
    </r>
  </si>
  <si>
    <r>
      <t xml:space="preserve">Strandi nyilvános WC felújítása </t>
    </r>
    <r>
      <rPr>
        <b/>
        <sz val="14"/>
        <rFont val="Georgia"/>
        <family val="1"/>
      </rPr>
      <t>RÉSZ 9</t>
    </r>
  </si>
  <si>
    <t xml:space="preserve">Előző évi működési célú előirányzat-maradvány, pénzmaradvány ig-be vétele összesen </t>
  </si>
  <si>
    <t xml:space="preserve">Idegenforgalmi adó épület után </t>
  </si>
  <si>
    <t>Temüsz módosított előirányzatai</t>
  </si>
  <si>
    <t>Mo. szeretlek (központosított tám.)</t>
  </si>
  <si>
    <t>Megvalósult, támogatásból eddig megkapott összeg 31.294.511 Ft</t>
  </si>
  <si>
    <t>Megvalósult, támogatásból megkapott összeg 17.866.805 Ft</t>
  </si>
  <si>
    <r>
      <t xml:space="preserve">Strand Wifi kiépítése </t>
    </r>
    <r>
      <rPr>
        <b/>
        <sz val="14"/>
        <rFont val="Georgia"/>
        <family val="1"/>
      </rPr>
      <t>RÉSZ 13</t>
    </r>
  </si>
  <si>
    <t>13131 ügyv.e.</t>
  </si>
  <si>
    <r>
      <t xml:space="preserve">Szerver </t>
    </r>
    <r>
      <rPr>
        <b/>
        <sz val="14"/>
        <rFont val="Georgia"/>
        <family val="1"/>
      </rPr>
      <t>RÉSZ 14</t>
    </r>
  </si>
  <si>
    <r>
      <t xml:space="preserve">2 db Interaktív tábla (komlett) iskola </t>
    </r>
    <r>
      <rPr>
        <b/>
        <sz val="14"/>
        <rFont val="Georgia"/>
        <family val="1"/>
      </rPr>
      <t>RÉSZ 15</t>
    </r>
  </si>
  <si>
    <r>
      <t xml:space="preserve">Merse II. üzletviteli tanácsadás </t>
    </r>
    <r>
      <rPr>
        <b/>
        <sz val="14"/>
        <rFont val="Georgia"/>
        <family val="1"/>
      </rPr>
      <t>RÉSZ 16</t>
    </r>
  </si>
  <si>
    <r>
      <t xml:space="preserve">4 db Laptop iskola </t>
    </r>
    <r>
      <rPr>
        <b/>
        <sz val="14"/>
        <rFont val="Georgia"/>
        <family val="1"/>
      </rPr>
      <t>RÉSZ 17</t>
    </r>
  </si>
  <si>
    <r>
      <t xml:space="preserve">Közvilágítás kiépítés Málnás-Iklódy utcák </t>
    </r>
    <r>
      <rPr>
        <b/>
        <sz val="14"/>
        <rFont val="Georgia"/>
        <family val="1"/>
      </rPr>
      <t>RÉSZ 18</t>
    </r>
  </si>
  <si>
    <r>
      <t xml:space="preserve">Útépítés, Hegyalja-Ildikó-Római u. aszfaltozás, Málnás utca útépítés </t>
    </r>
    <r>
      <rPr>
        <b/>
        <sz val="14"/>
        <rFont val="Georgia"/>
        <family val="1"/>
      </rPr>
      <t xml:space="preserve"> RÉSZ 7</t>
    </r>
  </si>
  <si>
    <t>13132 Egyéb gép</t>
  </si>
  <si>
    <t>ÖSSZESEN eredeti ei.:</t>
  </si>
  <si>
    <t>ÖSSZESEN mód. ei.:</t>
  </si>
  <si>
    <t xml:space="preserve">Közfoglalkoztatott </t>
  </si>
  <si>
    <t>étkeztetés</t>
  </si>
  <si>
    <t>helyiség bérlet</t>
  </si>
  <si>
    <t>1.sz. melléklet a 2/2014. (II. 14.) sz. Önkormányzati rendelethez</t>
  </si>
  <si>
    <t>2.sz. melléklet a 2/2014. (II. 14.) sz. Önkormányzati rendelethez</t>
  </si>
  <si>
    <t>3.sz. melléklet a  2/2014. (II. 14.) sz. Önkormányzati rendelethez</t>
  </si>
  <si>
    <t>4.sz. melléklet a  2/2014. (II. 14.) sz. Önkormányzati rendelethez</t>
  </si>
  <si>
    <t>5.sz. melléklet a  2/2014. (II. 14.) sz. Önkormányzati rendelethez</t>
  </si>
  <si>
    <t>6.sz. melléklet a  2/2014. (II. 14.) sz. Önkormányzati rendelethez</t>
  </si>
  <si>
    <t>7.sz. melléklet a   2/2014. (II. 14.) sz. Önkormányzati rendelethez</t>
  </si>
  <si>
    <t>8.sz. melléklet a  2/2014. (II. 14.) sz. Önkormányzati rendelethez</t>
  </si>
  <si>
    <t>9.sz. melléklet a 2/2014. (II. 14.) sz. Önkormányzati rendelethez</t>
  </si>
  <si>
    <t>10.sz. melléklet a 2/2014. (II. 14.) sz. Önkormányzati rendelethez</t>
  </si>
  <si>
    <t>11.sz. melléklet a  2/2014. (II. 14.) sz. Önkormányzati rendelethez</t>
  </si>
  <si>
    <t>12.sz. melléklet a  2/2014. (II. 14.) sz.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</si>
</sst>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0.0__"/>
    <numFmt numFmtId="166" formatCode="0.00__"/>
    <numFmt numFmtId="167" formatCode="_-* #,##0.0\ _F_t_-;\-* #,##0.0\ _F_t_-;_-* &quot;-&quot;??\ _F_t_-;_-@_-"/>
    <numFmt numFmtId="168" formatCode="_-* #,##0\ _F_t_-;\-* #,##0\ _F_t_-;_-* &quot;-&quot;??\ _F_t_-;_-@_-"/>
    <numFmt numFmtId="169" formatCode="[$-40E]yyyy\.\ mmmm\ d\.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Times New Roman CE"/>
      <family val="0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i/>
      <sz val="11"/>
      <name val="Georgia"/>
      <family val="1"/>
    </font>
    <font>
      <b/>
      <i/>
      <sz val="11"/>
      <color indexed="8"/>
      <name val="Georgia"/>
      <family val="1"/>
    </font>
    <font>
      <sz val="12"/>
      <name val="Georgia"/>
      <family val="1"/>
    </font>
    <font>
      <b/>
      <sz val="10"/>
      <name val="Georgia"/>
      <family val="1"/>
    </font>
    <font>
      <sz val="10"/>
      <color indexed="8"/>
      <name val="Georgia"/>
      <family val="1"/>
    </font>
    <font>
      <sz val="13"/>
      <color indexed="8"/>
      <name val="Arial"/>
      <family val="2"/>
    </font>
    <font>
      <b/>
      <i/>
      <sz val="12"/>
      <color indexed="8"/>
      <name val="Georgia"/>
      <family val="1"/>
    </font>
    <font>
      <sz val="10"/>
      <name val="Georgia"/>
      <family val="1"/>
    </font>
    <font>
      <b/>
      <i/>
      <sz val="16"/>
      <name val="Georgia"/>
      <family val="1"/>
    </font>
    <font>
      <sz val="13"/>
      <color indexed="8"/>
      <name val="Georgia"/>
      <family val="1"/>
    </font>
    <font>
      <i/>
      <sz val="22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sz val="13"/>
      <color indexed="8"/>
      <name val="Georgia"/>
      <family val="1"/>
    </font>
    <font>
      <b/>
      <sz val="14"/>
      <color indexed="8"/>
      <name val="Georgia"/>
      <family val="1"/>
    </font>
    <font>
      <b/>
      <sz val="14"/>
      <name val="Georgia"/>
      <family val="1"/>
    </font>
    <font>
      <i/>
      <sz val="13"/>
      <color indexed="8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i/>
      <sz val="14"/>
      <name val="Georgia"/>
      <family val="1"/>
    </font>
    <font>
      <sz val="14"/>
      <name val="Georgia"/>
      <family val="1"/>
    </font>
    <font>
      <sz val="14"/>
      <color indexed="10"/>
      <name val="Georgia"/>
      <family val="1"/>
    </font>
    <font>
      <b/>
      <i/>
      <sz val="12"/>
      <name val="Georgia"/>
      <family val="1"/>
    </font>
    <font>
      <b/>
      <i/>
      <sz val="10"/>
      <color indexed="8"/>
      <name val="Georgia"/>
      <family val="1"/>
    </font>
    <font>
      <b/>
      <i/>
      <sz val="9"/>
      <name val="Georgia"/>
      <family val="1"/>
    </font>
    <font>
      <b/>
      <i/>
      <u val="single"/>
      <sz val="12"/>
      <name val="Georgia"/>
      <family val="1"/>
    </font>
    <font>
      <b/>
      <i/>
      <u val="single"/>
      <sz val="11"/>
      <name val="Georgia"/>
      <family val="1"/>
    </font>
    <font>
      <u val="single"/>
      <sz val="12"/>
      <name val="Georgia"/>
      <family val="1"/>
    </font>
    <font>
      <b/>
      <i/>
      <u val="single"/>
      <sz val="14"/>
      <name val="Georgia"/>
      <family val="1"/>
    </font>
    <font>
      <b/>
      <sz val="12"/>
      <name val="Georgia"/>
      <family val="1"/>
    </font>
    <font>
      <i/>
      <sz val="12"/>
      <name val="Georgia"/>
      <family val="1"/>
    </font>
    <font>
      <b/>
      <sz val="9"/>
      <name val="Georgia"/>
      <family val="1"/>
    </font>
    <font>
      <i/>
      <u val="single"/>
      <sz val="12"/>
      <name val="Georgia"/>
      <family val="1"/>
    </font>
    <font>
      <i/>
      <u val="single"/>
      <sz val="11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rgb="FFFF0000"/>
      <name val="Georgia"/>
      <family val="1"/>
    </font>
    <font>
      <sz val="14"/>
      <color rgb="FFFF0000"/>
      <name val="Georg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59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2" fillId="0" borderId="9" applyNumberFormat="0" applyFill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59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6" fillId="0" borderId="10" xfId="55" applyNumberFormat="1" applyFont="1" applyFill="1" applyBorder="1" applyAlignment="1">
      <alignment horizontal="left" vertical="center" wrapText="1"/>
      <protection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wrapText="1"/>
    </xf>
    <xf numFmtId="164" fontId="7" fillId="33" borderId="10" xfId="55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center" vertical="center"/>
    </xf>
    <xf numFmtId="164" fontId="7" fillId="0" borderId="10" xfId="55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164" fontId="2" fillId="36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164" fontId="7" fillId="0" borderId="10" xfId="55" applyNumberFormat="1" applyFont="1" applyFill="1" applyBorder="1" applyAlignment="1">
      <alignment horizontal="left" vertical="center" wrapText="1"/>
      <protection/>
    </xf>
    <xf numFmtId="164" fontId="9" fillId="37" borderId="10" xfId="55" applyNumberFormat="1" applyFont="1" applyFill="1" applyBorder="1" applyAlignment="1">
      <alignment horizontal="left" vertical="center" wrapText="1"/>
      <protection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164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2" fillId="34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6" fillId="0" borderId="10" xfId="55" applyNumberFormat="1" applyFont="1" applyFill="1" applyBorder="1" applyAlignment="1">
      <alignment vertical="center" wrapText="1"/>
      <protection/>
    </xf>
    <xf numFmtId="3" fontId="12" fillId="0" borderId="10" xfId="55" applyNumberFormat="1" applyFont="1" applyFill="1" applyBorder="1" applyAlignment="1">
      <alignment horizontal="right" vertical="center" wrapText="1"/>
      <protection/>
    </xf>
    <xf numFmtId="164" fontId="13" fillId="0" borderId="0" xfId="55" applyNumberFormat="1" applyFont="1" applyFill="1" applyBorder="1" applyAlignment="1">
      <alignment horizontal="left" vertical="center" wrapText="1"/>
      <protection/>
    </xf>
    <xf numFmtId="164" fontId="14" fillId="0" borderId="10" xfId="55" applyNumberFormat="1" applyFont="1" applyFill="1" applyBorder="1" applyAlignment="1">
      <alignment horizontal="left" vertical="center" wrapText="1"/>
      <protection/>
    </xf>
    <xf numFmtId="3" fontId="11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7" fillId="0" borderId="0" xfId="55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17" fillId="0" borderId="10" xfId="55" applyNumberFormat="1" applyFont="1" applyFill="1" applyBorder="1" applyAlignment="1">
      <alignment horizontal="right" vertical="center"/>
      <protection/>
    </xf>
    <xf numFmtId="3" fontId="21" fillId="0" borderId="10" xfId="55" applyNumberFormat="1" applyFont="1" applyFill="1" applyBorder="1" applyAlignment="1">
      <alignment horizontal="right" vertical="center" wrapText="1"/>
      <protection/>
    </xf>
    <xf numFmtId="3" fontId="17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3" fontId="17" fillId="0" borderId="10" xfId="54" applyNumberFormat="1" applyFont="1" applyFill="1" applyBorder="1" applyAlignment="1">
      <alignment horizontal="right" vertical="center"/>
      <protection/>
    </xf>
    <xf numFmtId="164" fontId="22" fillId="0" borderId="0" xfId="55" applyNumberFormat="1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64" fontId="17" fillId="0" borderId="0" xfId="55" applyNumberFormat="1" applyFont="1" applyFill="1" applyBorder="1" applyAlignment="1">
      <alignment horizontal="left" vertical="center"/>
      <protection/>
    </xf>
    <xf numFmtId="164" fontId="21" fillId="0" borderId="0" xfId="55" applyNumberFormat="1" applyFont="1" applyFill="1" applyBorder="1" applyAlignment="1">
      <alignment horizontal="left" vertical="center" wrapText="1"/>
      <protection/>
    </xf>
    <xf numFmtId="164" fontId="24" fillId="0" borderId="0" xfId="55" applyNumberFormat="1" applyFont="1" applyFill="1" applyBorder="1" applyAlignment="1">
      <alignment horizontal="right" vertical="center" wrapText="1"/>
      <protection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54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28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5" fillId="0" borderId="0" xfId="0" applyFont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164" fontId="14" fillId="0" borderId="0" xfId="55" applyNumberFormat="1" applyFont="1" applyFill="1" applyBorder="1" applyAlignment="1">
      <alignment horizontal="left" vertical="center" wrapText="1"/>
      <protection/>
    </xf>
    <xf numFmtId="3" fontId="21" fillId="0" borderId="0" xfId="55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164" fontId="21" fillId="0" borderId="0" xfId="55" applyNumberFormat="1" applyFont="1" applyFill="1" applyBorder="1" applyAlignment="1">
      <alignment vertical="center" wrapText="1"/>
      <protection/>
    </xf>
    <xf numFmtId="0" fontId="24" fillId="0" borderId="0" xfId="54" applyFont="1" applyFill="1" applyBorder="1" applyAlignment="1">
      <alignment horizontal="right" vertical="center"/>
      <protection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2" fontId="6" fillId="0" borderId="10" xfId="55" applyNumberFormat="1" applyFont="1" applyFill="1" applyBorder="1" applyAlignment="1">
      <alignment horizontal="center" vertical="center" wrapText="1"/>
      <protection/>
    </xf>
    <xf numFmtId="2" fontId="7" fillId="0" borderId="10" xfId="55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2" fontId="76" fillId="0" borderId="10" xfId="55" applyNumberFormat="1" applyFont="1" applyFill="1" applyBorder="1" applyAlignment="1">
      <alignment horizontal="center" vertical="center" wrapText="1"/>
      <protection/>
    </xf>
    <xf numFmtId="0" fontId="31" fillId="38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1" fillId="38" borderId="15" xfId="0" applyFont="1" applyFill="1" applyBorder="1" applyAlignment="1">
      <alignment wrapText="1"/>
    </xf>
    <xf numFmtId="0" fontId="33" fillId="0" borderId="13" xfId="0" applyFont="1" applyFill="1" applyBorder="1" applyAlignment="1">
      <alignment/>
    </xf>
    <xf numFmtId="0" fontId="36" fillId="0" borderId="16" xfId="0" applyFont="1" applyFill="1" applyBorder="1" applyAlignment="1">
      <alignment wrapText="1"/>
    </xf>
    <xf numFmtId="0" fontId="3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3" fontId="12" fillId="0" borderId="10" xfId="55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39" borderId="10" xfId="0" applyFont="1" applyFill="1" applyBorder="1" applyAlignment="1">
      <alignment horizontal="justify" wrapText="1"/>
    </xf>
    <xf numFmtId="0" fontId="3" fillId="39" borderId="10" xfId="0" applyFont="1" applyFill="1" applyBorder="1" applyAlignment="1">
      <alignment horizontal="right" vertical="center"/>
    </xf>
    <xf numFmtId="0" fontId="4" fillId="39" borderId="10" xfId="0" applyFont="1" applyFill="1" applyBorder="1" applyAlignment="1">
      <alignment wrapText="1"/>
    </xf>
    <xf numFmtId="164" fontId="7" fillId="0" borderId="16" xfId="55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1" fontId="15" fillId="0" borderId="0" xfId="0" applyNumberFormat="1" applyFont="1" applyAlignment="1">
      <alignment horizontal="right" vertical="center"/>
    </xf>
    <xf numFmtId="0" fontId="30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wrapText="1"/>
    </xf>
    <xf numFmtId="168" fontId="15" fillId="0" borderId="10" xfId="40" applyNumberFormat="1" applyFont="1" applyBorder="1" applyAlignment="1">
      <alignment vertical="center" shrinkToFit="1"/>
    </xf>
    <xf numFmtId="168" fontId="11" fillId="0" borderId="10" xfId="40" applyNumberFormat="1" applyFont="1" applyBorder="1" applyAlignment="1">
      <alignment vertical="center" shrinkToFi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9" borderId="10" xfId="0" applyNumberFormat="1" applyFont="1" applyFill="1" applyBorder="1" applyAlignment="1">
      <alignment horizontal="center" vertical="center"/>
    </xf>
    <xf numFmtId="3" fontId="77" fillId="0" borderId="10" xfId="0" applyNumberFormat="1" applyFont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/>
    </xf>
    <xf numFmtId="0" fontId="40" fillId="0" borderId="20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/>
    </xf>
    <xf numFmtId="0" fontId="41" fillId="0" borderId="2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3" fontId="17" fillId="0" borderId="23" xfId="55" applyNumberFormat="1" applyFont="1" applyFill="1" applyBorder="1" applyAlignment="1">
      <alignment horizontal="center" vertical="center" wrapText="1"/>
      <protection/>
    </xf>
    <xf numFmtId="3" fontId="17" fillId="0" borderId="16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70ûrlap" xfId="54"/>
    <cellStyle name="Normál_97ûrlap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tk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7.28125" style="44" customWidth="1"/>
    <col min="2" max="2" width="55.00390625" style="51" customWidth="1"/>
    <col min="3" max="4" width="19.421875" style="48" customWidth="1"/>
    <col min="5" max="6" width="19.28125" style="48" customWidth="1"/>
    <col min="7" max="10" width="18.57421875" style="48" customWidth="1"/>
    <col min="11" max="11" width="17.28125" style="48" customWidth="1"/>
    <col min="12" max="12" width="17.421875" style="48" customWidth="1"/>
    <col min="13" max="13" width="18.28125" style="48" customWidth="1"/>
    <col min="14" max="14" width="18.57421875" style="48" customWidth="1"/>
    <col min="15" max="15" width="18.28125" style="48" customWidth="1"/>
    <col min="16" max="16" width="18.57421875" style="48" customWidth="1"/>
    <col min="17" max="16384" width="9.140625" style="44" customWidth="1"/>
  </cols>
  <sheetData>
    <row r="1" spans="2:4" ht="27">
      <c r="B1" s="47" t="s">
        <v>96</v>
      </c>
      <c r="D1" s="48" t="s">
        <v>318</v>
      </c>
    </row>
    <row r="2" ht="27">
      <c r="B2" s="47"/>
    </row>
    <row r="3" ht="20.25">
      <c r="B3" s="49" t="s">
        <v>79</v>
      </c>
    </row>
    <row r="4" spans="2:15" ht="20.25">
      <c r="B4" s="49"/>
      <c r="O4" s="48" t="s">
        <v>0</v>
      </c>
    </row>
    <row r="5" spans="2:16" ht="79.5" customHeight="1">
      <c r="B5" s="1" t="s">
        <v>1</v>
      </c>
      <c r="C5" s="2" t="s">
        <v>2</v>
      </c>
      <c r="D5" s="2" t="s">
        <v>82</v>
      </c>
      <c r="E5" s="2" t="s">
        <v>81</v>
      </c>
      <c r="F5" s="2" t="s">
        <v>83</v>
      </c>
      <c r="G5" s="2" t="s">
        <v>3</v>
      </c>
      <c r="H5" s="2" t="s">
        <v>84</v>
      </c>
      <c r="I5" s="2" t="s">
        <v>88</v>
      </c>
      <c r="J5" s="2" t="s">
        <v>85</v>
      </c>
      <c r="K5" s="3" t="s">
        <v>4</v>
      </c>
      <c r="L5" s="3" t="s">
        <v>5</v>
      </c>
      <c r="M5" s="164" t="s">
        <v>86</v>
      </c>
      <c r="N5" s="3" t="s">
        <v>87</v>
      </c>
      <c r="O5" s="164" t="s">
        <v>89</v>
      </c>
      <c r="P5" s="3" t="s">
        <v>90</v>
      </c>
    </row>
    <row r="6" spans="2:16" ht="14.25">
      <c r="B6" s="1" t="s">
        <v>6</v>
      </c>
      <c r="C6" s="2" t="s">
        <v>7</v>
      </c>
      <c r="D6" s="1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3" t="s">
        <v>15</v>
      </c>
      <c r="L6" s="3" t="s">
        <v>16</v>
      </c>
      <c r="M6" s="164" t="s">
        <v>17</v>
      </c>
      <c r="N6" s="3" t="s">
        <v>18</v>
      </c>
      <c r="O6" s="164" t="s">
        <v>94</v>
      </c>
      <c r="P6" s="3" t="s">
        <v>95</v>
      </c>
    </row>
    <row r="7" spans="1:16" ht="82.5" customHeight="1">
      <c r="A7" s="44">
        <v>1</v>
      </c>
      <c r="B7" s="4" t="s">
        <v>19</v>
      </c>
      <c r="C7" s="5">
        <f>28115+1000+8201</f>
        <v>37316</v>
      </c>
      <c r="D7" s="5">
        <f>1697+24807+136+1431+7835</f>
        <v>35906</v>
      </c>
      <c r="E7" s="5"/>
      <c r="F7" s="5">
        <v>283</v>
      </c>
      <c r="G7" s="5">
        <f>87660+23668</f>
        <v>111328</v>
      </c>
      <c r="H7" s="5">
        <f>91703+7801+5+24460</f>
        <v>123969</v>
      </c>
      <c r="I7" s="5">
        <f>19261+5200</f>
        <v>24461</v>
      </c>
      <c r="J7" s="5">
        <f>20220</f>
        <v>20220</v>
      </c>
      <c r="K7" s="5">
        <f>C7+E7+G7+I7</f>
        <v>173105</v>
      </c>
      <c r="L7" s="5">
        <f>D7+F7+H7+J7</f>
        <v>180378</v>
      </c>
      <c r="M7" s="165">
        <f>C7+E7+G7+I7</f>
        <v>173105</v>
      </c>
      <c r="N7" s="5">
        <v>0</v>
      </c>
      <c r="O7" s="165">
        <f>D7+H7+J7+F7</f>
        <v>180378</v>
      </c>
      <c r="P7" s="5">
        <v>0</v>
      </c>
    </row>
    <row r="8" spans="1:16" ht="42.75">
      <c r="A8" s="44">
        <v>2</v>
      </c>
      <c r="B8" s="4" t="s">
        <v>20</v>
      </c>
      <c r="C8" s="6">
        <f>SUM(C9:C12)</f>
        <v>155600</v>
      </c>
      <c r="D8" s="6">
        <f aca="true" t="shared" si="0" ref="D8:I8">SUM(D9:D12)</f>
        <v>175744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>SUM(J9:J12)</f>
        <v>0</v>
      </c>
      <c r="K8" s="5">
        <f aca="true" t="shared" si="1" ref="K8:K36">C8+E8+G8+I8</f>
        <v>155600</v>
      </c>
      <c r="L8" s="5">
        <f aca="true" t="shared" si="2" ref="L8:L36">D8+F8+H8+J8</f>
        <v>175744</v>
      </c>
      <c r="M8" s="165">
        <f aca="true" t="shared" si="3" ref="M8:M36">C8+E8+G8+I8</f>
        <v>155600</v>
      </c>
      <c r="N8" s="5">
        <v>0</v>
      </c>
      <c r="O8" s="165">
        <f aca="true" t="shared" si="4" ref="O8:O36">D8+H8+J8+F8</f>
        <v>175744</v>
      </c>
      <c r="P8" s="5">
        <v>0</v>
      </c>
    </row>
    <row r="9" spans="1:16" ht="14.25">
      <c r="A9" s="44">
        <v>3</v>
      </c>
      <c r="B9" s="7" t="s">
        <v>21</v>
      </c>
      <c r="C9" s="8">
        <f>150000-1500</f>
        <v>148500</v>
      </c>
      <c r="D9" s="8">
        <f>175744-D11-D12</f>
        <v>168501</v>
      </c>
      <c r="E9" s="8"/>
      <c r="F9" s="8"/>
      <c r="G9" s="8"/>
      <c r="H9" s="8"/>
      <c r="I9" s="8"/>
      <c r="J9" s="8"/>
      <c r="K9" s="5">
        <f t="shared" si="1"/>
        <v>148500</v>
      </c>
      <c r="L9" s="5">
        <f t="shared" si="2"/>
        <v>168501</v>
      </c>
      <c r="M9" s="165">
        <f t="shared" si="3"/>
        <v>148500</v>
      </c>
      <c r="N9" s="5">
        <v>0</v>
      </c>
      <c r="O9" s="165">
        <f t="shared" si="4"/>
        <v>168501</v>
      </c>
      <c r="P9" s="5">
        <v>0</v>
      </c>
    </row>
    <row r="10" spans="1:16" ht="14.25">
      <c r="A10" s="44">
        <v>4</v>
      </c>
      <c r="B10" s="7" t="s">
        <v>22</v>
      </c>
      <c r="C10" s="8"/>
      <c r="D10" s="8"/>
      <c r="E10" s="8"/>
      <c r="F10" s="8"/>
      <c r="G10" s="8"/>
      <c r="H10" s="8"/>
      <c r="I10" s="8"/>
      <c r="J10" s="8"/>
      <c r="K10" s="5">
        <f t="shared" si="1"/>
        <v>0</v>
      </c>
      <c r="L10" s="5">
        <f t="shared" si="2"/>
        <v>0</v>
      </c>
      <c r="M10" s="165">
        <f t="shared" si="3"/>
        <v>0</v>
      </c>
      <c r="N10" s="5">
        <v>0</v>
      </c>
      <c r="O10" s="165">
        <f t="shared" si="4"/>
        <v>0</v>
      </c>
      <c r="P10" s="5">
        <v>0</v>
      </c>
    </row>
    <row r="11" spans="1:16" ht="14.25">
      <c r="A11" s="44">
        <v>5</v>
      </c>
      <c r="B11" s="7" t="s">
        <v>23</v>
      </c>
      <c r="C11" s="8">
        <v>1500</v>
      </c>
      <c r="D11" s="8">
        <f>1146+100</f>
        <v>1246</v>
      </c>
      <c r="E11" s="8"/>
      <c r="F11" s="8"/>
      <c r="G11" s="8"/>
      <c r="H11" s="8"/>
      <c r="I11" s="8"/>
      <c r="J11" s="8"/>
      <c r="K11" s="5">
        <f t="shared" si="1"/>
        <v>1500</v>
      </c>
      <c r="L11" s="5">
        <f t="shared" si="2"/>
        <v>1246</v>
      </c>
      <c r="M11" s="165">
        <f t="shared" si="3"/>
        <v>1500</v>
      </c>
      <c r="N11" s="5">
        <v>0</v>
      </c>
      <c r="O11" s="165">
        <f t="shared" si="4"/>
        <v>1246</v>
      </c>
      <c r="P11" s="5">
        <v>0</v>
      </c>
    </row>
    <row r="12" spans="1:16" ht="14.25">
      <c r="A12" s="44">
        <v>6</v>
      </c>
      <c r="B12" s="7" t="s">
        <v>91</v>
      </c>
      <c r="C12" s="8">
        <f>5600</f>
        <v>5600</v>
      </c>
      <c r="D12" s="8">
        <v>5997</v>
      </c>
      <c r="E12" s="8"/>
      <c r="F12" s="8"/>
      <c r="G12" s="8"/>
      <c r="H12" s="8"/>
      <c r="I12" s="8"/>
      <c r="J12" s="8"/>
      <c r="K12" s="5">
        <f t="shared" si="1"/>
        <v>5600</v>
      </c>
      <c r="L12" s="5">
        <f t="shared" si="2"/>
        <v>5997</v>
      </c>
      <c r="M12" s="165">
        <f t="shared" si="3"/>
        <v>5600</v>
      </c>
      <c r="N12" s="5">
        <v>0</v>
      </c>
      <c r="O12" s="165">
        <f t="shared" si="4"/>
        <v>5997</v>
      </c>
      <c r="P12" s="5">
        <v>0</v>
      </c>
    </row>
    <row r="13" spans="1:16" ht="28.5">
      <c r="A13" s="44">
        <v>7</v>
      </c>
      <c r="B13" s="9" t="s">
        <v>24</v>
      </c>
      <c r="C13" s="10">
        <v>0</v>
      </c>
      <c r="D13" s="10">
        <v>0</v>
      </c>
      <c r="E13" s="10">
        <v>53828</v>
      </c>
      <c r="F13" s="10">
        <v>49655</v>
      </c>
      <c r="G13" s="10">
        <v>79547</v>
      </c>
      <c r="H13" s="10">
        <v>47876</v>
      </c>
      <c r="I13" s="10">
        <v>35501</v>
      </c>
      <c r="J13" s="10">
        <v>35699</v>
      </c>
      <c r="K13" s="5">
        <f t="shared" si="1"/>
        <v>168876</v>
      </c>
      <c r="L13" s="5">
        <f t="shared" si="2"/>
        <v>133230</v>
      </c>
      <c r="M13" s="165">
        <f t="shared" si="3"/>
        <v>168876</v>
      </c>
      <c r="N13" s="5">
        <v>0</v>
      </c>
      <c r="O13" s="165">
        <f t="shared" si="4"/>
        <v>133230</v>
      </c>
      <c r="P13" s="5">
        <v>0</v>
      </c>
    </row>
    <row r="14" spans="1:16" ht="14.25">
      <c r="A14" s="44">
        <v>8</v>
      </c>
      <c r="B14" s="4" t="s">
        <v>25</v>
      </c>
      <c r="C14" s="5">
        <v>122788</v>
      </c>
      <c r="D14" s="5">
        <f>134300+13234</f>
        <v>147534</v>
      </c>
      <c r="E14" s="5"/>
      <c r="F14" s="5"/>
      <c r="G14" s="5"/>
      <c r="H14" s="5"/>
      <c r="I14" s="5"/>
      <c r="J14" s="5"/>
      <c r="K14" s="5">
        <f t="shared" si="1"/>
        <v>122788</v>
      </c>
      <c r="L14" s="5">
        <f t="shared" si="2"/>
        <v>147534</v>
      </c>
      <c r="M14" s="165">
        <f t="shared" si="3"/>
        <v>122788</v>
      </c>
      <c r="N14" s="5">
        <v>0</v>
      </c>
      <c r="O14" s="165">
        <f t="shared" si="4"/>
        <v>147534</v>
      </c>
      <c r="P14" s="5">
        <v>0</v>
      </c>
    </row>
    <row r="15" spans="1:16" ht="28.5">
      <c r="A15" s="44">
        <v>9</v>
      </c>
      <c r="B15" s="4" t="s">
        <v>26</v>
      </c>
      <c r="C15" s="5">
        <f>8886+4000+7480</f>
        <v>20366</v>
      </c>
      <c r="D15" s="5">
        <v>27761</v>
      </c>
      <c r="E15" s="5"/>
      <c r="F15" s="5"/>
      <c r="G15" s="5"/>
      <c r="H15" s="5">
        <v>1008</v>
      </c>
      <c r="I15" s="5"/>
      <c r="J15" s="5"/>
      <c r="K15" s="5">
        <f t="shared" si="1"/>
        <v>20366</v>
      </c>
      <c r="L15" s="5">
        <f t="shared" si="2"/>
        <v>28769</v>
      </c>
      <c r="M15" s="165">
        <f t="shared" si="3"/>
        <v>20366</v>
      </c>
      <c r="N15" s="5">
        <v>0</v>
      </c>
      <c r="O15" s="165">
        <f t="shared" si="4"/>
        <v>28769</v>
      </c>
      <c r="P15" s="5">
        <v>0</v>
      </c>
    </row>
    <row r="16" spans="1:16" ht="14.25">
      <c r="A16" s="44">
        <v>10</v>
      </c>
      <c r="B16" s="4" t="s">
        <v>27</v>
      </c>
      <c r="C16" s="5">
        <v>8000</v>
      </c>
      <c r="D16" s="5">
        <v>13727</v>
      </c>
      <c r="E16" s="5"/>
      <c r="F16" s="5"/>
      <c r="G16" s="5"/>
      <c r="H16" s="5"/>
      <c r="I16" s="5"/>
      <c r="J16" s="5"/>
      <c r="K16" s="5">
        <f t="shared" si="1"/>
        <v>8000</v>
      </c>
      <c r="L16" s="5">
        <f t="shared" si="2"/>
        <v>13727</v>
      </c>
      <c r="M16" s="165">
        <f t="shared" si="3"/>
        <v>8000</v>
      </c>
      <c r="N16" s="5">
        <v>0</v>
      </c>
      <c r="O16" s="165">
        <f t="shared" si="4"/>
        <v>13727</v>
      </c>
      <c r="P16" s="5">
        <v>0</v>
      </c>
    </row>
    <row r="17" spans="1:16" ht="42.75">
      <c r="A17" s="44">
        <v>11</v>
      </c>
      <c r="B17" s="4" t="s">
        <v>298</v>
      </c>
      <c r="C17" s="5">
        <v>30000</v>
      </c>
      <c r="D17" s="5">
        <v>35566</v>
      </c>
      <c r="E17" s="5"/>
      <c r="F17" s="5"/>
      <c r="G17" s="5"/>
      <c r="H17" s="5">
        <v>877</v>
      </c>
      <c r="I17" s="5"/>
      <c r="J17" s="5">
        <v>449</v>
      </c>
      <c r="K17" s="5">
        <f t="shared" si="1"/>
        <v>30000</v>
      </c>
      <c r="L17" s="5">
        <f t="shared" si="2"/>
        <v>36892</v>
      </c>
      <c r="M17" s="165">
        <f t="shared" si="3"/>
        <v>30000</v>
      </c>
      <c r="N17" s="5">
        <v>0</v>
      </c>
      <c r="O17" s="165">
        <f t="shared" si="4"/>
        <v>36892</v>
      </c>
      <c r="P17" s="5">
        <v>0</v>
      </c>
    </row>
    <row r="18" spans="1:16" ht="14.25">
      <c r="A18" s="44">
        <v>12</v>
      </c>
      <c r="B18" s="11" t="s">
        <v>29</v>
      </c>
      <c r="C18" s="12">
        <f aca="true" t="shared" si="5" ref="C18:J18">C7+C8+C14+C15+C16+C17+C13</f>
        <v>374070</v>
      </c>
      <c r="D18" s="12">
        <f t="shared" si="5"/>
        <v>436238</v>
      </c>
      <c r="E18" s="12">
        <f t="shared" si="5"/>
        <v>53828</v>
      </c>
      <c r="F18" s="12">
        <f t="shared" si="5"/>
        <v>49938</v>
      </c>
      <c r="G18" s="12">
        <f t="shared" si="5"/>
        <v>190875</v>
      </c>
      <c r="H18" s="12">
        <f t="shared" si="5"/>
        <v>173730</v>
      </c>
      <c r="I18" s="12">
        <f t="shared" si="5"/>
        <v>59962</v>
      </c>
      <c r="J18" s="12">
        <f t="shared" si="5"/>
        <v>56368</v>
      </c>
      <c r="K18" s="5">
        <f t="shared" si="1"/>
        <v>678735</v>
      </c>
      <c r="L18" s="5">
        <f t="shared" si="2"/>
        <v>716274</v>
      </c>
      <c r="M18" s="165">
        <f t="shared" si="3"/>
        <v>678735</v>
      </c>
      <c r="N18" s="5">
        <v>0</v>
      </c>
      <c r="O18" s="165">
        <f t="shared" si="4"/>
        <v>716274</v>
      </c>
      <c r="P18" s="5">
        <v>0</v>
      </c>
    </row>
    <row r="19" spans="1:16" ht="28.5">
      <c r="A19" s="44">
        <v>13</v>
      </c>
      <c r="B19" s="4" t="s">
        <v>30</v>
      </c>
      <c r="C19" s="13">
        <f>41177+17867</f>
        <v>59044</v>
      </c>
      <c r="D19" s="13">
        <v>49524</v>
      </c>
      <c r="E19" s="13"/>
      <c r="F19" s="13"/>
      <c r="G19" s="13"/>
      <c r="H19" s="13"/>
      <c r="I19" s="13"/>
      <c r="J19" s="13"/>
      <c r="K19" s="5">
        <f t="shared" si="1"/>
        <v>59044</v>
      </c>
      <c r="L19" s="5">
        <f t="shared" si="2"/>
        <v>49524</v>
      </c>
      <c r="M19" s="165">
        <f t="shared" si="3"/>
        <v>59044</v>
      </c>
      <c r="N19" s="5">
        <v>0</v>
      </c>
      <c r="O19" s="165">
        <f t="shared" si="4"/>
        <v>49524</v>
      </c>
      <c r="P19" s="5">
        <v>0</v>
      </c>
    </row>
    <row r="20" spans="1:16" ht="28.5">
      <c r="A20" s="44">
        <v>14</v>
      </c>
      <c r="B20" s="4" t="s">
        <v>31</v>
      </c>
      <c r="C20" s="13"/>
      <c r="D20" s="13">
        <v>1305</v>
      </c>
      <c r="E20" s="13"/>
      <c r="F20" s="13"/>
      <c r="G20" s="13"/>
      <c r="H20" s="13"/>
      <c r="I20" s="13"/>
      <c r="J20" s="13"/>
      <c r="K20" s="5">
        <f t="shared" si="1"/>
        <v>0</v>
      </c>
      <c r="L20" s="5">
        <f t="shared" si="2"/>
        <v>1305</v>
      </c>
      <c r="M20" s="165">
        <f t="shared" si="3"/>
        <v>0</v>
      </c>
      <c r="N20" s="5">
        <v>0</v>
      </c>
      <c r="O20" s="165">
        <f t="shared" si="4"/>
        <v>1305</v>
      </c>
      <c r="P20" s="5">
        <v>0</v>
      </c>
    </row>
    <row r="21" spans="1:16" ht="42.75">
      <c r="A21" s="44">
        <v>15</v>
      </c>
      <c r="B21" s="4" t="s">
        <v>32</v>
      </c>
      <c r="C21" s="13">
        <f>60000+2000+260+3900</f>
        <v>66160</v>
      </c>
      <c r="D21" s="13">
        <v>3829</v>
      </c>
      <c r="E21" s="13"/>
      <c r="F21" s="13"/>
      <c r="G21" s="13"/>
      <c r="H21" s="13"/>
      <c r="I21" s="13"/>
      <c r="J21" s="13"/>
      <c r="K21" s="5">
        <f t="shared" si="1"/>
        <v>66160</v>
      </c>
      <c r="L21" s="5">
        <f t="shared" si="2"/>
        <v>3829</v>
      </c>
      <c r="M21" s="165">
        <f t="shared" si="3"/>
        <v>66160</v>
      </c>
      <c r="N21" s="5">
        <v>0</v>
      </c>
      <c r="O21" s="165">
        <f t="shared" si="4"/>
        <v>3829</v>
      </c>
      <c r="P21" s="5">
        <v>0</v>
      </c>
    </row>
    <row r="22" spans="1:16" ht="28.5">
      <c r="A22" s="44">
        <v>16</v>
      </c>
      <c r="B22" s="4" t="s">
        <v>33</v>
      </c>
      <c r="C22" s="5"/>
      <c r="D22" s="5"/>
      <c r="E22" s="5"/>
      <c r="F22" s="5"/>
      <c r="G22" s="5"/>
      <c r="H22" s="5"/>
      <c r="I22" s="5"/>
      <c r="J22" s="5"/>
      <c r="K22" s="5">
        <f t="shared" si="1"/>
        <v>0</v>
      </c>
      <c r="L22" s="5">
        <f t="shared" si="2"/>
        <v>0</v>
      </c>
      <c r="M22" s="165">
        <f t="shared" si="3"/>
        <v>0</v>
      </c>
      <c r="N22" s="5">
        <v>0</v>
      </c>
      <c r="O22" s="165">
        <f t="shared" si="4"/>
        <v>0</v>
      </c>
      <c r="P22" s="5">
        <v>0</v>
      </c>
    </row>
    <row r="23" spans="1:16" ht="28.5">
      <c r="A23" s="44">
        <v>17</v>
      </c>
      <c r="B23" s="9" t="s">
        <v>34</v>
      </c>
      <c r="C23" s="14"/>
      <c r="D23" s="14"/>
      <c r="E23" s="14"/>
      <c r="F23" s="14"/>
      <c r="G23" s="14"/>
      <c r="H23" s="14"/>
      <c r="I23" s="14"/>
      <c r="J23" s="14"/>
      <c r="K23" s="5">
        <f t="shared" si="1"/>
        <v>0</v>
      </c>
      <c r="L23" s="5">
        <f t="shared" si="2"/>
        <v>0</v>
      </c>
      <c r="M23" s="165">
        <f t="shared" si="3"/>
        <v>0</v>
      </c>
      <c r="N23" s="5">
        <v>0</v>
      </c>
      <c r="O23" s="165">
        <f t="shared" si="4"/>
        <v>0</v>
      </c>
      <c r="P23" s="5">
        <v>0</v>
      </c>
    </row>
    <row r="24" spans="1:16" ht="14.25">
      <c r="A24" s="44">
        <v>18</v>
      </c>
      <c r="B24" s="11" t="s">
        <v>35</v>
      </c>
      <c r="C24" s="12">
        <f>SUM(C19:C23)</f>
        <v>125204</v>
      </c>
      <c r="D24" s="12">
        <f aca="true" t="shared" si="6" ref="D24:I24">SUM(D19:D23)</f>
        <v>54658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2">
        <f t="shared" si="6"/>
        <v>0</v>
      </c>
      <c r="I24" s="12">
        <f t="shared" si="6"/>
        <v>0</v>
      </c>
      <c r="J24" s="12">
        <f>SUM(J19:J23)</f>
        <v>0</v>
      </c>
      <c r="K24" s="5">
        <f t="shared" si="1"/>
        <v>125204</v>
      </c>
      <c r="L24" s="5">
        <f t="shared" si="2"/>
        <v>54658</v>
      </c>
      <c r="M24" s="165">
        <f t="shared" si="3"/>
        <v>125204</v>
      </c>
      <c r="N24" s="5">
        <v>0</v>
      </c>
      <c r="O24" s="165">
        <f t="shared" si="4"/>
        <v>54658</v>
      </c>
      <c r="P24" s="5">
        <v>0</v>
      </c>
    </row>
    <row r="25" spans="1:16" ht="28.5">
      <c r="A25" s="44">
        <v>19</v>
      </c>
      <c r="B25" s="15" t="s">
        <v>36</v>
      </c>
      <c r="C25" s="16"/>
      <c r="D25" s="16"/>
      <c r="E25" s="16"/>
      <c r="F25" s="16"/>
      <c r="G25" s="16"/>
      <c r="H25" s="16"/>
      <c r="I25" s="16"/>
      <c r="J25" s="16"/>
      <c r="K25" s="5">
        <f t="shared" si="1"/>
        <v>0</v>
      </c>
      <c r="L25" s="5">
        <f t="shared" si="2"/>
        <v>0</v>
      </c>
      <c r="M25" s="165">
        <f t="shared" si="3"/>
        <v>0</v>
      </c>
      <c r="N25" s="5">
        <v>0</v>
      </c>
      <c r="O25" s="165">
        <f t="shared" si="4"/>
        <v>0</v>
      </c>
      <c r="P25" s="5">
        <v>0</v>
      </c>
    </row>
    <row r="26" spans="1:16" ht="28.5">
      <c r="A26" s="44">
        <v>20</v>
      </c>
      <c r="B26" s="15" t="s">
        <v>37</v>
      </c>
      <c r="C26" s="16"/>
      <c r="D26" s="16"/>
      <c r="E26" s="16"/>
      <c r="F26" s="16"/>
      <c r="G26" s="16"/>
      <c r="H26" s="16"/>
      <c r="I26" s="16"/>
      <c r="J26" s="16"/>
      <c r="K26" s="5">
        <f t="shared" si="1"/>
        <v>0</v>
      </c>
      <c r="L26" s="5">
        <f t="shared" si="2"/>
        <v>0</v>
      </c>
      <c r="M26" s="165">
        <f t="shared" si="3"/>
        <v>0</v>
      </c>
      <c r="N26" s="5">
        <v>0</v>
      </c>
      <c r="O26" s="165">
        <f t="shared" si="4"/>
        <v>0</v>
      </c>
      <c r="P26" s="5">
        <v>0</v>
      </c>
    </row>
    <row r="27" spans="1:16" ht="28.5">
      <c r="A27" s="44">
        <v>21</v>
      </c>
      <c r="B27" s="15" t="s">
        <v>38</v>
      </c>
      <c r="C27" s="16"/>
      <c r="D27" s="16"/>
      <c r="E27" s="16"/>
      <c r="F27" s="16"/>
      <c r="G27" s="16"/>
      <c r="H27" s="16"/>
      <c r="I27" s="16"/>
      <c r="J27" s="16"/>
      <c r="K27" s="5">
        <f t="shared" si="1"/>
        <v>0</v>
      </c>
      <c r="L27" s="5">
        <f t="shared" si="2"/>
        <v>0</v>
      </c>
      <c r="M27" s="165">
        <f t="shared" si="3"/>
        <v>0</v>
      </c>
      <c r="N27" s="5">
        <v>0</v>
      </c>
      <c r="O27" s="165">
        <f t="shared" si="4"/>
        <v>0</v>
      </c>
      <c r="P27" s="5">
        <v>0</v>
      </c>
    </row>
    <row r="28" spans="1:16" ht="14.25">
      <c r="A28" s="44">
        <v>22</v>
      </c>
      <c r="B28" s="11" t="s">
        <v>39</v>
      </c>
      <c r="C28" s="17">
        <f>SUM(C25:C27)</f>
        <v>0</v>
      </c>
      <c r="D28" s="17">
        <f aca="true" t="shared" si="7" ref="D28:I28">SUM(D25:D27)</f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  <c r="H28" s="17">
        <f t="shared" si="7"/>
        <v>0</v>
      </c>
      <c r="I28" s="17">
        <f t="shared" si="7"/>
        <v>0</v>
      </c>
      <c r="J28" s="17">
        <f>SUM(J25:J27)</f>
        <v>0</v>
      </c>
      <c r="K28" s="5">
        <f t="shared" si="1"/>
        <v>0</v>
      </c>
      <c r="L28" s="5">
        <f t="shared" si="2"/>
        <v>0</v>
      </c>
      <c r="M28" s="165">
        <f t="shared" si="3"/>
        <v>0</v>
      </c>
      <c r="N28" s="5">
        <v>0</v>
      </c>
      <c r="O28" s="165">
        <f t="shared" si="4"/>
        <v>0</v>
      </c>
      <c r="P28" s="5">
        <v>0</v>
      </c>
    </row>
    <row r="29" spans="1:16" ht="14.25">
      <c r="A29" s="44">
        <v>23</v>
      </c>
      <c r="B29" s="18" t="s">
        <v>40</v>
      </c>
      <c r="C29" s="19">
        <f>C28+C24+C18-E13-G13-I13</f>
        <v>330398</v>
      </c>
      <c r="D29" s="19">
        <f>D28+D24+D18-F13-H13-J13</f>
        <v>357666</v>
      </c>
      <c r="E29" s="20">
        <f aca="true" t="shared" si="8" ref="E29:J29">E28+E24+E18</f>
        <v>53828</v>
      </c>
      <c r="F29" s="20">
        <f t="shared" si="8"/>
        <v>49938</v>
      </c>
      <c r="G29" s="20">
        <f t="shared" si="8"/>
        <v>190875</v>
      </c>
      <c r="H29" s="20">
        <f t="shared" si="8"/>
        <v>173730</v>
      </c>
      <c r="I29" s="20">
        <f t="shared" si="8"/>
        <v>59962</v>
      </c>
      <c r="J29" s="20">
        <f t="shared" si="8"/>
        <v>56368</v>
      </c>
      <c r="K29" s="5">
        <f t="shared" si="1"/>
        <v>635063</v>
      </c>
      <c r="L29" s="5">
        <f t="shared" si="2"/>
        <v>637702</v>
      </c>
      <c r="M29" s="165">
        <f t="shared" si="3"/>
        <v>635063</v>
      </c>
      <c r="N29" s="5">
        <v>0</v>
      </c>
      <c r="O29" s="165">
        <f t="shared" si="4"/>
        <v>637702</v>
      </c>
      <c r="P29" s="5">
        <v>0</v>
      </c>
    </row>
    <row r="30" spans="1:16" ht="42.75">
      <c r="A30" s="44">
        <v>24</v>
      </c>
      <c r="B30" s="21" t="s">
        <v>41</v>
      </c>
      <c r="C30" s="16"/>
      <c r="D30" s="16"/>
      <c r="E30" s="5"/>
      <c r="F30" s="5"/>
      <c r="G30" s="16"/>
      <c r="H30" s="16"/>
      <c r="I30" s="16"/>
      <c r="J30" s="16"/>
      <c r="K30" s="5">
        <f t="shared" si="1"/>
        <v>0</v>
      </c>
      <c r="L30" s="5">
        <f t="shared" si="2"/>
        <v>0</v>
      </c>
      <c r="M30" s="165">
        <f t="shared" si="3"/>
        <v>0</v>
      </c>
      <c r="N30" s="5">
        <v>0</v>
      </c>
      <c r="O30" s="165">
        <f t="shared" si="4"/>
        <v>0</v>
      </c>
      <c r="P30" s="5">
        <v>0</v>
      </c>
    </row>
    <row r="31" spans="1:16" ht="14.25">
      <c r="A31" s="44">
        <v>25</v>
      </c>
      <c r="B31" s="21" t="s">
        <v>42</v>
      </c>
      <c r="C31" s="16"/>
      <c r="D31" s="16"/>
      <c r="E31" s="5"/>
      <c r="F31" s="5"/>
      <c r="G31" s="16"/>
      <c r="H31" s="16"/>
      <c r="I31" s="16"/>
      <c r="J31" s="16"/>
      <c r="K31" s="5">
        <f t="shared" si="1"/>
        <v>0</v>
      </c>
      <c r="L31" s="5">
        <f t="shared" si="2"/>
        <v>0</v>
      </c>
      <c r="M31" s="165">
        <f t="shared" si="3"/>
        <v>0</v>
      </c>
      <c r="N31" s="5">
        <v>0</v>
      </c>
      <c r="O31" s="165">
        <f t="shared" si="4"/>
        <v>0</v>
      </c>
      <c r="P31" s="5">
        <v>0</v>
      </c>
    </row>
    <row r="32" spans="1:16" ht="14.25">
      <c r="A32" s="44">
        <v>26</v>
      </c>
      <c r="B32" s="22" t="s">
        <v>43</v>
      </c>
      <c r="C32" s="23">
        <f aca="true" t="shared" si="9" ref="C32:I32">SUM(C29:C31)</f>
        <v>330398</v>
      </c>
      <c r="D32" s="23">
        <f t="shared" si="9"/>
        <v>357666</v>
      </c>
      <c r="E32" s="24">
        <f t="shared" si="9"/>
        <v>53828</v>
      </c>
      <c r="F32" s="24">
        <f t="shared" si="9"/>
        <v>49938</v>
      </c>
      <c r="G32" s="24">
        <f t="shared" si="9"/>
        <v>190875</v>
      </c>
      <c r="H32" s="24">
        <f t="shared" si="9"/>
        <v>173730</v>
      </c>
      <c r="I32" s="24">
        <f t="shared" si="9"/>
        <v>59962</v>
      </c>
      <c r="J32" s="24">
        <f>SUM(J29:J31)</f>
        <v>56368</v>
      </c>
      <c r="K32" s="5">
        <f t="shared" si="1"/>
        <v>635063</v>
      </c>
      <c r="L32" s="5">
        <f t="shared" si="2"/>
        <v>637702</v>
      </c>
      <c r="M32" s="165">
        <f t="shared" si="3"/>
        <v>635063</v>
      </c>
      <c r="N32" s="5">
        <v>0</v>
      </c>
      <c r="O32" s="165">
        <f t="shared" si="4"/>
        <v>637702</v>
      </c>
      <c r="P32" s="5">
        <v>0</v>
      </c>
    </row>
    <row r="33" spans="1:16" ht="14.25">
      <c r="A33" s="44">
        <v>27</v>
      </c>
      <c r="B33" s="21"/>
      <c r="C33" s="16"/>
      <c r="D33" s="16"/>
      <c r="E33" s="16"/>
      <c r="F33" s="16"/>
      <c r="G33" s="16"/>
      <c r="H33" s="16"/>
      <c r="I33" s="16"/>
      <c r="J33" s="16"/>
      <c r="K33" s="5">
        <f t="shared" si="1"/>
        <v>0</v>
      </c>
      <c r="L33" s="5">
        <f t="shared" si="2"/>
        <v>0</v>
      </c>
      <c r="M33" s="165">
        <f t="shared" si="3"/>
        <v>0</v>
      </c>
      <c r="N33" s="5">
        <v>0</v>
      </c>
      <c r="O33" s="165">
        <f t="shared" si="4"/>
        <v>0</v>
      </c>
      <c r="P33" s="5">
        <v>0</v>
      </c>
    </row>
    <row r="34" spans="1:16" s="50" customFormat="1" ht="28.5">
      <c r="A34" s="44">
        <v>28</v>
      </c>
      <c r="B34" s="7" t="s">
        <v>44</v>
      </c>
      <c r="C34" s="8">
        <f aca="true" t="shared" si="10" ref="C34:H34">C32-C73</f>
        <v>0</v>
      </c>
      <c r="D34" s="8">
        <f t="shared" si="10"/>
        <v>0</v>
      </c>
      <c r="E34" s="8">
        <f t="shared" si="10"/>
        <v>0</v>
      </c>
      <c r="F34" s="8">
        <f t="shared" si="10"/>
        <v>0</v>
      </c>
      <c r="G34" s="8">
        <f t="shared" si="10"/>
        <v>0</v>
      </c>
      <c r="H34" s="8">
        <f t="shared" si="10"/>
        <v>0</v>
      </c>
      <c r="I34" s="8">
        <f>I32-I73</f>
        <v>0</v>
      </c>
      <c r="J34" s="8">
        <f>J32-J73</f>
        <v>0</v>
      </c>
      <c r="K34" s="5">
        <f t="shared" si="1"/>
        <v>0</v>
      </c>
      <c r="L34" s="5">
        <f t="shared" si="2"/>
        <v>0</v>
      </c>
      <c r="M34" s="165">
        <f t="shared" si="3"/>
        <v>0</v>
      </c>
      <c r="N34" s="5">
        <v>0</v>
      </c>
      <c r="O34" s="165">
        <f t="shared" si="4"/>
        <v>0</v>
      </c>
      <c r="P34" s="5">
        <v>0</v>
      </c>
    </row>
    <row r="35" spans="1:16" s="50" customFormat="1" ht="28.5">
      <c r="A35" s="44">
        <v>29</v>
      </c>
      <c r="B35" s="7" t="s">
        <v>45</v>
      </c>
      <c r="C35" s="8">
        <f aca="true" t="shared" si="11" ref="C35:H35">C32-C73</f>
        <v>0</v>
      </c>
      <c r="D35" s="8">
        <f t="shared" si="11"/>
        <v>0</v>
      </c>
      <c r="E35" s="8">
        <f t="shared" si="11"/>
        <v>0</v>
      </c>
      <c r="F35" s="8">
        <f t="shared" si="11"/>
        <v>0</v>
      </c>
      <c r="G35" s="8">
        <f t="shared" si="11"/>
        <v>0</v>
      </c>
      <c r="H35" s="8">
        <f t="shared" si="11"/>
        <v>0</v>
      </c>
      <c r="I35" s="8">
        <f>I32-I73</f>
        <v>0</v>
      </c>
      <c r="J35" s="8">
        <f>J32-J73</f>
        <v>0</v>
      </c>
      <c r="K35" s="5">
        <f t="shared" si="1"/>
        <v>0</v>
      </c>
      <c r="L35" s="5">
        <f t="shared" si="2"/>
        <v>0</v>
      </c>
      <c r="M35" s="165">
        <f t="shared" si="3"/>
        <v>0</v>
      </c>
      <c r="N35" s="5">
        <v>0</v>
      </c>
      <c r="O35" s="165">
        <f t="shared" si="4"/>
        <v>0</v>
      </c>
      <c r="P35" s="5">
        <v>0</v>
      </c>
    </row>
    <row r="36" spans="1:16" s="50" customFormat="1" ht="71.25">
      <c r="A36" s="44">
        <v>30</v>
      </c>
      <c r="B36" s="7" t="s">
        <v>46</v>
      </c>
      <c r="C36" s="8">
        <f aca="true" t="shared" si="12" ref="C36:H36">C34+C22</f>
        <v>0</v>
      </c>
      <c r="D36" s="8">
        <f t="shared" si="12"/>
        <v>0</v>
      </c>
      <c r="E36" s="8">
        <f t="shared" si="12"/>
        <v>0</v>
      </c>
      <c r="F36" s="8">
        <f t="shared" si="12"/>
        <v>0</v>
      </c>
      <c r="G36" s="8">
        <f t="shared" si="12"/>
        <v>0</v>
      </c>
      <c r="H36" s="8">
        <f t="shared" si="12"/>
        <v>0</v>
      </c>
      <c r="I36" s="8">
        <f>I34+I22</f>
        <v>0</v>
      </c>
      <c r="J36" s="8">
        <f>J34+J22</f>
        <v>0</v>
      </c>
      <c r="K36" s="5">
        <f t="shared" si="1"/>
        <v>0</v>
      </c>
      <c r="L36" s="5">
        <f t="shared" si="2"/>
        <v>0</v>
      </c>
      <c r="M36" s="165">
        <f t="shared" si="3"/>
        <v>0</v>
      </c>
      <c r="N36" s="5">
        <v>0</v>
      </c>
      <c r="O36" s="165">
        <f t="shared" si="4"/>
        <v>0</v>
      </c>
      <c r="P36" s="5">
        <v>0</v>
      </c>
    </row>
    <row r="37" spans="1:16" s="50" customFormat="1" ht="20.25">
      <c r="A37" s="44"/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50" customFormat="1" ht="20.25">
      <c r="A38" s="44"/>
      <c r="B38" s="49" t="s">
        <v>80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50" customFormat="1" ht="20.25">
      <c r="A39" s="44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50" customFormat="1" ht="71.25">
      <c r="A40" s="44"/>
      <c r="B40" s="1" t="s">
        <v>1</v>
      </c>
      <c r="C40" s="2" t="s">
        <v>2</v>
      </c>
      <c r="D40" s="2" t="s">
        <v>82</v>
      </c>
      <c r="E40" s="2" t="s">
        <v>81</v>
      </c>
      <c r="F40" s="2" t="s">
        <v>83</v>
      </c>
      <c r="G40" s="2" t="s">
        <v>3</v>
      </c>
      <c r="H40" s="2" t="s">
        <v>84</v>
      </c>
      <c r="I40" s="2" t="s">
        <v>88</v>
      </c>
      <c r="J40" s="2" t="s">
        <v>85</v>
      </c>
      <c r="K40" s="3" t="s">
        <v>4</v>
      </c>
      <c r="L40" s="3" t="s">
        <v>5</v>
      </c>
      <c r="M40" s="164" t="s">
        <v>86</v>
      </c>
      <c r="N40" s="3" t="s">
        <v>87</v>
      </c>
      <c r="O40" s="164" t="s">
        <v>89</v>
      </c>
      <c r="P40" s="3" t="s">
        <v>90</v>
      </c>
    </row>
    <row r="41" spans="1:16" s="50" customFormat="1" ht="14.25">
      <c r="A41" s="44"/>
      <c r="B41" s="1" t="s">
        <v>6</v>
      </c>
      <c r="C41" s="2" t="s">
        <v>7</v>
      </c>
      <c r="D41" s="1" t="s">
        <v>8</v>
      </c>
      <c r="E41" s="2" t="s">
        <v>9</v>
      </c>
      <c r="F41" s="2" t="s">
        <v>10</v>
      </c>
      <c r="G41" s="2" t="s">
        <v>11</v>
      </c>
      <c r="H41" s="2" t="s">
        <v>12</v>
      </c>
      <c r="I41" s="2" t="s">
        <v>13</v>
      </c>
      <c r="J41" s="2" t="s">
        <v>14</v>
      </c>
      <c r="K41" s="3" t="s">
        <v>15</v>
      </c>
      <c r="L41" s="3" t="s">
        <v>16</v>
      </c>
      <c r="M41" s="164" t="s">
        <v>17</v>
      </c>
      <c r="N41" s="3" t="s">
        <v>18</v>
      </c>
      <c r="O41" s="164" t="s">
        <v>94</v>
      </c>
      <c r="P41" s="3" t="s">
        <v>95</v>
      </c>
    </row>
    <row r="42" spans="1:16" s="50" customFormat="1" ht="14.25">
      <c r="A42" s="44">
        <v>1</v>
      </c>
      <c r="B42" s="25" t="s">
        <v>47</v>
      </c>
      <c r="C42" s="5">
        <v>23202</v>
      </c>
      <c r="D42" s="5">
        <f>23809+7491</f>
        <v>31300</v>
      </c>
      <c r="E42" s="5">
        <v>38413</v>
      </c>
      <c r="F42" s="5">
        <f>37285+374</f>
        <v>37659</v>
      </c>
      <c r="G42" s="5">
        <v>42354</v>
      </c>
      <c r="H42" s="5">
        <f>36232+2924</f>
        <v>39156</v>
      </c>
      <c r="I42" s="5">
        <v>22914</v>
      </c>
      <c r="J42" s="5">
        <f>23721+905</f>
        <v>24626</v>
      </c>
      <c r="K42" s="5">
        <f>C42+E42+G42+I42</f>
        <v>126883</v>
      </c>
      <c r="L42" s="5">
        <f>D42+F42+H42+J42</f>
        <v>132741</v>
      </c>
      <c r="M42" s="165">
        <f>C42+E42+G42+I42</f>
        <v>126883</v>
      </c>
      <c r="N42" s="5">
        <v>0</v>
      </c>
      <c r="O42" s="165">
        <f>D42+F42+H42+J42</f>
        <v>132741</v>
      </c>
      <c r="P42" s="5">
        <v>0</v>
      </c>
    </row>
    <row r="43" spans="1:16" s="50" customFormat="1" ht="28.5">
      <c r="A43" s="44">
        <v>2</v>
      </c>
      <c r="B43" s="25" t="s">
        <v>48</v>
      </c>
      <c r="C43" s="5">
        <v>7712</v>
      </c>
      <c r="D43" s="5">
        <v>8598</v>
      </c>
      <c r="E43" s="5">
        <v>11003</v>
      </c>
      <c r="F43" s="5">
        <v>9282</v>
      </c>
      <c r="G43" s="5">
        <v>12569</v>
      </c>
      <c r="H43" s="5">
        <v>10252</v>
      </c>
      <c r="I43" s="5">
        <v>6211</v>
      </c>
      <c r="J43" s="5">
        <v>6500</v>
      </c>
      <c r="K43" s="5">
        <f aca="true" t="shared" si="13" ref="K43:K72">C43+E43+G43+I43</f>
        <v>37495</v>
      </c>
      <c r="L43" s="5">
        <f aca="true" t="shared" si="14" ref="L43:L72">D43+F43+H43+J43</f>
        <v>34632</v>
      </c>
      <c r="M43" s="165">
        <f aca="true" t="shared" si="15" ref="M43:M72">C43+E43+G43+I43</f>
        <v>37495</v>
      </c>
      <c r="N43" s="5">
        <v>0</v>
      </c>
      <c r="O43" s="165">
        <f aca="true" t="shared" si="16" ref="O43:O48">D43+F43+H43+J43</f>
        <v>34632</v>
      </c>
      <c r="P43" s="5">
        <v>0</v>
      </c>
    </row>
    <row r="44" spans="1:16" s="50" customFormat="1" ht="14.25">
      <c r="A44" s="44">
        <v>3</v>
      </c>
      <c r="B44" s="25" t="s">
        <v>49</v>
      </c>
      <c r="C44" s="5">
        <v>52285</v>
      </c>
      <c r="D44" s="5">
        <f>7326+26607+23956+10277</f>
        <v>68166</v>
      </c>
      <c r="E44" s="5">
        <v>4412</v>
      </c>
      <c r="F44" s="5">
        <f>910+1093+622+372</f>
        <v>2997</v>
      </c>
      <c r="G44" s="5">
        <v>135952</v>
      </c>
      <c r="H44" s="5">
        <f>14411+65901+42936+656</f>
        <v>123904</v>
      </c>
      <c r="I44" s="5">
        <v>30837</v>
      </c>
      <c r="J44" s="5">
        <f>14884+3936+6154+268</f>
        <v>25242</v>
      </c>
      <c r="K44" s="5">
        <f t="shared" si="13"/>
        <v>223486</v>
      </c>
      <c r="L44" s="5">
        <f t="shared" si="14"/>
        <v>220309</v>
      </c>
      <c r="M44" s="165">
        <f t="shared" si="15"/>
        <v>223486</v>
      </c>
      <c r="N44" s="5">
        <v>0</v>
      </c>
      <c r="O44" s="165">
        <f t="shared" si="16"/>
        <v>220309</v>
      </c>
      <c r="P44" s="5">
        <v>0</v>
      </c>
    </row>
    <row r="45" spans="1:16" s="50" customFormat="1" ht="28.5">
      <c r="A45" s="44">
        <v>4</v>
      </c>
      <c r="B45" s="26" t="s">
        <v>50</v>
      </c>
      <c r="C45" s="27">
        <f>E13+G13+I13</f>
        <v>168876</v>
      </c>
      <c r="D45" s="27">
        <f>F13+H13+J13</f>
        <v>133230</v>
      </c>
      <c r="E45" s="27">
        <v>0</v>
      </c>
      <c r="F45" s="27">
        <v>0</v>
      </c>
      <c r="G45" s="14">
        <v>0</v>
      </c>
      <c r="H45" s="14">
        <v>0</v>
      </c>
      <c r="I45" s="14">
        <v>0</v>
      </c>
      <c r="J45" s="14">
        <v>0</v>
      </c>
      <c r="K45" s="5">
        <f t="shared" si="13"/>
        <v>168876</v>
      </c>
      <c r="L45" s="5">
        <f t="shared" si="14"/>
        <v>133230</v>
      </c>
      <c r="M45" s="165">
        <f t="shared" si="15"/>
        <v>168876</v>
      </c>
      <c r="N45" s="5">
        <v>0</v>
      </c>
      <c r="O45" s="165">
        <f t="shared" si="16"/>
        <v>133230</v>
      </c>
      <c r="P45" s="5">
        <v>0</v>
      </c>
    </row>
    <row r="46" spans="1:16" s="50" customFormat="1" ht="14.25">
      <c r="A46" s="44">
        <v>5</v>
      </c>
      <c r="B46" s="25" t="s">
        <v>51</v>
      </c>
      <c r="C46" s="5">
        <f>SUM(C47:C50)</f>
        <v>85710</v>
      </c>
      <c r="D46" s="5">
        <f aca="true" t="shared" si="17" ref="D46:P46">SUM(D47:D50)</f>
        <v>81113</v>
      </c>
      <c r="E46" s="5">
        <f t="shared" si="17"/>
        <v>0</v>
      </c>
      <c r="F46" s="5">
        <f t="shared" si="17"/>
        <v>0</v>
      </c>
      <c r="G46" s="5">
        <f t="shared" si="17"/>
        <v>0</v>
      </c>
      <c r="H46" s="5">
        <f t="shared" si="17"/>
        <v>0</v>
      </c>
      <c r="I46" s="5">
        <f t="shared" si="17"/>
        <v>0</v>
      </c>
      <c r="J46" s="5">
        <f t="shared" si="17"/>
        <v>0</v>
      </c>
      <c r="K46" s="5">
        <f t="shared" si="17"/>
        <v>85710</v>
      </c>
      <c r="L46" s="5">
        <f t="shared" si="17"/>
        <v>81113</v>
      </c>
      <c r="M46" s="165">
        <f t="shared" si="17"/>
        <v>5350</v>
      </c>
      <c r="N46" s="5">
        <f t="shared" si="17"/>
        <v>80360</v>
      </c>
      <c r="O46" s="165">
        <f t="shared" si="17"/>
        <v>6637</v>
      </c>
      <c r="P46" s="5">
        <f t="shared" si="17"/>
        <v>74476</v>
      </c>
    </row>
    <row r="47" spans="1:16" s="50" customFormat="1" ht="14.25">
      <c r="A47" s="44">
        <v>6</v>
      </c>
      <c r="B47" s="28" t="s">
        <v>52</v>
      </c>
      <c r="C47" s="16">
        <v>2750</v>
      </c>
      <c r="D47" s="16">
        <f>490+1018+551+80</f>
        <v>2139</v>
      </c>
      <c r="E47" s="16"/>
      <c r="F47" s="16"/>
      <c r="G47" s="16"/>
      <c r="H47" s="16"/>
      <c r="I47" s="16"/>
      <c r="J47" s="16"/>
      <c r="K47" s="5">
        <f t="shared" si="13"/>
        <v>2750</v>
      </c>
      <c r="L47" s="5">
        <f t="shared" si="14"/>
        <v>2139</v>
      </c>
      <c r="M47" s="165">
        <f t="shared" si="15"/>
        <v>2750</v>
      </c>
      <c r="N47" s="5">
        <v>0</v>
      </c>
      <c r="O47" s="165">
        <f t="shared" si="16"/>
        <v>2139</v>
      </c>
      <c r="P47" s="5">
        <v>0</v>
      </c>
    </row>
    <row r="48" spans="1:16" s="50" customFormat="1" ht="28.5">
      <c r="A48" s="44">
        <v>7</v>
      </c>
      <c r="B48" s="29" t="s">
        <v>53</v>
      </c>
      <c r="C48" s="16"/>
      <c r="D48" s="16"/>
      <c r="E48" s="16"/>
      <c r="F48" s="16"/>
      <c r="G48" s="16"/>
      <c r="H48" s="16"/>
      <c r="I48" s="16"/>
      <c r="J48" s="16"/>
      <c r="K48" s="5">
        <f t="shared" si="13"/>
        <v>0</v>
      </c>
      <c r="L48" s="5">
        <f t="shared" si="14"/>
        <v>0</v>
      </c>
      <c r="M48" s="165">
        <f t="shared" si="15"/>
        <v>0</v>
      </c>
      <c r="N48" s="5">
        <v>0</v>
      </c>
      <c r="O48" s="165">
        <f t="shared" si="16"/>
        <v>0</v>
      </c>
      <c r="P48" s="5">
        <v>0</v>
      </c>
    </row>
    <row r="49" spans="1:16" s="50" customFormat="1" ht="28.5">
      <c r="A49" s="44">
        <v>8</v>
      </c>
      <c r="B49" s="28" t="s">
        <v>54</v>
      </c>
      <c r="C49" s="16">
        <v>75860</v>
      </c>
      <c r="D49" s="16">
        <v>71323</v>
      </c>
      <c r="E49" s="16"/>
      <c r="F49" s="16"/>
      <c r="G49" s="16"/>
      <c r="H49" s="16"/>
      <c r="I49" s="16"/>
      <c r="J49" s="16"/>
      <c r="K49" s="5">
        <f t="shared" si="13"/>
        <v>75860</v>
      </c>
      <c r="L49" s="5">
        <f t="shared" si="14"/>
        <v>71323</v>
      </c>
      <c r="M49" s="165">
        <v>0</v>
      </c>
      <c r="N49" s="5">
        <f>C49</f>
        <v>75860</v>
      </c>
      <c r="O49" s="165">
        <v>0</v>
      </c>
      <c r="P49" s="5">
        <f>D49</f>
        <v>71323</v>
      </c>
    </row>
    <row r="50" spans="1:16" s="51" customFormat="1" ht="28.5">
      <c r="A50" s="44">
        <v>9</v>
      </c>
      <c r="B50" s="28" t="s">
        <v>55</v>
      </c>
      <c r="C50" s="2">
        <v>7100</v>
      </c>
      <c r="D50" s="2">
        <v>7651</v>
      </c>
      <c r="E50" s="2"/>
      <c r="F50" s="2"/>
      <c r="G50" s="2"/>
      <c r="H50" s="2"/>
      <c r="I50" s="2"/>
      <c r="J50" s="2"/>
      <c r="K50" s="5">
        <f t="shared" si="13"/>
        <v>7100</v>
      </c>
      <c r="L50" s="5">
        <f>D50+F50+H50+J50</f>
        <v>7651</v>
      </c>
      <c r="M50" s="165">
        <f>C50+E50+G50+I50-N50</f>
        <v>2600</v>
      </c>
      <c r="N50" s="5">
        <v>4500</v>
      </c>
      <c r="O50" s="165">
        <f>D50-P50</f>
        <v>4498</v>
      </c>
      <c r="P50" s="5">
        <f>71+25+1715+816+526</f>
        <v>3153</v>
      </c>
    </row>
    <row r="51" spans="1:16" ht="28.5">
      <c r="A51" s="44">
        <v>10</v>
      </c>
      <c r="B51" s="25" t="s">
        <v>56</v>
      </c>
      <c r="C51" s="5">
        <f>SUM(C52:C53)</f>
        <v>7000</v>
      </c>
      <c r="D51" s="5">
        <f aca="true" t="shared" si="18" ref="D51:P51">SUM(D52:D53)</f>
        <v>61374</v>
      </c>
      <c r="E51" s="5">
        <f t="shared" si="18"/>
        <v>0</v>
      </c>
      <c r="F51" s="5">
        <f t="shared" si="18"/>
        <v>0</v>
      </c>
      <c r="G51" s="5">
        <f t="shared" si="18"/>
        <v>0</v>
      </c>
      <c r="H51" s="5">
        <f t="shared" si="18"/>
        <v>0</v>
      </c>
      <c r="I51" s="5">
        <f t="shared" si="18"/>
        <v>0</v>
      </c>
      <c r="J51" s="5">
        <f t="shared" si="18"/>
        <v>0</v>
      </c>
      <c r="K51" s="5">
        <f t="shared" si="18"/>
        <v>7000</v>
      </c>
      <c r="L51" s="5">
        <f t="shared" si="18"/>
        <v>61374</v>
      </c>
      <c r="M51" s="165">
        <f t="shared" si="18"/>
        <v>7000</v>
      </c>
      <c r="N51" s="168">
        <f t="shared" si="18"/>
        <v>0</v>
      </c>
      <c r="O51" s="165">
        <f t="shared" si="18"/>
        <v>61374</v>
      </c>
      <c r="P51" s="168">
        <f t="shared" si="18"/>
        <v>0</v>
      </c>
    </row>
    <row r="52" spans="1:16" ht="14.25">
      <c r="A52" s="44">
        <v>11</v>
      </c>
      <c r="B52" s="29" t="s">
        <v>57</v>
      </c>
      <c r="C52" s="16">
        <v>6200</v>
      </c>
      <c r="D52" s="16">
        <v>61374</v>
      </c>
      <c r="E52" s="16"/>
      <c r="F52" s="16"/>
      <c r="G52" s="16"/>
      <c r="H52" s="16"/>
      <c r="I52" s="16"/>
      <c r="J52" s="16"/>
      <c r="K52" s="5">
        <f t="shared" si="13"/>
        <v>6200</v>
      </c>
      <c r="L52" s="5">
        <f t="shared" si="14"/>
        <v>61374</v>
      </c>
      <c r="M52" s="165">
        <f t="shared" si="15"/>
        <v>6200</v>
      </c>
      <c r="N52" s="5">
        <v>0</v>
      </c>
      <c r="O52" s="165">
        <f>D52</f>
        <v>61374</v>
      </c>
      <c r="P52" s="5">
        <v>0</v>
      </c>
    </row>
    <row r="53" spans="1:16" ht="14.25">
      <c r="A53" s="44">
        <v>12</v>
      </c>
      <c r="B53" s="29" t="s">
        <v>58</v>
      </c>
      <c r="C53" s="16">
        <v>800</v>
      </c>
      <c r="D53" s="16">
        <v>0</v>
      </c>
      <c r="E53" s="16"/>
      <c r="F53" s="16"/>
      <c r="G53" s="16"/>
      <c r="H53" s="16"/>
      <c r="I53" s="16"/>
      <c r="J53" s="16"/>
      <c r="K53" s="5">
        <f t="shared" si="13"/>
        <v>800</v>
      </c>
      <c r="L53" s="5">
        <f t="shared" si="14"/>
        <v>0</v>
      </c>
      <c r="M53" s="165">
        <f t="shared" si="15"/>
        <v>800</v>
      </c>
      <c r="N53" s="5">
        <v>0</v>
      </c>
      <c r="O53" s="165">
        <f>D53</f>
        <v>0</v>
      </c>
      <c r="P53" s="5">
        <v>0</v>
      </c>
    </row>
    <row r="54" spans="1:16" s="52" customFormat="1" ht="14.25">
      <c r="A54" s="44">
        <v>13</v>
      </c>
      <c r="B54" s="30" t="s">
        <v>59</v>
      </c>
      <c r="C54" s="12">
        <f>C51+C46+C45+C44+C43+C42</f>
        <v>344785</v>
      </c>
      <c r="D54" s="12">
        <f aca="true" t="shared" si="19" ref="D54:I54">D51+D46+D45+D44+D43+D42</f>
        <v>383781</v>
      </c>
      <c r="E54" s="12">
        <f t="shared" si="19"/>
        <v>53828</v>
      </c>
      <c r="F54" s="12">
        <f t="shared" si="19"/>
        <v>49938</v>
      </c>
      <c r="G54" s="12">
        <f t="shared" si="19"/>
        <v>190875</v>
      </c>
      <c r="H54" s="12">
        <f t="shared" si="19"/>
        <v>173312</v>
      </c>
      <c r="I54" s="12">
        <f t="shared" si="19"/>
        <v>59962</v>
      </c>
      <c r="J54" s="12">
        <f>J51+J46+J45+J44+J43+J42</f>
        <v>56368</v>
      </c>
      <c r="K54" s="12">
        <f aca="true" t="shared" si="20" ref="K54:P54">K51+K46+K45+K44+K43+K42</f>
        <v>649450</v>
      </c>
      <c r="L54" s="12">
        <f t="shared" si="20"/>
        <v>663399</v>
      </c>
      <c r="M54" s="12">
        <f t="shared" si="20"/>
        <v>569090</v>
      </c>
      <c r="N54" s="12">
        <f t="shared" si="20"/>
        <v>80360</v>
      </c>
      <c r="O54" s="12">
        <f t="shared" si="20"/>
        <v>588923</v>
      </c>
      <c r="P54" s="12">
        <f t="shared" si="20"/>
        <v>74476</v>
      </c>
    </row>
    <row r="55" spans="1:16" ht="14.25">
      <c r="A55" s="44">
        <v>14</v>
      </c>
      <c r="B55" s="31" t="s">
        <v>60</v>
      </c>
      <c r="C55" s="5">
        <f>154489-C56</f>
        <v>124770</v>
      </c>
      <c r="D55" s="5">
        <f>106865-D56-D58</f>
        <v>78412</v>
      </c>
      <c r="E55" s="5"/>
      <c r="F55" s="5"/>
      <c r="G55" s="5"/>
      <c r="H55" s="5">
        <v>418</v>
      </c>
      <c r="I55" s="5"/>
      <c r="J55" s="5"/>
      <c r="K55" s="5">
        <f t="shared" si="13"/>
        <v>124770</v>
      </c>
      <c r="L55" s="5">
        <f t="shared" si="14"/>
        <v>78830</v>
      </c>
      <c r="M55" s="165">
        <f>C55</f>
        <v>124770</v>
      </c>
      <c r="N55" s="5">
        <v>0</v>
      </c>
      <c r="O55" s="165">
        <f>D55+H55</f>
        <v>78830</v>
      </c>
      <c r="P55" s="5">
        <f>D55+F55+H55+J55-O55</f>
        <v>0</v>
      </c>
    </row>
    <row r="56" spans="1:16" ht="14.25">
      <c r="A56" s="44">
        <v>15</v>
      </c>
      <c r="B56" s="31" t="s">
        <v>61</v>
      </c>
      <c r="C56" s="5">
        <f>23401+5778+540</f>
        <v>29719</v>
      </c>
      <c r="D56" s="5">
        <f>21903+4485+1365</f>
        <v>27753</v>
      </c>
      <c r="E56" s="5"/>
      <c r="F56" s="5"/>
      <c r="G56" s="5"/>
      <c r="H56" s="5"/>
      <c r="I56" s="5"/>
      <c r="J56" s="5"/>
      <c r="K56" s="5">
        <f t="shared" si="13"/>
        <v>29719</v>
      </c>
      <c r="L56" s="5">
        <f t="shared" si="14"/>
        <v>27753</v>
      </c>
      <c r="M56" s="165">
        <f>C56</f>
        <v>29719</v>
      </c>
      <c r="N56" s="5">
        <v>0</v>
      </c>
      <c r="O56" s="165">
        <f>D56</f>
        <v>27753</v>
      </c>
      <c r="P56" s="5">
        <v>0</v>
      </c>
    </row>
    <row r="57" spans="1:16" ht="14.25">
      <c r="A57" s="44">
        <v>16</v>
      </c>
      <c r="B57" s="25" t="s">
        <v>62</v>
      </c>
      <c r="C57" s="5"/>
      <c r="D57" s="5"/>
      <c r="E57" s="5"/>
      <c r="F57" s="5"/>
      <c r="G57" s="5"/>
      <c r="H57" s="5"/>
      <c r="I57" s="5"/>
      <c r="J57" s="5"/>
      <c r="K57" s="5">
        <f t="shared" si="13"/>
        <v>0</v>
      </c>
      <c r="L57" s="5">
        <f t="shared" si="14"/>
        <v>0</v>
      </c>
      <c r="M57" s="165">
        <f t="shared" si="15"/>
        <v>0</v>
      </c>
      <c r="N57" s="5">
        <v>0</v>
      </c>
      <c r="O57" s="165">
        <v>0</v>
      </c>
      <c r="P57" s="5">
        <v>0</v>
      </c>
    </row>
    <row r="58" spans="1:16" ht="14.25">
      <c r="A58" s="44">
        <v>17</v>
      </c>
      <c r="B58" s="25" t="s">
        <v>63</v>
      </c>
      <c r="C58" s="5"/>
      <c r="D58" s="5">
        <v>700</v>
      </c>
      <c r="E58" s="5"/>
      <c r="F58" s="5"/>
      <c r="G58" s="5"/>
      <c r="H58" s="5"/>
      <c r="I58" s="5"/>
      <c r="J58" s="5"/>
      <c r="K58" s="5">
        <f t="shared" si="13"/>
        <v>0</v>
      </c>
      <c r="L58" s="5">
        <f t="shared" si="14"/>
        <v>700</v>
      </c>
      <c r="M58" s="165">
        <f t="shared" si="15"/>
        <v>0</v>
      </c>
      <c r="N58" s="5">
        <v>0</v>
      </c>
      <c r="O58" s="165">
        <v>0</v>
      </c>
      <c r="P58" s="5">
        <f>D58</f>
        <v>700</v>
      </c>
    </row>
    <row r="59" spans="1:16" ht="14.25">
      <c r="A59" s="44">
        <v>18</v>
      </c>
      <c r="B59" s="25" t="s">
        <v>64</v>
      </c>
      <c r="C59" s="5"/>
      <c r="D59" s="5"/>
      <c r="E59" s="5"/>
      <c r="F59" s="5"/>
      <c r="G59" s="5"/>
      <c r="H59" s="5"/>
      <c r="I59" s="5"/>
      <c r="J59" s="5"/>
      <c r="K59" s="5">
        <f t="shared" si="13"/>
        <v>0</v>
      </c>
      <c r="L59" s="5">
        <f t="shared" si="14"/>
        <v>0</v>
      </c>
      <c r="M59" s="165">
        <f t="shared" si="15"/>
        <v>0</v>
      </c>
      <c r="N59" s="5">
        <v>0</v>
      </c>
      <c r="O59" s="165">
        <v>0</v>
      </c>
      <c r="P59" s="5">
        <v>0</v>
      </c>
    </row>
    <row r="60" spans="1:16" ht="28.5">
      <c r="A60" s="44">
        <v>19</v>
      </c>
      <c r="B60" s="9" t="s">
        <v>65</v>
      </c>
      <c r="C60" s="14">
        <f>E23+G23</f>
        <v>0</v>
      </c>
      <c r="D60" s="14"/>
      <c r="E60" s="14"/>
      <c r="F60" s="14"/>
      <c r="G60" s="14"/>
      <c r="H60" s="14"/>
      <c r="I60" s="14"/>
      <c r="J60" s="14"/>
      <c r="K60" s="5">
        <f t="shared" si="13"/>
        <v>0</v>
      </c>
      <c r="L60" s="5">
        <f t="shared" si="14"/>
        <v>0</v>
      </c>
      <c r="M60" s="165">
        <f t="shared" si="15"/>
        <v>0</v>
      </c>
      <c r="N60" s="5">
        <v>0</v>
      </c>
      <c r="O60" s="165">
        <v>0</v>
      </c>
      <c r="P60" s="5">
        <v>0</v>
      </c>
    </row>
    <row r="61" spans="1:16" ht="14.25">
      <c r="A61" s="44">
        <v>20</v>
      </c>
      <c r="B61" s="25" t="s">
        <v>66</v>
      </c>
      <c r="C61" s="5">
        <f>SUM(C62:C65)</f>
        <v>0</v>
      </c>
      <c r="D61" s="5">
        <f aca="true" t="shared" si="21" ref="D61:I61">SUM(D62:D65)</f>
        <v>250</v>
      </c>
      <c r="E61" s="5">
        <f t="shared" si="21"/>
        <v>0</v>
      </c>
      <c r="F61" s="5">
        <f t="shared" si="21"/>
        <v>0</v>
      </c>
      <c r="G61" s="5">
        <f t="shared" si="21"/>
        <v>0</v>
      </c>
      <c r="H61" s="5">
        <f t="shared" si="21"/>
        <v>0</v>
      </c>
      <c r="I61" s="5">
        <f t="shared" si="21"/>
        <v>0</v>
      </c>
      <c r="J61" s="5">
        <f aca="true" t="shared" si="22" ref="J61:O61">SUM(J62:J65)</f>
        <v>0</v>
      </c>
      <c r="K61" s="5">
        <f t="shared" si="22"/>
        <v>0</v>
      </c>
      <c r="L61" s="5">
        <f t="shared" si="22"/>
        <v>250</v>
      </c>
      <c r="M61" s="171">
        <f t="shared" si="22"/>
        <v>0</v>
      </c>
      <c r="N61" s="5">
        <f t="shared" si="22"/>
        <v>0</v>
      </c>
      <c r="O61" s="171">
        <f t="shared" si="22"/>
        <v>250</v>
      </c>
      <c r="P61" s="5">
        <v>0</v>
      </c>
    </row>
    <row r="62" spans="1:16" ht="14.25">
      <c r="A62" s="44">
        <v>21</v>
      </c>
      <c r="B62" s="32" t="s">
        <v>67</v>
      </c>
      <c r="C62" s="16"/>
      <c r="D62" s="16"/>
      <c r="E62" s="16"/>
      <c r="F62" s="16"/>
      <c r="G62" s="16"/>
      <c r="H62" s="16"/>
      <c r="I62" s="16"/>
      <c r="J62" s="16"/>
      <c r="K62" s="5">
        <f t="shared" si="13"/>
        <v>0</v>
      </c>
      <c r="L62" s="5">
        <f t="shared" si="14"/>
        <v>0</v>
      </c>
      <c r="M62" s="165">
        <f t="shared" si="15"/>
        <v>0</v>
      </c>
      <c r="N62" s="5">
        <v>0</v>
      </c>
      <c r="O62" s="165">
        <v>0</v>
      </c>
      <c r="P62" s="5">
        <v>0</v>
      </c>
    </row>
    <row r="63" spans="1:16" ht="14.25">
      <c r="A63" s="44">
        <v>22</v>
      </c>
      <c r="B63" s="32" t="s">
        <v>68</v>
      </c>
      <c r="C63" s="16"/>
      <c r="D63" s="16"/>
      <c r="E63" s="16"/>
      <c r="F63" s="16"/>
      <c r="G63" s="16"/>
      <c r="H63" s="16"/>
      <c r="I63" s="16"/>
      <c r="J63" s="16"/>
      <c r="K63" s="5">
        <f t="shared" si="13"/>
        <v>0</v>
      </c>
      <c r="L63" s="5">
        <f t="shared" si="14"/>
        <v>0</v>
      </c>
      <c r="M63" s="165">
        <f t="shared" si="15"/>
        <v>0</v>
      </c>
      <c r="N63" s="5">
        <v>0</v>
      </c>
      <c r="O63" s="165">
        <v>0</v>
      </c>
      <c r="P63" s="5">
        <v>0</v>
      </c>
    </row>
    <row r="64" spans="1:16" ht="28.5">
      <c r="A64" s="44">
        <v>23</v>
      </c>
      <c r="B64" s="15" t="s">
        <v>69</v>
      </c>
      <c r="C64" s="16"/>
      <c r="D64" s="16"/>
      <c r="E64" s="16"/>
      <c r="F64" s="16"/>
      <c r="G64" s="16"/>
      <c r="H64" s="16"/>
      <c r="I64" s="16"/>
      <c r="J64" s="16"/>
      <c r="K64" s="5">
        <f t="shared" si="13"/>
        <v>0</v>
      </c>
      <c r="L64" s="5">
        <f t="shared" si="14"/>
        <v>0</v>
      </c>
      <c r="M64" s="165">
        <f t="shared" si="15"/>
        <v>0</v>
      </c>
      <c r="N64" s="5">
        <v>0</v>
      </c>
      <c r="O64" s="165">
        <v>0</v>
      </c>
      <c r="P64" s="5">
        <v>0</v>
      </c>
    </row>
    <row r="65" spans="1:16" ht="28.5">
      <c r="A65" s="44">
        <v>24</v>
      </c>
      <c r="B65" s="32" t="s">
        <v>70</v>
      </c>
      <c r="C65" s="16"/>
      <c r="D65" s="16">
        <v>250</v>
      </c>
      <c r="E65" s="16"/>
      <c r="F65" s="16"/>
      <c r="G65" s="16"/>
      <c r="H65" s="16"/>
      <c r="I65" s="16"/>
      <c r="J65" s="16"/>
      <c r="K65" s="5">
        <f t="shared" si="13"/>
        <v>0</v>
      </c>
      <c r="L65" s="5">
        <f t="shared" si="14"/>
        <v>250</v>
      </c>
      <c r="M65" s="165">
        <f t="shared" si="15"/>
        <v>0</v>
      </c>
      <c r="N65" s="5">
        <v>0</v>
      </c>
      <c r="O65" s="165">
        <f>D65</f>
        <v>250</v>
      </c>
      <c r="P65" s="5">
        <v>0</v>
      </c>
    </row>
    <row r="66" spans="1:16" s="52" customFormat="1" ht="14.25">
      <c r="A66" s="44">
        <v>25</v>
      </c>
      <c r="B66" s="30" t="s">
        <v>71</v>
      </c>
      <c r="C66" s="33">
        <f aca="true" t="shared" si="23" ref="C66:N66">C55+C56+C57+C58+C59+C60+C61</f>
        <v>154489</v>
      </c>
      <c r="D66" s="33">
        <f t="shared" si="23"/>
        <v>107115</v>
      </c>
      <c r="E66" s="33">
        <f t="shared" si="23"/>
        <v>0</v>
      </c>
      <c r="F66" s="33">
        <f t="shared" si="23"/>
        <v>0</v>
      </c>
      <c r="G66" s="33">
        <f t="shared" si="23"/>
        <v>0</v>
      </c>
      <c r="H66" s="33">
        <f t="shared" si="23"/>
        <v>418</v>
      </c>
      <c r="I66" s="33">
        <f t="shared" si="23"/>
        <v>0</v>
      </c>
      <c r="J66" s="33">
        <f t="shared" si="23"/>
        <v>0</v>
      </c>
      <c r="K66" s="33">
        <f t="shared" si="23"/>
        <v>154489</v>
      </c>
      <c r="L66" s="33">
        <f>L55+L56+L57+L58+L59+L60+L61</f>
        <v>107533</v>
      </c>
      <c r="M66" s="166">
        <f t="shared" si="23"/>
        <v>154489</v>
      </c>
      <c r="N66" s="33">
        <f t="shared" si="23"/>
        <v>0</v>
      </c>
      <c r="O66" s="166">
        <f>O55+O56+O57+O58+O59+O60+O61</f>
        <v>106833</v>
      </c>
      <c r="P66" s="33">
        <f>P55+P56+P57+P58+P59+P60+P61</f>
        <v>700</v>
      </c>
    </row>
    <row r="67" spans="1:16" ht="28.5">
      <c r="A67" s="44">
        <v>26</v>
      </c>
      <c r="B67" s="4" t="s">
        <v>72</v>
      </c>
      <c r="C67" s="5">
        <v>0</v>
      </c>
      <c r="D67" s="5"/>
      <c r="E67" s="5">
        <v>0</v>
      </c>
      <c r="F67" s="5"/>
      <c r="G67" s="5">
        <v>0</v>
      </c>
      <c r="H67" s="5"/>
      <c r="I67" s="5"/>
      <c r="J67" s="5"/>
      <c r="K67" s="5">
        <f t="shared" si="13"/>
        <v>0</v>
      </c>
      <c r="L67" s="5">
        <f t="shared" si="14"/>
        <v>0</v>
      </c>
      <c r="M67" s="165">
        <f t="shared" si="15"/>
        <v>0</v>
      </c>
      <c r="N67" s="5">
        <v>0</v>
      </c>
      <c r="O67" s="165">
        <v>0</v>
      </c>
      <c r="P67" s="5">
        <v>0</v>
      </c>
    </row>
    <row r="68" spans="1:16" ht="28.5">
      <c r="A68" s="44">
        <v>27</v>
      </c>
      <c r="B68" s="4" t="s">
        <v>73</v>
      </c>
      <c r="C68" s="5">
        <v>0</v>
      </c>
      <c r="D68" s="5"/>
      <c r="E68" s="5">
        <v>0</v>
      </c>
      <c r="F68" s="5"/>
      <c r="G68" s="5">
        <v>0</v>
      </c>
      <c r="H68" s="5"/>
      <c r="I68" s="5"/>
      <c r="J68" s="5"/>
      <c r="K68" s="5">
        <f t="shared" si="13"/>
        <v>0</v>
      </c>
      <c r="L68" s="5">
        <f t="shared" si="14"/>
        <v>0</v>
      </c>
      <c r="M68" s="165">
        <f t="shared" si="15"/>
        <v>0</v>
      </c>
      <c r="N68" s="5">
        <v>0</v>
      </c>
      <c r="O68" s="165">
        <v>0</v>
      </c>
      <c r="P68" s="5">
        <v>0</v>
      </c>
    </row>
    <row r="69" spans="1:16" ht="28.5">
      <c r="A69" s="44">
        <v>28</v>
      </c>
      <c r="B69" s="4" t="s">
        <v>74</v>
      </c>
      <c r="C69" s="5">
        <v>0</v>
      </c>
      <c r="D69" s="5"/>
      <c r="E69" s="5">
        <v>0</v>
      </c>
      <c r="F69" s="5"/>
      <c r="G69" s="5">
        <v>0</v>
      </c>
      <c r="H69" s="5"/>
      <c r="I69" s="5"/>
      <c r="J69" s="5"/>
      <c r="K69" s="5">
        <f t="shared" si="13"/>
        <v>0</v>
      </c>
      <c r="L69" s="5">
        <f t="shared" si="14"/>
        <v>0</v>
      </c>
      <c r="M69" s="165">
        <f t="shared" si="15"/>
        <v>0</v>
      </c>
      <c r="N69" s="5">
        <v>0</v>
      </c>
      <c r="O69" s="165">
        <v>0</v>
      </c>
      <c r="P69" s="5">
        <v>0</v>
      </c>
    </row>
    <row r="70" spans="1:16" ht="14.25">
      <c r="A70" s="44">
        <v>29</v>
      </c>
      <c r="B70" s="11" t="s">
        <v>39</v>
      </c>
      <c r="C70" s="33">
        <f>SUM(C67:C69)</f>
        <v>0</v>
      </c>
      <c r="D70" s="33">
        <f aca="true" t="shared" si="24" ref="D70:I70">SUM(D67:D69)</f>
        <v>0</v>
      </c>
      <c r="E70" s="33">
        <f t="shared" si="24"/>
        <v>0</v>
      </c>
      <c r="F70" s="33">
        <f t="shared" si="24"/>
        <v>0</v>
      </c>
      <c r="G70" s="33">
        <f t="shared" si="24"/>
        <v>0</v>
      </c>
      <c r="H70" s="33">
        <f t="shared" si="24"/>
        <v>0</v>
      </c>
      <c r="I70" s="33">
        <f t="shared" si="24"/>
        <v>0</v>
      </c>
      <c r="J70" s="33">
        <f>SUM(J67:J69)</f>
        <v>0</v>
      </c>
      <c r="K70" s="33">
        <f aca="true" t="shared" si="25" ref="K70:P70">SUM(K67:K69)</f>
        <v>0</v>
      </c>
      <c r="L70" s="33">
        <f t="shared" si="25"/>
        <v>0</v>
      </c>
      <c r="M70" s="166">
        <f t="shared" si="25"/>
        <v>0</v>
      </c>
      <c r="N70" s="33">
        <f t="shared" si="25"/>
        <v>0</v>
      </c>
      <c r="O70" s="166">
        <f t="shared" si="25"/>
        <v>0</v>
      </c>
      <c r="P70" s="33">
        <f t="shared" si="25"/>
        <v>0</v>
      </c>
    </row>
    <row r="71" spans="1:16" s="53" customFormat="1" ht="14.25">
      <c r="A71" s="44">
        <v>30</v>
      </c>
      <c r="B71" s="18" t="s">
        <v>75</v>
      </c>
      <c r="C71" s="19">
        <f>C70+C66+C54-C60-C45</f>
        <v>330398</v>
      </c>
      <c r="D71" s="19">
        <f>D70+D66+D54-D60-D45</f>
        <v>357666</v>
      </c>
      <c r="E71" s="20">
        <f aca="true" t="shared" si="26" ref="E71:J71">E70+E66+E54</f>
        <v>53828</v>
      </c>
      <c r="F71" s="20">
        <f t="shared" si="26"/>
        <v>49938</v>
      </c>
      <c r="G71" s="20">
        <f t="shared" si="26"/>
        <v>190875</v>
      </c>
      <c r="H71" s="20">
        <f t="shared" si="26"/>
        <v>173730</v>
      </c>
      <c r="I71" s="20">
        <f t="shared" si="26"/>
        <v>59962</v>
      </c>
      <c r="J71" s="20">
        <f t="shared" si="26"/>
        <v>56368</v>
      </c>
      <c r="K71" s="6">
        <f>K66+K54+K70-C45</f>
        <v>635063</v>
      </c>
      <c r="L71" s="6">
        <f>L66+L54+L70-D45</f>
        <v>637702</v>
      </c>
      <c r="M71" s="169">
        <f>M66+M54+M70-C45</f>
        <v>554703</v>
      </c>
      <c r="N71" s="6">
        <f>N66+N54+N70</f>
        <v>80360</v>
      </c>
      <c r="O71" s="169">
        <f>O66+O54+O70-D45</f>
        <v>562526</v>
      </c>
      <c r="P71" s="6">
        <f>P66+P54+P70</f>
        <v>75176</v>
      </c>
    </row>
    <row r="72" spans="1:16" ht="14.25">
      <c r="A72" s="44">
        <v>31</v>
      </c>
      <c r="B72" s="21" t="s">
        <v>76</v>
      </c>
      <c r="C72" s="5"/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/>
      <c r="J72" s="5"/>
      <c r="K72" s="5">
        <f t="shared" si="13"/>
        <v>0</v>
      </c>
      <c r="L72" s="5">
        <f t="shared" si="14"/>
        <v>0</v>
      </c>
      <c r="M72" s="165">
        <f t="shared" si="15"/>
        <v>0</v>
      </c>
      <c r="N72" s="5">
        <v>0</v>
      </c>
      <c r="O72" s="165">
        <v>0</v>
      </c>
      <c r="P72" s="5">
        <v>0</v>
      </c>
    </row>
    <row r="73" spans="1:16" s="53" customFormat="1" ht="14.25">
      <c r="A73" s="44">
        <v>32</v>
      </c>
      <c r="B73" s="34" t="s">
        <v>77</v>
      </c>
      <c r="C73" s="19">
        <f aca="true" t="shared" si="27" ref="C73:I73">SUM(C71:C72)</f>
        <v>330398</v>
      </c>
      <c r="D73" s="19">
        <f t="shared" si="27"/>
        <v>357666</v>
      </c>
      <c r="E73" s="24">
        <f t="shared" si="27"/>
        <v>53828</v>
      </c>
      <c r="F73" s="24">
        <f t="shared" si="27"/>
        <v>49938</v>
      </c>
      <c r="G73" s="24">
        <f t="shared" si="27"/>
        <v>190875</v>
      </c>
      <c r="H73" s="24">
        <f t="shared" si="27"/>
        <v>173730</v>
      </c>
      <c r="I73" s="24">
        <f t="shared" si="27"/>
        <v>59962</v>
      </c>
      <c r="J73" s="24">
        <f>SUM(J71:J72)</f>
        <v>56368</v>
      </c>
      <c r="K73" s="6">
        <f aca="true" t="shared" si="28" ref="K73:P73">K71+K72</f>
        <v>635063</v>
      </c>
      <c r="L73" s="6">
        <f t="shared" si="28"/>
        <v>637702</v>
      </c>
      <c r="M73" s="167">
        <f t="shared" si="28"/>
        <v>554703</v>
      </c>
      <c r="N73" s="6">
        <f t="shared" si="28"/>
        <v>80360</v>
      </c>
      <c r="O73" s="167">
        <f t="shared" si="28"/>
        <v>562526</v>
      </c>
      <c r="P73" s="6">
        <f t="shared" si="28"/>
        <v>75176</v>
      </c>
    </row>
    <row r="74" spans="2:10" ht="15">
      <c r="B74" s="35"/>
      <c r="I74" s="54"/>
      <c r="J74" s="54"/>
    </row>
    <row r="75" spans="2:10" ht="15">
      <c r="B75" s="35" t="s">
        <v>92</v>
      </c>
      <c r="C75" s="48">
        <v>6.25</v>
      </c>
      <c r="D75" s="48">
        <v>8.2</v>
      </c>
      <c r="E75" s="48">
        <v>12.65</v>
      </c>
      <c r="F75" s="48">
        <v>12.69</v>
      </c>
      <c r="G75" s="48">
        <v>22.71</v>
      </c>
      <c r="H75" s="48">
        <v>18.5</v>
      </c>
      <c r="I75" s="54">
        <v>10.25</v>
      </c>
      <c r="J75" s="54">
        <v>10.5</v>
      </c>
    </row>
    <row r="76" spans="2:10" ht="15">
      <c r="B76" s="35" t="s">
        <v>93</v>
      </c>
      <c r="C76" s="48">
        <v>2.25</v>
      </c>
      <c r="D76" s="48">
        <v>1.6</v>
      </c>
      <c r="H76" s="48">
        <v>0.31</v>
      </c>
      <c r="I76" s="54"/>
      <c r="J76" s="54"/>
    </row>
    <row r="77" spans="2:10" ht="18">
      <c r="B77" s="158" t="s">
        <v>313</v>
      </c>
      <c r="C77" s="159">
        <f>C75+C76+E75+G75+I75</f>
        <v>54.11</v>
      </c>
      <c r="I77" s="54"/>
      <c r="J77" s="54"/>
    </row>
    <row r="78" spans="2:10" ht="18">
      <c r="B78" s="158" t="s">
        <v>314</v>
      </c>
      <c r="C78" s="159">
        <f>D75+D76+F75+H75+H76+J75</f>
        <v>51.8</v>
      </c>
      <c r="I78" s="54"/>
      <c r="J78" s="54"/>
    </row>
    <row r="79" ht="60">
      <c r="B79" s="35" t="s">
        <v>78</v>
      </c>
    </row>
    <row r="80" ht="15">
      <c r="B80" s="35"/>
    </row>
    <row r="81" ht="15">
      <c r="B81" s="35"/>
    </row>
    <row r="82" ht="15">
      <c r="B82" s="35"/>
    </row>
    <row r="83" ht="15">
      <c r="B83" s="35"/>
    </row>
    <row r="84" ht="15">
      <c r="B84" s="35"/>
    </row>
    <row r="85" ht="15">
      <c r="B85" s="35"/>
    </row>
    <row r="86" spans="1:2" s="48" customFormat="1" ht="15">
      <c r="A86" s="44"/>
      <c r="B86" s="35"/>
    </row>
    <row r="87" spans="1:2" s="48" customFormat="1" ht="15">
      <c r="A87" s="44"/>
      <c r="B87" s="35"/>
    </row>
    <row r="88" spans="1:2" s="48" customFormat="1" ht="15">
      <c r="A88" s="44"/>
      <c r="B88" s="35"/>
    </row>
    <row r="89" spans="1:2" s="48" customFormat="1" ht="15">
      <c r="A89" s="44"/>
      <c r="B89" s="35"/>
    </row>
    <row r="90" spans="1:2" s="48" customFormat="1" ht="15">
      <c r="A90" s="44"/>
      <c r="B90" s="35"/>
    </row>
    <row r="91" spans="1:2" s="48" customFormat="1" ht="15">
      <c r="A91" s="44"/>
      <c r="B91" s="35"/>
    </row>
    <row r="92" spans="1:2" s="48" customFormat="1" ht="15">
      <c r="A92" s="44"/>
      <c r="B92" s="35"/>
    </row>
    <row r="93" spans="1:2" s="48" customFormat="1" ht="15">
      <c r="A93" s="44"/>
      <c r="B93" s="35"/>
    </row>
    <row r="94" spans="1:2" s="48" customFormat="1" ht="15">
      <c r="A94" s="44"/>
      <c r="B94" s="35"/>
    </row>
    <row r="95" spans="1:2" s="48" customFormat="1" ht="15">
      <c r="A95" s="44"/>
      <c r="B95" s="35"/>
    </row>
    <row r="96" spans="1:2" s="48" customFormat="1" ht="15">
      <c r="A96" s="44"/>
      <c r="B96" s="35"/>
    </row>
    <row r="97" spans="1:2" s="48" customFormat="1" ht="15">
      <c r="A97" s="44"/>
      <c r="B97" s="35"/>
    </row>
    <row r="98" spans="1:2" s="48" customFormat="1" ht="15">
      <c r="A98" s="44"/>
      <c r="B98" s="35"/>
    </row>
    <row r="99" spans="1:2" s="48" customFormat="1" ht="15">
      <c r="A99" s="44"/>
      <c r="B99" s="35"/>
    </row>
    <row r="100" spans="1:2" s="48" customFormat="1" ht="15">
      <c r="A100" s="44"/>
      <c r="B100" s="35"/>
    </row>
    <row r="101" spans="1:2" s="48" customFormat="1" ht="15">
      <c r="A101" s="44"/>
      <c r="B101" s="35"/>
    </row>
    <row r="102" spans="1:2" s="48" customFormat="1" ht="15">
      <c r="A102" s="44"/>
      <c r="B102" s="35"/>
    </row>
    <row r="103" spans="1:2" s="48" customFormat="1" ht="15">
      <c r="A103" s="44"/>
      <c r="B103" s="35"/>
    </row>
    <row r="104" spans="1:2" s="48" customFormat="1" ht="15">
      <c r="A104" s="44"/>
      <c r="B104" s="35"/>
    </row>
    <row r="105" spans="1:2" s="48" customFormat="1" ht="15">
      <c r="A105" s="44"/>
      <c r="B105" s="35"/>
    </row>
    <row r="106" spans="1:2" s="48" customFormat="1" ht="15">
      <c r="A106" s="44"/>
      <c r="B106" s="35"/>
    </row>
    <row r="107" spans="1:2" s="48" customFormat="1" ht="15">
      <c r="A107" s="44"/>
      <c r="B107" s="35"/>
    </row>
    <row r="108" spans="1:2" s="48" customFormat="1" ht="15">
      <c r="A108" s="44"/>
      <c r="B108" s="35"/>
    </row>
    <row r="109" spans="1:2" s="48" customFormat="1" ht="15">
      <c r="A109" s="44"/>
      <c r="B109" s="35"/>
    </row>
    <row r="110" spans="1:2" s="48" customFormat="1" ht="15">
      <c r="A110" s="44"/>
      <c r="B110" s="35"/>
    </row>
    <row r="111" spans="1:2" s="48" customFormat="1" ht="15">
      <c r="A111" s="44"/>
      <c r="B111" s="35"/>
    </row>
    <row r="112" spans="1:2" s="48" customFormat="1" ht="15">
      <c r="A112" s="44"/>
      <c r="B112" s="35"/>
    </row>
    <row r="113" spans="1:2" s="48" customFormat="1" ht="15">
      <c r="A113" s="44"/>
      <c r="B113" s="35"/>
    </row>
    <row r="114" spans="1:2" s="48" customFormat="1" ht="15">
      <c r="A114" s="44"/>
      <c r="B114" s="35"/>
    </row>
    <row r="115" spans="1:2" s="48" customFormat="1" ht="15">
      <c r="A115" s="44"/>
      <c r="B115" s="35"/>
    </row>
    <row r="116" spans="1:2" s="48" customFormat="1" ht="15">
      <c r="A116" s="44"/>
      <c r="B116" s="35"/>
    </row>
    <row r="117" spans="1:2" s="48" customFormat="1" ht="15">
      <c r="A117" s="44"/>
      <c r="B117" s="35"/>
    </row>
    <row r="118" spans="1:2" s="48" customFormat="1" ht="15">
      <c r="A118" s="44"/>
      <c r="B118" s="35"/>
    </row>
    <row r="119" spans="1:2" s="48" customFormat="1" ht="15">
      <c r="A119" s="44"/>
      <c r="B119" s="35"/>
    </row>
    <row r="120" spans="1:2" s="48" customFormat="1" ht="15">
      <c r="A120" s="44"/>
      <c r="B120" s="35"/>
    </row>
    <row r="121" spans="1:2" s="48" customFormat="1" ht="15">
      <c r="A121" s="44"/>
      <c r="B121" s="35"/>
    </row>
    <row r="122" spans="1:2" s="48" customFormat="1" ht="15">
      <c r="A122" s="44"/>
      <c r="B122" s="35"/>
    </row>
    <row r="123" spans="1:2" s="48" customFormat="1" ht="15">
      <c r="A123" s="44"/>
      <c r="B123" s="35"/>
    </row>
    <row r="124" spans="1:2" s="48" customFormat="1" ht="15">
      <c r="A124" s="44"/>
      <c r="B124" s="35"/>
    </row>
    <row r="125" spans="1:2" s="48" customFormat="1" ht="15">
      <c r="A125" s="44"/>
      <c r="B125" s="35"/>
    </row>
    <row r="126" spans="1:2" s="48" customFormat="1" ht="15">
      <c r="A126" s="44"/>
      <c r="B126" s="35"/>
    </row>
    <row r="127" spans="1:2" s="48" customFormat="1" ht="15">
      <c r="A127" s="44"/>
      <c r="B127" s="35"/>
    </row>
    <row r="128" spans="1:2" s="48" customFormat="1" ht="15">
      <c r="A128" s="44"/>
      <c r="B128" s="35"/>
    </row>
    <row r="129" spans="1:2" s="48" customFormat="1" ht="15">
      <c r="A129" s="44"/>
      <c r="B129" s="35"/>
    </row>
    <row r="130" spans="1:2" s="48" customFormat="1" ht="15">
      <c r="A130" s="44"/>
      <c r="B130" s="35"/>
    </row>
    <row r="131" spans="1:2" s="48" customFormat="1" ht="15">
      <c r="A131" s="44"/>
      <c r="B131" s="35"/>
    </row>
    <row r="132" spans="1:2" s="48" customFormat="1" ht="15">
      <c r="A132" s="44"/>
      <c r="B132" s="35"/>
    </row>
    <row r="133" spans="1:2" s="48" customFormat="1" ht="15">
      <c r="A133" s="44"/>
      <c r="B133" s="35"/>
    </row>
    <row r="134" spans="1:2" s="48" customFormat="1" ht="15">
      <c r="A134" s="44"/>
      <c r="B134" s="35"/>
    </row>
  </sheetData>
  <sheetProtection/>
  <printOptions vertic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40" r:id="rId1"/>
  <rowBreaks count="1" manualBreakCount="1">
    <brk id="35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51.140625" style="44" customWidth="1"/>
    <col min="3" max="3" width="18.8515625" style="44" customWidth="1"/>
    <col min="4" max="4" width="15.421875" style="44" customWidth="1"/>
    <col min="5" max="5" width="17.421875" style="44" customWidth="1"/>
    <col min="6" max="6" width="13.8515625" style="44" customWidth="1"/>
    <col min="7" max="7" width="12.8515625" style="44" customWidth="1"/>
    <col min="8" max="8" width="13.57421875" style="44" customWidth="1"/>
    <col min="9" max="9" width="20.7109375" style="44" customWidth="1"/>
    <col min="10" max="10" width="18.00390625" style="44" customWidth="1"/>
    <col min="11" max="16384" width="9.140625" style="44" customWidth="1"/>
  </cols>
  <sheetData>
    <row r="1" ht="12.75">
      <c r="C1" s="48" t="s">
        <v>327</v>
      </c>
    </row>
    <row r="2" ht="19.5" customHeight="1">
      <c r="B2" s="45" t="s">
        <v>230</v>
      </c>
    </row>
    <row r="3" ht="12.75">
      <c r="E3" s="44" t="s">
        <v>0</v>
      </c>
    </row>
    <row r="4" spans="2:5" ht="13.5" thickBot="1">
      <c r="B4" s="125" t="s">
        <v>6</v>
      </c>
      <c r="C4" s="125" t="s">
        <v>231</v>
      </c>
      <c r="D4" s="125" t="s">
        <v>8</v>
      </c>
      <c r="E4" s="125" t="s">
        <v>9</v>
      </c>
    </row>
    <row r="5" spans="1:5" ht="48" customHeight="1">
      <c r="A5" s="44">
        <v>1</v>
      </c>
      <c r="B5" s="116" t="s">
        <v>232</v>
      </c>
      <c r="C5" s="127" t="s">
        <v>233</v>
      </c>
      <c r="D5" s="127" t="s">
        <v>234</v>
      </c>
      <c r="E5" s="128" t="s">
        <v>235</v>
      </c>
    </row>
    <row r="6" spans="1:5" ht="14.25">
      <c r="A6" s="44">
        <v>2</v>
      </c>
      <c r="B6" s="39" t="s">
        <v>98</v>
      </c>
      <c r="C6" s="129">
        <v>75000</v>
      </c>
      <c r="D6" s="129"/>
      <c r="E6" s="130"/>
    </row>
    <row r="7" spans="1:5" ht="14.25">
      <c r="A7" s="44">
        <v>3</v>
      </c>
      <c r="B7" s="39" t="s">
        <v>99</v>
      </c>
      <c r="C7" s="129">
        <v>20000</v>
      </c>
      <c r="D7" s="129"/>
      <c r="E7" s="130"/>
    </row>
    <row r="8" spans="1:5" ht="14.25">
      <c r="A8" s="44">
        <v>4</v>
      </c>
      <c r="B8" s="39" t="s">
        <v>100</v>
      </c>
      <c r="C8" s="129">
        <v>0</v>
      </c>
      <c r="D8" s="129"/>
      <c r="E8" s="130"/>
    </row>
    <row r="9" spans="1:5" ht="14.25">
      <c r="A9" s="44">
        <v>5</v>
      </c>
      <c r="B9" s="39" t="s">
        <v>101</v>
      </c>
      <c r="C9" s="129">
        <v>37000</v>
      </c>
      <c r="D9" s="129"/>
      <c r="E9" s="130"/>
    </row>
    <row r="10" spans="1:5" ht="28.5">
      <c r="A10" s="44">
        <v>6</v>
      </c>
      <c r="B10" s="39" t="s">
        <v>102</v>
      </c>
      <c r="C10" s="129">
        <v>16000</v>
      </c>
      <c r="D10" s="129"/>
      <c r="E10" s="130"/>
    </row>
    <row r="11" spans="1:5" ht="28.5">
      <c r="A11" s="44">
        <v>7</v>
      </c>
      <c r="B11" s="39" t="s">
        <v>103</v>
      </c>
      <c r="C11" s="129"/>
      <c r="D11" s="129"/>
      <c r="E11" s="130"/>
    </row>
    <row r="12" spans="1:5" ht="14.25">
      <c r="A12" s="44">
        <v>8</v>
      </c>
      <c r="B12" s="117" t="s">
        <v>236</v>
      </c>
      <c r="C12" s="131">
        <v>5600</v>
      </c>
      <c r="D12" s="131"/>
      <c r="E12" s="130"/>
    </row>
    <row r="13" spans="1:5" ht="15.75" thickBot="1">
      <c r="A13" s="44">
        <v>9</v>
      </c>
      <c r="B13" s="173" t="s">
        <v>237</v>
      </c>
      <c r="C13" s="174">
        <f>SUM(C6:C12)</f>
        <v>153600</v>
      </c>
      <c r="D13" s="174">
        <f>SUM(D6:D12)</f>
        <v>0</v>
      </c>
      <c r="E13" s="175"/>
    </row>
    <row r="14" spans="1:5" ht="38.25">
      <c r="A14" s="44">
        <v>10</v>
      </c>
      <c r="B14" s="116" t="s">
        <v>238</v>
      </c>
      <c r="C14" s="133" t="s">
        <v>233</v>
      </c>
      <c r="D14" s="127" t="s">
        <v>234</v>
      </c>
      <c r="E14" s="134" t="s">
        <v>235</v>
      </c>
    </row>
    <row r="15" spans="1:5" ht="14.25">
      <c r="A15" s="44">
        <v>11</v>
      </c>
      <c r="B15" s="119"/>
      <c r="C15" s="131"/>
      <c r="D15" s="131"/>
      <c r="E15" s="130"/>
    </row>
    <row r="16" spans="1:5" ht="14.25">
      <c r="A16" s="44">
        <v>12</v>
      </c>
      <c r="B16" s="119"/>
      <c r="C16" s="131"/>
      <c r="D16" s="131"/>
      <c r="E16" s="130"/>
    </row>
    <row r="17" spans="1:5" ht="15" thickBot="1">
      <c r="A17" s="44">
        <v>13</v>
      </c>
      <c r="B17" s="176" t="s">
        <v>239</v>
      </c>
      <c r="C17" s="177">
        <f>SUM(C15:C16)</f>
        <v>0</v>
      </c>
      <c r="D17" s="177">
        <f>SUM(D15:D16)</f>
        <v>0</v>
      </c>
      <c r="E17" s="178"/>
    </row>
    <row r="18" spans="1:5" ht="38.25">
      <c r="A18" s="44">
        <v>14</v>
      </c>
      <c r="B18" s="116" t="s">
        <v>240</v>
      </c>
      <c r="C18" s="133" t="s">
        <v>233</v>
      </c>
      <c r="D18" s="127" t="s">
        <v>234</v>
      </c>
      <c r="E18" s="134" t="s">
        <v>235</v>
      </c>
    </row>
    <row r="19" spans="1:5" ht="14.25">
      <c r="A19" s="44">
        <v>15</v>
      </c>
      <c r="B19" s="119" t="s">
        <v>316</v>
      </c>
      <c r="C19" s="131">
        <v>3569</v>
      </c>
      <c r="D19" s="131"/>
      <c r="E19" s="130"/>
    </row>
    <row r="20" spans="1:5" ht="14.25">
      <c r="A20" s="44">
        <v>16</v>
      </c>
      <c r="B20" s="119"/>
      <c r="C20" s="131"/>
      <c r="D20" s="131"/>
      <c r="E20" s="130"/>
    </row>
    <row r="21" spans="1:5" ht="15.75" thickBot="1">
      <c r="A21" s="44">
        <v>17</v>
      </c>
      <c r="B21" s="173" t="s">
        <v>241</v>
      </c>
      <c r="C21" s="174">
        <f>SUM(C19:C20)</f>
        <v>3569</v>
      </c>
      <c r="D21" s="174">
        <f>SUM(D19:D20)</f>
        <v>0</v>
      </c>
      <c r="E21" s="137"/>
    </row>
    <row r="22" spans="1:5" ht="38.25">
      <c r="A22" s="44">
        <v>18</v>
      </c>
      <c r="B22" s="121" t="s">
        <v>242</v>
      </c>
      <c r="C22" s="133" t="s">
        <v>233</v>
      </c>
      <c r="D22" s="127" t="s">
        <v>234</v>
      </c>
      <c r="E22" s="134" t="s">
        <v>235</v>
      </c>
    </row>
    <row r="23" spans="1:5" ht="15">
      <c r="A23" s="44">
        <v>19</v>
      </c>
      <c r="B23" s="179" t="s">
        <v>317</v>
      </c>
      <c r="C23" s="180">
        <f>3600+15761+4841+165+4301+2849</f>
        <v>31517</v>
      </c>
      <c r="D23" s="180"/>
      <c r="E23" s="181"/>
    </row>
    <row r="24" spans="1:5" ht="15">
      <c r="A24" s="44">
        <v>20</v>
      </c>
      <c r="B24" s="122"/>
      <c r="C24" s="138"/>
      <c r="D24" s="138"/>
      <c r="E24" s="139"/>
    </row>
    <row r="25" spans="1:5" ht="15.75" thickBot="1">
      <c r="A25" s="44">
        <v>21</v>
      </c>
      <c r="B25" s="118" t="s">
        <v>243</v>
      </c>
      <c r="C25" s="132">
        <f>SUM(C23:C24)</f>
        <v>31517</v>
      </c>
      <c r="D25" s="132">
        <f>SUM(D23:D24)</f>
        <v>0</v>
      </c>
      <c r="E25" s="137"/>
    </row>
    <row r="26" spans="1:5" ht="36">
      <c r="A26" s="44">
        <v>22</v>
      </c>
      <c r="B26" s="116" t="s">
        <v>244</v>
      </c>
      <c r="C26" s="133" t="s">
        <v>233</v>
      </c>
      <c r="D26" s="127" t="s">
        <v>234</v>
      </c>
      <c r="E26" s="134" t="s">
        <v>235</v>
      </c>
    </row>
    <row r="27" spans="1:5" ht="14.25">
      <c r="A27" s="44">
        <v>23</v>
      </c>
      <c r="B27" s="119" t="s">
        <v>245</v>
      </c>
      <c r="C27" s="131"/>
      <c r="D27" s="131"/>
      <c r="E27" s="130"/>
    </row>
    <row r="28" spans="1:5" ht="14.25">
      <c r="A28" s="44">
        <v>24</v>
      </c>
      <c r="B28" s="119" t="s">
        <v>246</v>
      </c>
      <c r="C28" s="131"/>
      <c r="D28" s="131"/>
      <c r="E28" s="130"/>
    </row>
    <row r="29" spans="1:5" ht="15" thickBot="1">
      <c r="A29" s="44">
        <v>25</v>
      </c>
      <c r="B29" s="120" t="s">
        <v>247</v>
      </c>
      <c r="C29" s="135">
        <f>SUM(C27:C28)</f>
        <v>0</v>
      </c>
      <c r="D29" s="135">
        <f>SUM(D27:D28)</f>
        <v>0</v>
      </c>
      <c r="E29" s="136"/>
    </row>
    <row r="30" spans="1:5" ht="26.25" customHeight="1">
      <c r="A30" s="44">
        <v>26</v>
      </c>
      <c r="B30" s="123" t="s">
        <v>248</v>
      </c>
      <c r="C30" s="140">
        <f>SUM(C13,C17,C21,C25,C29)</f>
        <v>188686</v>
      </c>
      <c r="D30" s="140">
        <f>SUM(D13,D17,D21,D25,D29)</f>
        <v>0</v>
      </c>
      <c r="E30" s="140"/>
    </row>
    <row r="31" spans="2:5" ht="12.75">
      <c r="B31" s="126"/>
      <c r="C31" s="126"/>
      <c r="D31" s="126"/>
      <c r="E31" s="126"/>
    </row>
    <row r="32" spans="2:5" ht="15">
      <c r="B32" s="124"/>
      <c r="C32" s="126"/>
      <c r="D32" s="126"/>
      <c r="E32" s="126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48.00390625" style="44" customWidth="1"/>
    <col min="3" max="3" width="21.421875" style="141" customWidth="1"/>
    <col min="4" max="4" width="21.7109375" style="141" customWidth="1"/>
    <col min="5" max="5" width="49.57421875" style="44" customWidth="1"/>
    <col min="6" max="6" width="20.140625" style="142" customWidth="1"/>
    <col min="7" max="7" width="22.28125" style="142" customWidth="1"/>
    <col min="8" max="8" width="20.7109375" style="44" customWidth="1"/>
    <col min="9" max="9" width="18.00390625" style="44" customWidth="1"/>
    <col min="10" max="16384" width="9.140625" style="44" customWidth="1"/>
  </cols>
  <sheetData>
    <row r="1" spans="3:4" ht="14.25">
      <c r="C1" s="48" t="s">
        <v>328</v>
      </c>
      <c r="D1" s="152" t="s">
        <v>249</v>
      </c>
    </row>
    <row r="2" spans="2:5" ht="20.25">
      <c r="B2" s="45" t="s">
        <v>250</v>
      </c>
      <c r="E2" s="45"/>
    </row>
    <row r="3" ht="14.25">
      <c r="F3" s="142" t="s">
        <v>0</v>
      </c>
    </row>
    <row r="4" spans="2:7" ht="60" customHeight="1">
      <c r="B4" s="33" t="s">
        <v>1</v>
      </c>
      <c r="C4" s="143" t="s">
        <v>251</v>
      </c>
      <c r="D4" s="143" t="s">
        <v>252</v>
      </c>
      <c r="E4" s="143" t="s">
        <v>1</v>
      </c>
      <c r="F4" s="143" t="s">
        <v>251</v>
      </c>
      <c r="G4" s="143" t="s">
        <v>252</v>
      </c>
    </row>
    <row r="5" spans="2:7" ht="14.25">
      <c r="B5" s="33" t="s">
        <v>6</v>
      </c>
      <c r="C5" s="144" t="s">
        <v>7</v>
      </c>
      <c r="D5" s="144" t="s">
        <v>8</v>
      </c>
      <c r="E5" s="33" t="s">
        <v>253</v>
      </c>
      <c r="F5" s="143" t="s">
        <v>10</v>
      </c>
      <c r="G5" s="143" t="s">
        <v>11</v>
      </c>
    </row>
    <row r="6" spans="1:7" ht="14.25">
      <c r="A6" s="44">
        <v>1</v>
      </c>
      <c r="B6" s="92"/>
      <c r="C6" s="145"/>
      <c r="D6" s="145"/>
      <c r="E6" s="25" t="s">
        <v>47</v>
      </c>
      <c r="F6" s="146">
        <v>126883</v>
      </c>
      <c r="G6" s="146">
        <v>132741</v>
      </c>
    </row>
    <row r="7" spans="1:7" ht="28.5">
      <c r="A7" s="44">
        <v>2</v>
      </c>
      <c r="B7" s="92"/>
      <c r="C7" s="145"/>
      <c r="D7" s="145"/>
      <c r="E7" s="25" t="s">
        <v>48</v>
      </c>
      <c r="F7" s="146">
        <v>37495</v>
      </c>
      <c r="G7" s="146">
        <v>34632</v>
      </c>
    </row>
    <row r="8" spans="1:7" ht="94.5" customHeight="1">
      <c r="A8" s="44">
        <v>3</v>
      </c>
      <c r="B8" s="4" t="s">
        <v>19</v>
      </c>
      <c r="C8" s="145">
        <v>173105</v>
      </c>
      <c r="D8" s="145">
        <v>180378</v>
      </c>
      <c r="E8" s="160" t="s">
        <v>49</v>
      </c>
      <c r="F8" s="146">
        <v>223486</v>
      </c>
      <c r="G8" s="146">
        <v>220309</v>
      </c>
    </row>
    <row r="9" spans="1:7" ht="42.75">
      <c r="A9" s="44">
        <v>4</v>
      </c>
      <c r="B9" s="4" t="s">
        <v>20</v>
      </c>
      <c r="C9" s="145">
        <f>SUM(C10:C13)</f>
        <v>155600</v>
      </c>
      <c r="D9" s="145">
        <f>SUM(D10:D13)</f>
        <v>175744</v>
      </c>
      <c r="E9" s="147" t="s">
        <v>254</v>
      </c>
      <c r="F9" s="148">
        <v>168876</v>
      </c>
      <c r="G9" s="148">
        <v>133230</v>
      </c>
    </row>
    <row r="10" spans="1:7" ht="14.25">
      <c r="A10" s="44">
        <v>5</v>
      </c>
      <c r="B10" s="7" t="s">
        <v>21</v>
      </c>
      <c r="C10" s="145">
        <v>149500</v>
      </c>
      <c r="D10" s="145">
        <v>168501</v>
      </c>
      <c r="E10" s="25" t="s">
        <v>51</v>
      </c>
      <c r="F10" s="146">
        <f>SUM(F11:F14)</f>
        <v>85710</v>
      </c>
      <c r="G10" s="146">
        <f>SUM(G11:G14)</f>
        <v>81113</v>
      </c>
    </row>
    <row r="11" spans="1:7" ht="14.25">
      <c r="A11" s="44">
        <v>6</v>
      </c>
      <c r="B11" s="7" t="s">
        <v>22</v>
      </c>
      <c r="C11" s="145">
        <f>'[1]1 bevétel-kiadás'!J9</f>
        <v>0</v>
      </c>
      <c r="D11" s="145">
        <v>0</v>
      </c>
      <c r="E11" s="28" t="s">
        <v>52</v>
      </c>
      <c r="F11" s="146">
        <v>2750</v>
      </c>
      <c r="G11" s="146">
        <v>2139</v>
      </c>
    </row>
    <row r="12" spans="1:7" ht="28.5">
      <c r="A12" s="44">
        <v>7</v>
      </c>
      <c r="B12" s="7" t="s">
        <v>23</v>
      </c>
      <c r="C12" s="145">
        <v>500</v>
      </c>
      <c r="D12" s="145">
        <v>1246</v>
      </c>
      <c r="E12" s="29" t="s">
        <v>53</v>
      </c>
      <c r="F12" s="146">
        <v>0</v>
      </c>
      <c r="G12" s="146"/>
    </row>
    <row r="13" spans="1:7" ht="28.5">
      <c r="A13" s="44">
        <v>8</v>
      </c>
      <c r="B13" s="7" t="s">
        <v>91</v>
      </c>
      <c r="C13" s="145">
        <v>5600</v>
      </c>
      <c r="D13" s="145">
        <v>5997</v>
      </c>
      <c r="E13" s="28" t="s">
        <v>54</v>
      </c>
      <c r="F13" s="146">
        <v>75860</v>
      </c>
      <c r="G13" s="146">
        <v>71323</v>
      </c>
    </row>
    <row r="14" spans="1:7" ht="28.5">
      <c r="A14" s="44">
        <v>9</v>
      </c>
      <c r="B14" s="4" t="s">
        <v>25</v>
      </c>
      <c r="C14" s="145">
        <v>122788</v>
      </c>
      <c r="D14" s="145">
        <v>147534</v>
      </c>
      <c r="E14" s="28" t="s">
        <v>55</v>
      </c>
      <c r="F14" s="146">
        <v>7100</v>
      </c>
      <c r="G14" s="146">
        <v>7651</v>
      </c>
    </row>
    <row r="15" spans="1:7" ht="28.5">
      <c r="A15" s="44">
        <v>10</v>
      </c>
      <c r="B15" s="4" t="s">
        <v>26</v>
      </c>
      <c r="C15" s="145">
        <v>20366</v>
      </c>
      <c r="D15" s="145">
        <v>28769</v>
      </c>
      <c r="E15" s="25" t="s">
        <v>56</v>
      </c>
      <c r="F15" s="146">
        <f>SUM(F16:F17)</f>
        <v>7000</v>
      </c>
      <c r="G15" s="146">
        <f>SUM(G16:G17)</f>
        <v>61374</v>
      </c>
    </row>
    <row r="16" spans="1:7" ht="28.5">
      <c r="A16" s="44">
        <v>11</v>
      </c>
      <c r="B16" s="4" t="s">
        <v>27</v>
      </c>
      <c r="C16" s="145">
        <v>8000</v>
      </c>
      <c r="D16" s="145">
        <v>13727</v>
      </c>
      <c r="E16" s="29" t="s">
        <v>57</v>
      </c>
      <c r="F16" s="146">
        <v>6200</v>
      </c>
      <c r="G16" s="146">
        <v>61374</v>
      </c>
    </row>
    <row r="17" spans="1:7" ht="42.75">
      <c r="A17" s="44">
        <v>12</v>
      </c>
      <c r="B17" s="4" t="s">
        <v>28</v>
      </c>
      <c r="C17" s="145">
        <v>30000</v>
      </c>
      <c r="D17" s="145">
        <v>36892</v>
      </c>
      <c r="E17" s="29" t="s">
        <v>58</v>
      </c>
      <c r="F17" s="146">
        <v>800</v>
      </c>
      <c r="G17" s="146"/>
    </row>
    <row r="18" spans="1:7" ht="14.25">
      <c r="A18" s="44">
        <v>13</v>
      </c>
      <c r="B18" s="11" t="s">
        <v>29</v>
      </c>
      <c r="C18" s="145">
        <f>C8+C9+C14+C15+C16+C17</f>
        <v>509859</v>
      </c>
      <c r="D18" s="145">
        <f>D8+D9+D14+D15+D16+D17</f>
        <v>583044</v>
      </c>
      <c r="E18" s="30" t="s">
        <v>255</v>
      </c>
      <c r="F18" s="146">
        <f>F15+F10+F8+F7+F6</f>
        <v>480574</v>
      </c>
      <c r="G18" s="146">
        <f>G15+G10+G8+G7+G6</f>
        <v>530169</v>
      </c>
    </row>
    <row r="19" spans="1:7" ht="14.25">
      <c r="A19" s="44">
        <v>14</v>
      </c>
      <c r="B19" s="92"/>
      <c r="C19" s="145"/>
      <c r="D19" s="145"/>
      <c r="E19" s="31" t="s">
        <v>60</v>
      </c>
      <c r="F19" s="146">
        <v>124770</v>
      </c>
      <c r="G19" s="146">
        <v>78830</v>
      </c>
    </row>
    <row r="20" spans="1:7" ht="14.25">
      <c r="A20" s="44">
        <v>15</v>
      </c>
      <c r="B20" s="92"/>
      <c r="C20" s="145"/>
      <c r="D20" s="145"/>
      <c r="E20" s="31" t="s">
        <v>61</v>
      </c>
      <c r="F20" s="146">
        <v>29719</v>
      </c>
      <c r="G20" s="146">
        <v>27753</v>
      </c>
    </row>
    <row r="21" spans="1:7" ht="14.25">
      <c r="A21" s="44">
        <v>16</v>
      </c>
      <c r="B21" s="92"/>
      <c r="C21" s="145"/>
      <c r="D21" s="145"/>
      <c r="E21" s="25" t="s">
        <v>62</v>
      </c>
      <c r="F21" s="146"/>
      <c r="G21" s="146"/>
    </row>
    <row r="22" spans="1:7" ht="14.25">
      <c r="A22" s="44">
        <v>17</v>
      </c>
      <c r="B22" s="92"/>
      <c r="C22" s="145"/>
      <c r="D22" s="145"/>
      <c r="E22" s="25" t="s">
        <v>63</v>
      </c>
      <c r="F22" s="146"/>
      <c r="G22" s="146"/>
    </row>
    <row r="23" spans="1:7" ht="14.25">
      <c r="A23" s="44">
        <v>18</v>
      </c>
      <c r="B23" s="92"/>
      <c r="C23" s="145"/>
      <c r="D23" s="145"/>
      <c r="E23" s="25" t="s">
        <v>64</v>
      </c>
      <c r="F23" s="146"/>
      <c r="G23" s="146"/>
    </row>
    <row r="24" spans="1:7" ht="42.75">
      <c r="A24" s="44">
        <v>19</v>
      </c>
      <c r="B24" s="92"/>
      <c r="C24" s="145"/>
      <c r="D24" s="145"/>
      <c r="E24" s="149" t="s">
        <v>256</v>
      </c>
      <c r="F24" s="148"/>
      <c r="G24" s="148"/>
    </row>
    <row r="25" spans="1:7" ht="14.25">
      <c r="A25" s="44">
        <v>20</v>
      </c>
      <c r="B25" s="92"/>
      <c r="C25" s="145"/>
      <c r="D25" s="145"/>
      <c r="E25" s="25" t="s">
        <v>66</v>
      </c>
      <c r="F25" s="146"/>
      <c r="G25" s="146">
        <f>SUM(G26:G29)</f>
        <v>250</v>
      </c>
    </row>
    <row r="26" spans="1:7" ht="28.5">
      <c r="A26" s="44">
        <v>21</v>
      </c>
      <c r="B26" s="4" t="s">
        <v>30</v>
      </c>
      <c r="C26" s="145">
        <v>59044</v>
      </c>
      <c r="D26" s="145">
        <v>49524</v>
      </c>
      <c r="E26" s="32" t="s">
        <v>67</v>
      </c>
      <c r="F26" s="146"/>
      <c r="G26" s="146"/>
    </row>
    <row r="27" spans="1:7" ht="28.5">
      <c r="A27" s="44">
        <v>22</v>
      </c>
      <c r="B27" s="4" t="s">
        <v>31</v>
      </c>
      <c r="C27" s="145"/>
      <c r="D27" s="145">
        <v>1305</v>
      </c>
      <c r="E27" s="32" t="s">
        <v>68</v>
      </c>
      <c r="F27" s="146"/>
      <c r="G27" s="146"/>
    </row>
    <row r="28" spans="1:7" ht="42.75" customHeight="1">
      <c r="A28" s="44">
        <v>23</v>
      </c>
      <c r="B28" s="4" t="s">
        <v>32</v>
      </c>
      <c r="C28" s="145">
        <v>66160</v>
      </c>
      <c r="D28" s="145">
        <v>3829</v>
      </c>
      <c r="E28" s="15" t="s">
        <v>69</v>
      </c>
      <c r="F28" s="146"/>
      <c r="G28" s="146"/>
    </row>
    <row r="29" spans="1:7" ht="28.5">
      <c r="A29" s="44">
        <v>24</v>
      </c>
      <c r="B29" s="4" t="s">
        <v>33</v>
      </c>
      <c r="C29" s="145">
        <f>'[1]1 bevétel-kiadás'!J21</f>
        <v>0</v>
      </c>
      <c r="D29" s="145">
        <v>0</v>
      </c>
      <c r="E29" s="32" t="s">
        <v>70</v>
      </c>
      <c r="F29" s="146"/>
      <c r="G29" s="146">
        <v>250</v>
      </c>
    </row>
    <row r="30" spans="1:7" ht="28.5">
      <c r="A30" s="44">
        <v>25</v>
      </c>
      <c r="B30" s="11" t="s">
        <v>35</v>
      </c>
      <c r="C30" s="145">
        <f>SUM(C26:C29)</f>
        <v>125204</v>
      </c>
      <c r="D30" s="145">
        <f>SUM(D26:D29)</f>
        <v>54658</v>
      </c>
      <c r="E30" s="30" t="s">
        <v>257</v>
      </c>
      <c r="F30" s="146">
        <f>F20+F19</f>
        <v>154489</v>
      </c>
      <c r="G30" s="146">
        <f>G20+G19+G25</f>
        <v>106833</v>
      </c>
    </row>
    <row r="31" spans="1:7" ht="28.5">
      <c r="A31" s="44">
        <v>26</v>
      </c>
      <c r="B31" s="4" t="s">
        <v>36</v>
      </c>
      <c r="C31" s="145"/>
      <c r="D31" s="145"/>
      <c r="E31" s="4" t="s">
        <v>72</v>
      </c>
      <c r="F31" s="146"/>
      <c r="G31" s="146"/>
    </row>
    <row r="32" spans="1:7" ht="28.5">
      <c r="A32" s="44">
        <v>27</v>
      </c>
      <c r="B32" s="4" t="s">
        <v>37</v>
      </c>
      <c r="C32" s="145"/>
      <c r="D32" s="145"/>
      <c r="E32" s="4" t="s">
        <v>73</v>
      </c>
      <c r="F32" s="146"/>
      <c r="G32" s="146">
        <v>700</v>
      </c>
    </row>
    <row r="33" spans="1:7" ht="28.5">
      <c r="A33" s="44">
        <v>28</v>
      </c>
      <c r="B33" s="4" t="s">
        <v>38</v>
      </c>
      <c r="C33" s="145"/>
      <c r="D33" s="145"/>
      <c r="E33" s="4" t="s">
        <v>74</v>
      </c>
      <c r="F33" s="146"/>
      <c r="G33" s="146"/>
    </row>
    <row r="34" spans="1:7" ht="14.25">
      <c r="A34" s="44">
        <v>29</v>
      </c>
      <c r="B34" s="11" t="s">
        <v>39</v>
      </c>
      <c r="C34" s="145">
        <f>SUM(C31:C33)</f>
        <v>0</v>
      </c>
      <c r="D34" s="145">
        <f>SUM(D31:D33)</f>
        <v>0</v>
      </c>
      <c r="E34" s="11" t="s">
        <v>39</v>
      </c>
      <c r="F34" s="146">
        <f>SUM(F31:F33)</f>
        <v>0</v>
      </c>
      <c r="G34" s="146">
        <f>SUM(G31:G33)</f>
        <v>700</v>
      </c>
    </row>
    <row r="35" spans="1:7" ht="14.25">
      <c r="A35" s="44">
        <v>30</v>
      </c>
      <c r="B35" s="18" t="s">
        <v>258</v>
      </c>
      <c r="C35" s="145">
        <f>C34+C30+C18</f>
        <v>635063</v>
      </c>
      <c r="D35" s="145">
        <f>D34+D30+D18</f>
        <v>637702</v>
      </c>
      <c r="E35" s="18" t="s">
        <v>259</v>
      </c>
      <c r="F35" s="146">
        <f>F34+F18+F30</f>
        <v>635063</v>
      </c>
      <c r="G35" s="146">
        <f>G34+G30+G18</f>
        <v>637702</v>
      </c>
    </row>
    <row r="36" spans="1:7" ht="68.25" customHeight="1">
      <c r="A36" s="44">
        <v>31</v>
      </c>
      <c r="B36" s="21" t="s">
        <v>41</v>
      </c>
      <c r="C36" s="145"/>
      <c r="D36" s="145"/>
      <c r="E36" s="21" t="s">
        <v>41</v>
      </c>
      <c r="F36" s="146"/>
      <c r="G36" s="146"/>
    </row>
    <row r="37" spans="1:7" ht="14.25">
      <c r="A37" s="44">
        <v>32</v>
      </c>
      <c r="B37" s="21" t="s">
        <v>42</v>
      </c>
      <c r="C37" s="145"/>
      <c r="D37" s="145"/>
      <c r="E37" s="21" t="s">
        <v>76</v>
      </c>
      <c r="F37" s="146"/>
      <c r="G37" s="146"/>
    </row>
    <row r="38" spans="1:7" ht="14.25">
      <c r="A38" s="44">
        <v>33</v>
      </c>
      <c r="B38" s="22" t="s">
        <v>260</v>
      </c>
      <c r="C38" s="145">
        <f>C35+C37+C36</f>
        <v>635063</v>
      </c>
      <c r="D38" s="145">
        <f>D35+D37+D36</f>
        <v>637702</v>
      </c>
      <c r="E38" s="34" t="s">
        <v>261</v>
      </c>
      <c r="F38" s="146">
        <f>F37+F35+F36+F39</f>
        <v>635063</v>
      </c>
      <c r="G38" s="146">
        <f>G37+G35+G36+G39</f>
        <v>637702</v>
      </c>
    </row>
    <row r="39" spans="1:7" ht="14.25">
      <c r="A39" s="44">
        <v>34</v>
      </c>
      <c r="B39" s="150" t="s">
        <v>262</v>
      </c>
      <c r="C39" s="145"/>
      <c r="D39" s="145"/>
      <c r="E39" s="151" t="s">
        <v>263</v>
      </c>
      <c r="F39" s="146"/>
      <c r="G39" s="146"/>
    </row>
    <row r="40" spans="1:6" ht="28.5">
      <c r="A40" s="44">
        <v>35</v>
      </c>
      <c r="B40" s="7" t="s">
        <v>44</v>
      </c>
      <c r="C40" s="145"/>
      <c r="D40" s="145"/>
      <c r="F40" s="146"/>
    </row>
    <row r="41" spans="1:7" ht="28.5">
      <c r="A41" s="44">
        <v>36</v>
      </c>
      <c r="B41" s="7" t="s">
        <v>45</v>
      </c>
      <c r="C41" s="145"/>
      <c r="D41" s="145"/>
      <c r="E41" s="92"/>
      <c r="F41" s="146"/>
      <c r="G41" s="146"/>
    </row>
    <row r="42" spans="1:7" ht="97.5" customHeight="1">
      <c r="A42" s="44">
        <v>37</v>
      </c>
      <c r="B42" s="7" t="s">
        <v>46</v>
      </c>
      <c r="C42" s="145"/>
      <c r="D42" s="145"/>
      <c r="E42" s="161" t="s">
        <v>264</v>
      </c>
      <c r="F42" s="146"/>
      <c r="G42" s="1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8515625" style="44" customWidth="1"/>
    <col min="2" max="2" width="34.7109375" style="44" customWidth="1"/>
    <col min="3" max="3" width="9.7109375" style="44" customWidth="1"/>
    <col min="4" max="14" width="9.140625" style="44" customWidth="1"/>
    <col min="15" max="15" width="12.7109375" style="44" customWidth="1"/>
    <col min="16" max="16384" width="9.140625" style="44" customWidth="1"/>
  </cols>
  <sheetData>
    <row r="2" ht="12.75">
      <c r="C2" s="48" t="s">
        <v>329</v>
      </c>
    </row>
    <row r="4" spans="2:15" ht="15">
      <c r="B4" s="157" t="s">
        <v>277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3:15" ht="12.75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 t="s">
        <v>0</v>
      </c>
    </row>
    <row r="6" spans="2:15" ht="15">
      <c r="B6" s="153" t="s">
        <v>1</v>
      </c>
      <c r="C6" s="154" t="s">
        <v>265</v>
      </c>
      <c r="D6" s="154" t="s">
        <v>266</v>
      </c>
      <c r="E6" s="154" t="s">
        <v>267</v>
      </c>
      <c r="F6" s="154" t="s">
        <v>268</v>
      </c>
      <c r="G6" s="154" t="s">
        <v>269</v>
      </c>
      <c r="H6" s="154" t="s">
        <v>270</v>
      </c>
      <c r="I6" s="154" t="s">
        <v>271</v>
      </c>
      <c r="J6" s="154" t="s">
        <v>272</v>
      </c>
      <c r="K6" s="154" t="s">
        <v>273</v>
      </c>
      <c r="L6" s="154" t="s">
        <v>274</v>
      </c>
      <c r="M6" s="154" t="s">
        <v>275</v>
      </c>
      <c r="N6" s="154" t="s">
        <v>276</v>
      </c>
      <c r="O6" s="155" t="s">
        <v>151</v>
      </c>
    </row>
    <row r="7" spans="1:15" ht="14.25">
      <c r="A7" s="44">
        <v>1</v>
      </c>
      <c r="B7" s="15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16" t="s">
        <v>17</v>
      </c>
      <c r="N7" s="16" t="s">
        <v>18</v>
      </c>
      <c r="O7" s="16" t="s">
        <v>94</v>
      </c>
    </row>
    <row r="8" spans="1:15" ht="12.75">
      <c r="A8" s="44">
        <v>2</v>
      </c>
      <c r="B8" s="107" t="s">
        <v>278</v>
      </c>
      <c r="C8" s="162">
        <f>357666/12</f>
        <v>29805.5</v>
      </c>
      <c r="D8" s="162">
        <f aca="true" t="shared" si="0" ref="D8:N8">357666/12</f>
        <v>29805.5</v>
      </c>
      <c r="E8" s="162">
        <f t="shared" si="0"/>
        <v>29805.5</v>
      </c>
      <c r="F8" s="162">
        <f t="shared" si="0"/>
        <v>29805.5</v>
      </c>
      <c r="G8" s="162">
        <f t="shared" si="0"/>
        <v>29805.5</v>
      </c>
      <c r="H8" s="162">
        <f t="shared" si="0"/>
        <v>29805.5</v>
      </c>
      <c r="I8" s="162">
        <f t="shared" si="0"/>
        <v>29805.5</v>
      </c>
      <c r="J8" s="162">
        <f t="shared" si="0"/>
        <v>29805.5</v>
      </c>
      <c r="K8" s="162">
        <f t="shared" si="0"/>
        <v>29805.5</v>
      </c>
      <c r="L8" s="162">
        <f t="shared" si="0"/>
        <v>29805.5</v>
      </c>
      <c r="M8" s="162">
        <f t="shared" si="0"/>
        <v>29805.5</v>
      </c>
      <c r="N8" s="162">
        <f t="shared" si="0"/>
        <v>29805.5</v>
      </c>
      <c r="O8" s="162">
        <f>SUM(C8:N8)</f>
        <v>357666</v>
      </c>
    </row>
    <row r="9" spans="1:15" ht="25.5">
      <c r="A9" s="44">
        <v>3</v>
      </c>
      <c r="B9" s="107" t="s">
        <v>279</v>
      </c>
      <c r="C9" s="162">
        <f>49938/12</f>
        <v>4161.5</v>
      </c>
      <c r="D9" s="162">
        <f aca="true" t="shared" si="1" ref="D9:N9">49938/12</f>
        <v>4161.5</v>
      </c>
      <c r="E9" s="162">
        <f t="shared" si="1"/>
        <v>4161.5</v>
      </c>
      <c r="F9" s="162">
        <f t="shared" si="1"/>
        <v>4161.5</v>
      </c>
      <c r="G9" s="162">
        <f t="shared" si="1"/>
        <v>4161.5</v>
      </c>
      <c r="H9" s="162">
        <f t="shared" si="1"/>
        <v>4161.5</v>
      </c>
      <c r="I9" s="162">
        <f t="shared" si="1"/>
        <v>4161.5</v>
      </c>
      <c r="J9" s="162">
        <f t="shared" si="1"/>
        <v>4161.5</v>
      </c>
      <c r="K9" s="162">
        <f t="shared" si="1"/>
        <v>4161.5</v>
      </c>
      <c r="L9" s="162">
        <f t="shared" si="1"/>
        <v>4161.5</v>
      </c>
      <c r="M9" s="162">
        <f t="shared" si="1"/>
        <v>4161.5</v>
      </c>
      <c r="N9" s="162">
        <f t="shared" si="1"/>
        <v>4161.5</v>
      </c>
      <c r="O9" s="162">
        <f>SUM(C9:N9)</f>
        <v>49938</v>
      </c>
    </row>
    <row r="10" spans="1:15" ht="25.5">
      <c r="A10" s="44">
        <v>4</v>
      </c>
      <c r="B10" s="107" t="s">
        <v>280</v>
      </c>
      <c r="C10" s="162">
        <f>173730/12</f>
        <v>14477.5</v>
      </c>
      <c r="D10" s="162">
        <f aca="true" t="shared" si="2" ref="D10:N10">173730/12</f>
        <v>14477.5</v>
      </c>
      <c r="E10" s="162">
        <f t="shared" si="2"/>
        <v>14477.5</v>
      </c>
      <c r="F10" s="162">
        <f t="shared" si="2"/>
        <v>14477.5</v>
      </c>
      <c r="G10" s="162">
        <f t="shared" si="2"/>
        <v>14477.5</v>
      </c>
      <c r="H10" s="162">
        <f t="shared" si="2"/>
        <v>14477.5</v>
      </c>
      <c r="I10" s="162">
        <f t="shared" si="2"/>
        <v>14477.5</v>
      </c>
      <c r="J10" s="162">
        <f t="shared" si="2"/>
        <v>14477.5</v>
      </c>
      <c r="K10" s="162">
        <f t="shared" si="2"/>
        <v>14477.5</v>
      </c>
      <c r="L10" s="162">
        <f t="shared" si="2"/>
        <v>14477.5</v>
      </c>
      <c r="M10" s="162">
        <f t="shared" si="2"/>
        <v>14477.5</v>
      </c>
      <c r="N10" s="162">
        <f t="shared" si="2"/>
        <v>14477.5</v>
      </c>
      <c r="O10" s="162">
        <f>SUM(C10:N10)</f>
        <v>173730</v>
      </c>
    </row>
    <row r="11" spans="1:15" ht="12.75">
      <c r="A11" s="44">
        <v>5</v>
      </c>
      <c r="B11" s="107" t="s">
        <v>281</v>
      </c>
      <c r="C11" s="162">
        <f>56368/12</f>
        <v>4697.333333333333</v>
      </c>
      <c r="D11" s="162">
        <f aca="true" t="shared" si="3" ref="D11:N11">56368/12</f>
        <v>4697.333333333333</v>
      </c>
      <c r="E11" s="162">
        <f t="shared" si="3"/>
        <v>4697.333333333333</v>
      </c>
      <c r="F11" s="162">
        <f t="shared" si="3"/>
        <v>4697.333333333333</v>
      </c>
      <c r="G11" s="162">
        <f t="shared" si="3"/>
        <v>4697.333333333333</v>
      </c>
      <c r="H11" s="162">
        <f t="shared" si="3"/>
        <v>4697.333333333333</v>
      </c>
      <c r="I11" s="162">
        <f t="shared" si="3"/>
        <v>4697.333333333333</v>
      </c>
      <c r="J11" s="162">
        <f t="shared" si="3"/>
        <v>4697.333333333333</v>
      </c>
      <c r="K11" s="162">
        <f t="shared" si="3"/>
        <v>4697.333333333333</v>
      </c>
      <c r="L11" s="162">
        <f t="shared" si="3"/>
        <v>4697.333333333333</v>
      </c>
      <c r="M11" s="162">
        <f t="shared" si="3"/>
        <v>4697.333333333333</v>
      </c>
      <c r="N11" s="162">
        <f t="shared" si="3"/>
        <v>4697.333333333333</v>
      </c>
      <c r="O11" s="162">
        <f>SUM(C11:N11)</f>
        <v>56368.00000000001</v>
      </c>
    </row>
    <row r="12" spans="1:15" ht="12.75">
      <c r="A12" s="44">
        <v>6</v>
      </c>
      <c r="B12" s="108" t="s">
        <v>282</v>
      </c>
      <c r="C12" s="163">
        <f>SUM(C8:C11)</f>
        <v>53141.833333333336</v>
      </c>
      <c r="D12" s="163">
        <f aca="true" t="shared" si="4" ref="D12:N12">SUM(D8:D11)</f>
        <v>53141.833333333336</v>
      </c>
      <c r="E12" s="163">
        <f t="shared" si="4"/>
        <v>53141.833333333336</v>
      </c>
      <c r="F12" s="163">
        <f t="shared" si="4"/>
        <v>53141.833333333336</v>
      </c>
      <c r="G12" s="163">
        <f t="shared" si="4"/>
        <v>53141.833333333336</v>
      </c>
      <c r="H12" s="163">
        <f t="shared" si="4"/>
        <v>53141.833333333336</v>
      </c>
      <c r="I12" s="163">
        <f t="shared" si="4"/>
        <v>53141.833333333336</v>
      </c>
      <c r="J12" s="163">
        <f t="shared" si="4"/>
        <v>53141.833333333336</v>
      </c>
      <c r="K12" s="163">
        <f t="shared" si="4"/>
        <v>53141.833333333336</v>
      </c>
      <c r="L12" s="163">
        <f t="shared" si="4"/>
        <v>53141.833333333336</v>
      </c>
      <c r="M12" s="163">
        <f t="shared" si="4"/>
        <v>53141.833333333336</v>
      </c>
      <c r="N12" s="163">
        <f t="shared" si="4"/>
        <v>53141.833333333336</v>
      </c>
      <c r="O12" s="162">
        <f>SUM(C12:N12)</f>
        <v>637702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51.140625" style="0" customWidth="1"/>
    <col min="3" max="4" width="18.140625" style="0" customWidth="1"/>
    <col min="5" max="5" width="19.00390625" style="0" customWidth="1"/>
    <col min="6" max="6" width="17.421875" style="0" customWidth="1"/>
    <col min="7" max="7" width="19.00390625" style="0" customWidth="1"/>
    <col min="8" max="8" width="17.421875" style="0" customWidth="1"/>
  </cols>
  <sheetData>
    <row r="1" spans="1:7" ht="12.75">
      <c r="A1" s="44"/>
      <c r="B1" s="44"/>
      <c r="C1" s="48" t="s">
        <v>319</v>
      </c>
      <c r="D1" s="44"/>
      <c r="E1" s="44"/>
      <c r="G1" s="44"/>
    </row>
    <row r="2" spans="1:7" ht="20.25">
      <c r="A2" s="44"/>
      <c r="B2" s="45" t="s">
        <v>131</v>
      </c>
      <c r="C2" s="44"/>
      <c r="D2" s="44"/>
      <c r="E2" s="44"/>
      <c r="G2" s="44"/>
    </row>
    <row r="3" spans="1:7" ht="12.75">
      <c r="A3" s="44"/>
      <c r="B3" s="44"/>
      <c r="C3" s="44"/>
      <c r="D3" s="44" t="s">
        <v>0</v>
      </c>
      <c r="E3" s="44"/>
      <c r="G3" s="44"/>
    </row>
    <row r="4" spans="1:8" ht="71.25">
      <c r="A4" s="44"/>
      <c r="B4" s="37" t="s">
        <v>1</v>
      </c>
      <c r="C4" s="38" t="s">
        <v>2</v>
      </c>
      <c r="D4" s="38" t="s">
        <v>97</v>
      </c>
      <c r="E4" s="3" t="s">
        <v>86</v>
      </c>
      <c r="F4" s="3" t="s">
        <v>87</v>
      </c>
      <c r="G4" s="3" t="s">
        <v>89</v>
      </c>
      <c r="H4" s="3" t="s">
        <v>90</v>
      </c>
    </row>
    <row r="5" spans="1:9" s="36" customFormat="1" ht="14.25">
      <c r="A5" s="44"/>
      <c r="B5" s="70" t="s">
        <v>6</v>
      </c>
      <c r="C5" s="2" t="s">
        <v>7</v>
      </c>
      <c r="D5" s="2" t="s">
        <v>8</v>
      </c>
      <c r="E5" s="2" t="s">
        <v>9</v>
      </c>
      <c r="F5" s="2" t="s">
        <v>105</v>
      </c>
      <c r="G5" s="2" t="s">
        <v>11</v>
      </c>
      <c r="H5" s="2" t="s">
        <v>12</v>
      </c>
      <c r="I5" s="55"/>
    </row>
    <row r="6" spans="1:26" ht="16.5">
      <c r="A6" s="44">
        <v>1</v>
      </c>
      <c r="B6" s="39" t="s">
        <v>98</v>
      </c>
      <c r="C6" s="40">
        <v>75000</v>
      </c>
      <c r="D6" s="40">
        <v>72587</v>
      </c>
      <c r="E6" s="40">
        <f>C6</f>
        <v>75000</v>
      </c>
      <c r="F6" s="40"/>
      <c r="G6" s="40">
        <f>D6</f>
        <v>72587</v>
      </c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6.5">
      <c r="A7" s="44">
        <v>2</v>
      </c>
      <c r="B7" s="39" t="s">
        <v>99</v>
      </c>
      <c r="C7" s="40">
        <v>20000</v>
      </c>
      <c r="D7" s="40">
        <v>29194</v>
      </c>
      <c r="E7" s="40">
        <f aca="true" t="shared" si="0" ref="E7:E14">C7</f>
        <v>20000</v>
      </c>
      <c r="F7" s="40"/>
      <c r="G7" s="40">
        <f aca="true" t="shared" si="1" ref="G7:G14">D7</f>
        <v>29194</v>
      </c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6.5">
      <c r="A8" s="44">
        <v>3</v>
      </c>
      <c r="B8" s="39" t="s">
        <v>100</v>
      </c>
      <c r="C8" s="40"/>
      <c r="D8" s="40"/>
      <c r="E8" s="40">
        <f t="shared" si="0"/>
        <v>0</v>
      </c>
      <c r="F8" s="40"/>
      <c r="G8" s="40">
        <f t="shared" si="1"/>
        <v>0</v>
      </c>
      <c r="H8" s="4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6.5">
      <c r="A9" s="44">
        <v>4</v>
      </c>
      <c r="B9" s="39" t="s">
        <v>101</v>
      </c>
      <c r="C9" s="40">
        <v>37000</v>
      </c>
      <c r="D9" s="40">
        <v>41201</v>
      </c>
      <c r="E9" s="40">
        <f t="shared" si="0"/>
        <v>37000</v>
      </c>
      <c r="F9" s="40"/>
      <c r="G9" s="40">
        <f t="shared" si="1"/>
        <v>41201</v>
      </c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6.5">
      <c r="A10" s="44"/>
      <c r="B10" s="39" t="s">
        <v>299</v>
      </c>
      <c r="C10" s="40"/>
      <c r="D10" s="40">
        <v>724</v>
      </c>
      <c r="E10" s="40">
        <f t="shared" si="0"/>
        <v>0</v>
      </c>
      <c r="F10" s="40"/>
      <c r="G10" s="40">
        <f t="shared" si="1"/>
        <v>724</v>
      </c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8.5">
      <c r="A11" s="44">
        <v>5</v>
      </c>
      <c r="B11" s="39" t="s">
        <v>102</v>
      </c>
      <c r="C11" s="40">
        <v>16000</v>
      </c>
      <c r="D11" s="40">
        <v>24795</v>
      </c>
      <c r="E11" s="40">
        <f t="shared" si="0"/>
        <v>16000</v>
      </c>
      <c r="F11" s="40"/>
      <c r="G11" s="40">
        <f t="shared" si="1"/>
        <v>24795</v>
      </c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8.5">
      <c r="A12" s="44">
        <v>6</v>
      </c>
      <c r="B12" s="39" t="s">
        <v>103</v>
      </c>
      <c r="C12" s="40"/>
      <c r="D12" s="40"/>
      <c r="E12" s="40">
        <f t="shared" si="0"/>
        <v>0</v>
      </c>
      <c r="F12" s="40"/>
      <c r="G12" s="40">
        <f t="shared" si="1"/>
        <v>0</v>
      </c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6.5">
      <c r="A13" s="44">
        <v>7</v>
      </c>
      <c r="B13" s="39" t="s">
        <v>283</v>
      </c>
      <c r="C13" s="40">
        <v>500</v>
      </c>
      <c r="D13" s="40">
        <v>0</v>
      </c>
      <c r="E13" s="40">
        <f t="shared" si="0"/>
        <v>500</v>
      </c>
      <c r="F13" s="40"/>
      <c r="G13" s="40">
        <f t="shared" si="1"/>
        <v>0</v>
      </c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6.5">
      <c r="A14" s="44">
        <v>8</v>
      </c>
      <c r="B14" s="39" t="s">
        <v>236</v>
      </c>
      <c r="C14" s="40">
        <v>5600</v>
      </c>
      <c r="D14" s="40">
        <v>5997</v>
      </c>
      <c r="E14" s="40">
        <f t="shared" si="0"/>
        <v>5600</v>
      </c>
      <c r="F14" s="40"/>
      <c r="G14" s="40">
        <f t="shared" si="1"/>
        <v>5997</v>
      </c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8" ht="15">
      <c r="A15" s="44">
        <v>9</v>
      </c>
      <c r="B15" s="42" t="s">
        <v>104</v>
      </c>
      <c r="C15" s="43">
        <f aca="true" t="shared" si="2" ref="C15:H15">SUM(C6:C14)</f>
        <v>154100</v>
      </c>
      <c r="D15" s="43">
        <f t="shared" si="2"/>
        <v>174498</v>
      </c>
      <c r="E15" s="43">
        <f t="shared" si="2"/>
        <v>154100</v>
      </c>
      <c r="F15" s="43">
        <f t="shared" si="2"/>
        <v>0</v>
      </c>
      <c r="G15" s="43">
        <f t="shared" si="2"/>
        <v>174498</v>
      </c>
      <c r="H15" s="43">
        <f t="shared" si="2"/>
        <v>0</v>
      </c>
    </row>
    <row r="16" spans="1:7" ht="12.75">
      <c r="A16" s="44"/>
      <c r="B16" s="44"/>
      <c r="C16" s="44"/>
      <c r="D16" s="44"/>
      <c r="E16" s="44"/>
      <c r="G16" s="4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71.421875" style="44" customWidth="1"/>
    <col min="3" max="3" width="18.8515625" style="44" customWidth="1"/>
    <col min="4" max="5" width="19.28125" style="44" customWidth="1"/>
    <col min="6" max="6" width="21.8515625" style="44" customWidth="1"/>
    <col min="7" max="7" width="21.00390625" style="44" customWidth="1"/>
    <col min="8" max="8" width="19.7109375" style="44" customWidth="1"/>
    <col min="9" max="9" width="21.00390625" style="44" customWidth="1"/>
    <col min="10" max="16384" width="9.140625" style="44" customWidth="1"/>
  </cols>
  <sheetData>
    <row r="1" ht="12.75">
      <c r="C1" s="48" t="s">
        <v>320</v>
      </c>
    </row>
    <row r="2" ht="20.25">
      <c r="B2" s="45" t="s">
        <v>130</v>
      </c>
    </row>
    <row r="3" ht="12.75">
      <c r="H3" s="44" t="s">
        <v>0</v>
      </c>
    </row>
    <row r="4" spans="2:9" ht="57">
      <c r="B4" s="1" t="s">
        <v>1</v>
      </c>
      <c r="C4" s="2" t="s">
        <v>2</v>
      </c>
      <c r="D4" s="2" t="s">
        <v>82</v>
      </c>
      <c r="E4" s="2" t="s">
        <v>300</v>
      </c>
      <c r="F4" s="3" t="s">
        <v>86</v>
      </c>
      <c r="G4" s="3" t="s">
        <v>87</v>
      </c>
      <c r="H4" s="3" t="s">
        <v>89</v>
      </c>
      <c r="I4" s="3" t="s">
        <v>90</v>
      </c>
    </row>
    <row r="5" spans="2:9" ht="14.25">
      <c r="B5" s="2" t="s">
        <v>6</v>
      </c>
      <c r="C5" s="2" t="s">
        <v>7</v>
      </c>
      <c r="D5" s="2" t="s">
        <v>8</v>
      </c>
      <c r="E5" s="2"/>
      <c r="F5" s="2" t="s">
        <v>9</v>
      </c>
      <c r="G5" s="2" t="s">
        <v>105</v>
      </c>
      <c r="H5" s="2" t="s">
        <v>11</v>
      </c>
      <c r="I5" s="2" t="s">
        <v>12</v>
      </c>
    </row>
    <row r="6" spans="1:27" ht="16.5">
      <c r="A6" s="44">
        <v>1</v>
      </c>
      <c r="B6" s="7" t="s">
        <v>106</v>
      </c>
      <c r="C6" s="56">
        <v>8886</v>
      </c>
      <c r="D6" s="56">
        <v>10463</v>
      </c>
      <c r="E6" s="56"/>
      <c r="F6" s="58">
        <f>C6</f>
        <v>8886</v>
      </c>
      <c r="G6" s="58"/>
      <c r="H6" s="58">
        <f>D6</f>
        <v>10463</v>
      </c>
      <c r="I6" s="58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7" ht="28.5">
      <c r="A7" s="44">
        <v>2</v>
      </c>
      <c r="B7" s="7" t="s">
        <v>107</v>
      </c>
      <c r="C7" s="56"/>
      <c r="D7" s="56">
        <v>3521</v>
      </c>
      <c r="E7" s="56"/>
      <c r="F7" s="58">
        <f aca="true" t="shared" si="0" ref="F7:F15">C7</f>
        <v>0</v>
      </c>
      <c r="G7" s="58"/>
      <c r="H7" s="58">
        <f aca="true" t="shared" si="1" ref="H7:H15">D7</f>
        <v>3521</v>
      </c>
      <c r="I7" s="58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27" ht="28.5">
      <c r="A8" s="44">
        <v>3</v>
      </c>
      <c r="B8" s="7" t="s">
        <v>108</v>
      </c>
      <c r="C8" s="58"/>
      <c r="D8" s="58"/>
      <c r="E8" s="58"/>
      <c r="F8" s="58">
        <f t="shared" si="0"/>
        <v>0</v>
      </c>
      <c r="G8" s="58"/>
      <c r="H8" s="58">
        <f t="shared" si="1"/>
        <v>0</v>
      </c>
      <c r="I8" s="5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27.75" customHeight="1">
      <c r="A9" s="44">
        <v>4</v>
      </c>
      <c r="B9" s="7" t="s">
        <v>109</v>
      </c>
      <c r="C9" s="56">
        <v>4000</v>
      </c>
      <c r="D9" s="56">
        <v>4574</v>
      </c>
      <c r="E9" s="56"/>
      <c r="F9" s="58">
        <f t="shared" si="0"/>
        <v>4000</v>
      </c>
      <c r="G9" s="58"/>
      <c r="H9" s="58">
        <f t="shared" si="1"/>
        <v>4574</v>
      </c>
      <c r="I9" s="5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7" ht="28.5" customHeight="1">
      <c r="A10" s="44">
        <v>5</v>
      </c>
      <c r="B10" s="7" t="s">
        <v>110</v>
      </c>
      <c r="C10" s="56"/>
      <c r="D10" s="56">
        <v>1291</v>
      </c>
      <c r="E10" s="56">
        <v>1008</v>
      </c>
      <c r="F10" s="58">
        <f t="shared" si="0"/>
        <v>0</v>
      </c>
      <c r="G10" s="58"/>
      <c r="H10" s="58">
        <f>D10+E10</f>
        <v>2299</v>
      </c>
      <c r="I10" s="58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7" ht="28.5">
      <c r="A11" s="44">
        <v>6</v>
      </c>
      <c r="B11" s="7" t="s">
        <v>111</v>
      </c>
      <c r="C11" s="58">
        <v>7480</v>
      </c>
      <c r="D11" s="58">
        <v>7832</v>
      </c>
      <c r="E11" s="58"/>
      <c r="F11" s="58">
        <f t="shared" si="0"/>
        <v>7480</v>
      </c>
      <c r="G11" s="58"/>
      <c r="H11" s="58">
        <f t="shared" si="1"/>
        <v>7832</v>
      </c>
      <c r="I11" s="5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16.5">
      <c r="A12" s="44">
        <v>7</v>
      </c>
      <c r="B12" s="7" t="s">
        <v>112</v>
      </c>
      <c r="C12" s="56"/>
      <c r="D12" s="56"/>
      <c r="E12" s="56"/>
      <c r="F12" s="58">
        <f t="shared" si="0"/>
        <v>0</v>
      </c>
      <c r="G12" s="58"/>
      <c r="H12" s="58">
        <f t="shared" si="1"/>
        <v>0</v>
      </c>
      <c r="I12" s="58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spans="1:27" ht="28.5">
      <c r="A13" s="44">
        <v>8</v>
      </c>
      <c r="B13" s="7" t="s">
        <v>113</v>
      </c>
      <c r="C13" s="56"/>
      <c r="D13" s="56"/>
      <c r="E13" s="56"/>
      <c r="F13" s="58">
        <f t="shared" si="0"/>
        <v>0</v>
      </c>
      <c r="G13" s="58"/>
      <c r="H13" s="58">
        <f t="shared" si="1"/>
        <v>0</v>
      </c>
      <c r="I13" s="58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 ht="28.5">
      <c r="A14" s="44">
        <v>9</v>
      </c>
      <c r="B14" s="7" t="s">
        <v>114</v>
      </c>
      <c r="C14" s="56"/>
      <c r="D14" s="56"/>
      <c r="E14" s="56"/>
      <c r="F14" s="58">
        <f t="shared" si="0"/>
        <v>0</v>
      </c>
      <c r="G14" s="58"/>
      <c r="H14" s="58">
        <f t="shared" si="1"/>
        <v>0</v>
      </c>
      <c r="I14" s="58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ht="16.5">
      <c r="A15" s="44">
        <v>10</v>
      </c>
      <c r="B15" s="7" t="s">
        <v>115</v>
      </c>
      <c r="C15" s="56"/>
      <c r="D15" s="56"/>
      <c r="E15" s="56"/>
      <c r="F15" s="58">
        <f t="shared" si="0"/>
        <v>0</v>
      </c>
      <c r="G15" s="58"/>
      <c r="H15" s="58">
        <f t="shared" si="1"/>
        <v>0</v>
      </c>
      <c r="I15" s="58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ht="28.5" customHeight="1">
      <c r="A16" s="44">
        <v>11</v>
      </c>
      <c r="B16" s="42" t="s">
        <v>116</v>
      </c>
      <c r="C16" s="57">
        <f aca="true" t="shared" si="2" ref="C16:I16">SUM(C6:C15)</f>
        <v>20366</v>
      </c>
      <c r="D16" s="57">
        <f t="shared" si="2"/>
        <v>27681</v>
      </c>
      <c r="E16" s="57">
        <f t="shared" si="2"/>
        <v>1008</v>
      </c>
      <c r="F16" s="57">
        <f t="shared" si="2"/>
        <v>20366</v>
      </c>
      <c r="G16" s="57">
        <f t="shared" si="2"/>
        <v>0</v>
      </c>
      <c r="H16" s="57">
        <f t="shared" si="2"/>
        <v>28689</v>
      </c>
      <c r="I16" s="57">
        <f t="shared" si="2"/>
        <v>0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66"/>
      <c r="Y16" s="67"/>
      <c r="Z16" s="67"/>
      <c r="AA16" s="67"/>
    </row>
    <row r="17" spans="3:27" ht="16.5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20" spans="2:9" ht="57">
      <c r="B20" s="1" t="s">
        <v>1</v>
      </c>
      <c r="C20" s="2" t="s">
        <v>2</v>
      </c>
      <c r="D20" s="2" t="s">
        <v>82</v>
      </c>
      <c r="E20" s="2"/>
      <c r="F20" s="3" t="s">
        <v>86</v>
      </c>
      <c r="G20" s="3" t="s">
        <v>87</v>
      </c>
      <c r="H20" s="3" t="s">
        <v>89</v>
      </c>
      <c r="I20" s="3" t="s">
        <v>90</v>
      </c>
    </row>
    <row r="21" spans="2:9" ht="14.25">
      <c r="B21" s="2" t="s">
        <v>6</v>
      </c>
      <c r="C21" s="2" t="s">
        <v>7</v>
      </c>
      <c r="D21" s="2" t="s">
        <v>8</v>
      </c>
      <c r="E21" s="2"/>
      <c r="F21" s="2" t="s">
        <v>9</v>
      </c>
      <c r="G21" s="2" t="s">
        <v>105</v>
      </c>
      <c r="H21" s="2" t="s">
        <v>11</v>
      </c>
      <c r="I21" s="2" t="s">
        <v>12</v>
      </c>
    </row>
    <row r="22" spans="1:27" ht="16.5">
      <c r="A22" s="44">
        <v>1</v>
      </c>
      <c r="B22" s="59" t="s">
        <v>117</v>
      </c>
      <c r="C22" s="60"/>
      <c r="D22" s="60"/>
      <c r="E22" s="60"/>
      <c r="F22" s="58">
        <f>C22</f>
        <v>0</v>
      </c>
      <c r="G22" s="58"/>
      <c r="H22" s="58">
        <f>D22</f>
        <v>0</v>
      </c>
      <c r="I22" s="5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ht="28.5">
      <c r="A23" s="44">
        <v>2</v>
      </c>
      <c r="B23" s="7" t="s">
        <v>118</v>
      </c>
      <c r="C23" s="56"/>
      <c r="D23" s="56"/>
      <c r="E23" s="56"/>
      <c r="F23" s="58">
        <f aca="true" t="shared" si="3" ref="F23:F32">C23</f>
        <v>0</v>
      </c>
      <c r="G23" s="58"/>
      <c r="H23" s="58">
        <f aca="true" t="shared" si="4" ref="H23:H32">D23</f>
        <v>0</v>
      </c>
      <c r="I23" s="58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27" ht="28.5">
      <c r="A24" s="44">
        <v>3</v>
      </c>
      <c r="B24" s="7" t="s">
        <v>119</v>
      </c>
      <c r="C24" s="58">
        <f>41177+17867</f>
        <v>59044</v>
      </c>
      <c r="D24" s="58">
        <f>49162+362</f>
        <v>49524</v>
      </c>
      <c r="E24" s="58"/>
      <c r="F24" s="58">
        <f t="shared" si="3"/>
        <v>59044</v>
      </c>
      <c r="G24" s="58"/>
      <c r="H24" s="58">
        <f t="shared" si="4"/>
        <v>49524</v>
      </c>
      <c r="I24" s="58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28.5">
      <c r="A25" s="44">
        <v>4</v>
      </c>
      <c r="B25" s="7" t="s">
        <v>120</v>
      </c>
      <c r="C25" s="58"/>
      <c r="D25" s="58"/>
      <c r="E25" s="58"/>
      <c r="F25" s="58">
        <f t="shared" si="3"/>
        <v>0</v>
      </c>
      <c r="G25" s="58"/>
      <c r="H25" s="58">
        <f t="shared" si="4"/>
        <v>0</v>
      </c>
      <c r="I25" s="58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16.5">
      <c r="A26" s="44">
        <v>5</v>
      </c>
      <c r="B26" s="7" t="s">
        <v>121</v>
      </c>
      <c r="C26" s="56"/>
      <c r="D26" s="56"/>
      <c r="E26" s="56"/>
      <c r="F26" s="58">
        <f t="shared" si="3"/>
        <v>0</v>
      </c>
      <c r="G26" s="58"/>
      <c r="H26" s="58">
        <f t="shared" si="4"/>
        <v>0</v>
      </c>
      <c r="I26" s="58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spans="1:27" ht="16.5">
      <c r="A27" s="44">
        <v>6</v>
      </c>
      <c r="B27" s="7" t="s">
        <v>122</v>
      </c>
      <c r="C27" s="56"/>
      <c r="D27" s="56"/>
      <c r="E27" s="56"/>
      <c r="F27" s="58">
        <f t="shared" si="3"/>
        <v>0</v>
      </c>
      <c r="G27" s="58"/>
      <c r="H27" s="58">
        <f t="shared" si="4"/>
        <v>0</v>
      </c>
      <c r="I27" s="58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1:27" ht="28.5">
      <c r="A28" s="44">
        <v>7</v>
      </c>
      <c r="B28" s="7" t="s">
        <v>123</v>
      </c>
      <c r="C28" s="56"/>
      <c r="D28" s="56"/>
      <c r="E28" s="56"/>
      <c r="F28" s="58">
        <f t="shared" si="3"/>
        <v>0</v>
      </c>
      <c r="G28" s="58"/>
      <c r="H28" s="58">
        <f t="shared" si="4"/>
        <v>0</v>
      </c>
      <c r="I28" s="58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1:27" ht="16.5">
      <c r="A29" s="44">
        <v>8</v>
      </c>
      <c r="B29" s="7" t="s">
        <v>124</v>
      </c>
      <c r="C29" s="56"/>
      <c r="D29" s="56"/>
      <c r="E29" s="56"/>
      <c r="F29" s="58">
        <f t="shared" si="3"/>
        <v>0</v>
      </c>
      <c r="G29" s="58"/>
      <c r="H29" s="58">
        <f t="shared" si="4"/>
        <v>0</v>
      </c>
      <c r="I29" s="58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:27" ht="28.5">
      <c r="A30" s="44">
        <v>9</v>
      </c>
      <c r="B30" s="7" t="s">
        <v>125</v>
      </c>
      <c r="C30" s="56"/>
      <c r="D30" s="56"/>
      <c r="E30" s="56"/>
      <c r="F30" s="58">
        <f t="shared" si="3"/>
        <v>0</v>
      </c>
      <c r="G30" s="58"/>
      <c r="H30" s="58">
        <f t="shared" si="4"/>
        <v>0</v>
      </c>
      <c r="I30" s="58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8.5">
      <c r="A31" s="44">
        <v>10</v>
      </c>
      <c r="B31" s="7" t="s">
        <v>126</v>
      </c>
      <c r="C31" s="56"/>
      <c r="D31" s="56"/>
      <c r="E31" s="56"/>
      <c r="F31" s="58">
        <f t="shared" si="3"/>
        <v>0</v>
      </c>
      <c r="G31" s="58"/>
      <c r="H31" s="58">
        <f t="shared" si="4"/>
        <v>0</v>
      </c>
      <c r="I31" s="58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 ht="16.5">
      <c r="A32" s="44">
        <v>11</v>
      </c>
      <c r="B32" s="7" t="s">
        <v>127</v>
      </c>
      <c r="C32" s="56"/>
      <c r="D32" s="56"/>
      <c r="E32" s="56"/>
      <c r="F32" s="58">
        <f t="shared" si="3"/>
        <v>0</v>
      </c>
      <c r="G32" s="58"/>
      <c r="H32" s="58">
        <f t="shared" si="4"/>
        <v>0</v>
      </c>
      <c r="I32" s="58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27" ht="24.75" customHeight="1">
      <c r="A33" s="44">
        <v>12</v>
      </c>
      <c r="B33" s="42" t="s">
        <v>128</v>
      </c>
      <c r="C33" s="57">
        <f aca="true" t="shared" si="5" ref="C33:I33">SUM(C22:C32)</f>
        <v>59044</v>
      </c>
      <c r="D33" s="57">
        <f t="shared" si="5"/>
        <v>49524</v>
      </c>
      <c r="E33" s="57"/>
      <c r="F33" s="57">
        <f t="shared" si="5"/>
        <v>59044</v>
      </c>
      <c r="G33" s="57">
        <f t="shared" si="5"/>
        <v>0</v>
      </c>
      <c r="H33" s="57">
        <f t="shared" si="5"/>
        <v>49524</v>
      </c>
      <c r="I33" s="57">
        <f t="shared" si="5"/>
        <v>0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  <c r="X33" s="66"/>
      <c r="Y33" s="67"/>
      <c r="Z33" s="67"/>
      <c r="AA33" s="67"/>
    </row>
    <row r="35" spans="2:9" ht="18">
      <c r="B35" s="61" t="s">
        <v>129</v>
      </c>
      <c r="C35" s="63">
        <f aca="true" t="shared" si="6" ref="C35:I35">C33+C16</f>
        <v>79410</v>
      </c>
      <c r="D35" s="63">
        <f t="shared" si="6"/>
        <v>77205</v>
      </c>
      <c r="E35" s="63">
        <f t="shared" si="6"/>
        <v>1008</v>
      </c>
      <c r="F35" s="63">
        <f t="shared" si="6"/>
        <v>79410</v>
      </c>
      <c r="G35" s="63">
        <f t="shared" si="6"/>
        <v>0</v>
      </c>
      <c r="H35" s="63">
        <f t="shared" si="6"/>
        <v>78213</v>
      </c>
      <c r="I35" s="63">
        <f t="shared" si="6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71.421875" style="44" customWidth="1"/>
    <col min="3" max="3" width="18.8515625" style="44" customWidth="1"/>
    <col min="4" max="4" width="19.28125" style="44" customWidth="1"/>
    <col min="5" max="5" width="21.8515625" style="44" customWidth="1"/>
    <col min="6" max="6" width="21.00390625" style="44" customWidth="1"/>
    <col min="7" max="7" width="19.7109375" style="44" customWidth="1"/>
    <col min="8" max="8" width="21.00390625" style="44" customWidth="1"/>
    <col min="9" max="16384" width="9.140625" style="44" customWidth="1"/>
  </cols>
  <sheetData>
    <row r="1" ht="12.75">
      <c r="C1" s="48" t="s">
        <v>321</v>
      </c>
    </row>
    <row r="2" ht="20.25">
      <c r="B2" s="45" t="s">
        <v>132</v>
      </c>
    </row>
    <row r="3" ht="12.75">
      <c r="G3" s="44" t="s">
        <v>134</v>
      </c>
    </row>
    <row r="4" spans="2:8" ht="57">
      <c r="B4" s="1" t="s">
        <v>1</v>
      </c>
      <c r="C4" s="2" t="s">
        <v>2</v>
      </c>
      <c r="D4" s="2" t="s">
        <v>82</v>
      </c>
      <c r="E4" s="3" t="s">
        <v>86</v>
      </c>
      <c r="F4" s="3" t="s">
        <v>87</v>
      </c>
      <c r="G4" s="3" t="s">
        <v>89</v>
      </c>
      <c r="H4" s="3" t="s">
        <v>90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105</v>
      </c>
      <c r="G5" s="2" t="s">
        <v>11</v>
      </c>
      <c r="H5" s="2" t="s">
        <v>12</v>
      </c>
    </row>
    <row r="6" spans="1:26" ht="16.5">
      <c r="A6" s="44">
        <v>1</v>
      </c>
      <c r="B6" s="7" t="s">
        <v>133</v>
      </c>
      <c r="C6" s="56">
        <v>20197800</v>
      </c>
      <c r="D6" s="56"/>
      <c r="E6" s="58">
        <f>C6</f>
        <v>20197800</v>
      </c>
      <c r="F6" s="58"/>
      <c r="G6" s="58">
        <f>D6</f>
        <v>0</v>
      </c>
      <c r="H6" s="58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6.5">
      <c r="A7" s="44">
        <v>2</v>
      </c>
      <c r="B7" s="7" t="s">
        <v>135</v>
      </c>
      <c r="C7" s="56">
        <v>20919690</v>
      </c>
      <c r="D7" s="56"/>
      <c r="E7" s="58">
        <f aca="true" t="shared" si="0" ref="E7:E26">C7</f>
        <v>20919690</v>
      </c>
      <c r="F7" s="58"/>
      <c r="G7" s="58">
        <f aca="true" t="shared" si="1" ref="G7:G26">D7</f>
        <v>0</v>
      </c>
      <c r="H7" s="58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6.5">
      <c r="A8" s="44">
        <v>3</v>
      </c>
      <c r="B8" s="7" t="s">
        <v>136</v>
      </c>
      <c r="C8" s="58">
        <v>4468500</v>
      </c>
      <c r="D8" s="58"/>
      <c r="E8" s="58">
        <f t="shared" si="0"/>
        <v>4468500</v>
      </c>
      <c r="F8" s="58"/>
      <c r="G8" s="58">
        <f t="shared" si="1"/>
        <v>0</v>
      </c>
      <c r="H8" s="58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6.5">
      <c r="A9" s="44">
        <v>4</v>
      </c>
      <c r="B9" s="7" t="s">
        <v>137</v>
      </c>
      <c r="C9" s="56">
        <v>-5386375</v>
      </c>
      <c r="D9" s="56"/>
      <c r="E9" s="58">
        <f t="shared" si="0"/>
        <v>-5386375</v>
      </c>
      <c r="F9" s="58"/>
      <c r="G9" s="58">
        <f t="shared" si="1"/>
        <v>0</v>
      </c>
      <c r="H9" s="58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6.5">
      <c r="A10" s="44">
        <v>5</v>
      </c>
      <c r="B10" s="21" t="s">
        <v>138</v>
      </c>
      <c r="C10" s="57">
        <f>SUM(C6:C9)</f>
        <v>40199615</v>
      </c>
      <c r="D10" s="57">
        <v>42984000</v>
      </c>
      <c r="E10" s="57">
        <f t="shared" si="0"/>
        <v>40199615</v>
      </c>
      <c r="F10" s="57">
        <f>SUM(F6:F9)</f>
        <v>0</v>
      </c>
      <c r="G10" s="57">
        <f t="shared" si="1"/>
        <v>42984000</v>
      </c>
      <c r="H10" s="57">
        <f>SUM(H6:H9)</f>
        <v>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28.5">
      <c r="A11" s="44">
        <v>6</v>
      </c>
      <c r="B11" s="7" t="s">
        <v>139</v>
      </c>
      <c r="C11" s="56">
        <v>18368000</v>
      </c>
      <c r="D11" s="56">
        <v>18740000</v>
      </c>
      <c r="E11" s="58">
        <f t="shared" si="0"/>
        <v>18368000</v>
      </c>
      <c r="F11" s="58"/>
      <c r="G11" s="58">
        <f t="shared" si="1"/>
        <v>18740000</v>
      </c>
      <c r="H11" s="58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6.5">
      <c r="A12" s="44">
        <v>10</v>
      </c>
      <c r="B12" s="7" t="s">
        <v>140</v>
      </c>
      <c r="C12" s="56">
        <v>3060000</v>
      </c>
      <c r="D12" s="56">
        <v>2952000</v>
      </c>
      <c r="E12" s="58">
        <f t="shared" si="0"/>
        <v>3060000</v>
      </c>
      <c r="F12" s="58"/>
      <c r="G12" s="58">
        <f t="shared" si="1"/>
        <v>2952000</v>
      </c>
      <c r="H12" s="58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6.5">
      <c r="A13" s="44">
        <v>11</v>
      </c>
      <c r="B13" s="7" t="s">
        <v>141</v>
      </c>
      <c r="C13" s="56">
        <v>1836000</v>
      </c>
      <c r="D13" s="56">
        <v>1020000</v>
      </c>
      <c r="E13" s="58">
        <f t="shared" si="0"/>
        <v>1836000</v>
      </c>
      <c r="F13" s="58"/>
      <c r="G13" s="58">
        <f t="shared" si="1"/>
        <v>1020000</v>
      </c>
      <c r="H13" s="58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28.5">
      <c r="A14" s="44">
        <v>12</v>
      </c>
      <c r="B14" s="21" t="s">
        <v>142</v>
      </c>
      <c r="C14" s="57">
        <f>C11+C12+C13</f>
        <v>23264000</v>
      </c>
      <c r="D14" s="57">
        <f>D11+D12+D13</f>
        <v>22712000</v>
      </c>
      <c r="E14" s="57">
        <f t="shared" si="0"/>
        <v>23264000</v>
      </c>
      <c r="F14" s="57">
        <f>F11+F12+F13</f>
        <v>0</v>
      </c>
      <c r="G14" s="57">
        <f t="shared" si="1"/>
        <v>22712000</v>
      </c>
      <c r="H14" s="57">
        <f>H11+H12+H13</f>
        <v>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6.5">
      <c r="A15" s="44">
        <v>13</v>
      </c>
      <c r="B15" s="7" t="s">
        <v>143</v>
      </c>
      <c r="C15" s="56">
        <v>1774585</v>
      </c>
      <c r="D15" s="56">
        <v>1775000</v>
      </c>
      <c r="E15" s="58">
        <f t="shared" si="0"/>
        <v>1774585</v>
      </c>
      <c r="F15" s="58"/>
      <c r="G15" s="58">
        <f t="shared" si="1"/>
        <v>1775000</v>
      </c>
      <c r="H15" s="58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6.5">
      <c r="A16" s="44">
        <v>14</v>
      </c>
      <c r="B16" s="7" t="s">
        <v>144</v>
      </c>
      <c r="C16" s="56">
        <v>775040</v>
      </c>
      <c r="D16" s="56">
        <v>886000</v>
      </c>
      <c r="E16" s="58">
        <f t="shared" si="0"/>
        <v>775040</v>
      </c>
      <c r="F16" s="58"/>
      <c r="G16" s="58">
        <f t="shared" si="1"/>
        <v>886000</v>
      </c>
      <c r="H16" s="58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28.5">
      <c r="A17" s="44">
        <v>16</v>
      </c>
      <c r="B17" s="21" t="s">
        <v>145</v>
      </c>
      <c r="C17" s="57">
        <f>C15+C16</f>
        <v>2549625</v>
      </c>
      <c r="D17" s="57">
        <f>D15+D16</f>
        <v>2661000</v>
      </c>
      <c r="E17" s="57">
        <f t="shared" si="0"/>
        <v>2549625</v>
      </c>
      <c r="F17" s="57">
        <f>F15+F16</f>
        <v>0</v>
      </c>
      <c r="G17" s="57">
        <f t="shared" si="1"/>
        <v>2661000</v>
      </c>
      <c r="H17" s="57">
        <f>H15+H16</f>
        <v>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6.5">
      <c r="A18" s="44">
        <v>17</v>
      </c>
      <c r="B18" s="7" t="s">
        <v>146</v>
      </c>
      <c r="C18" s="58">
        <v>1886700</v>
      </c>
      <c r="D18" s="58">
        <v>1887000</v>
      </c>
      <c r="E18" s="58">
        <f t="shared" si="0"/>
        <v>1886700</v>
      </c>
      <c r="F18" s="58"/>
      <c r="G18" s="58">
        <f t="shared" si="1"/>
        <v>1887000</v>
      </c>
      <c r="H18" s="58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28.5">
      <c r="A19" s="44">
        <v>18</v>
      </c>
      <c r="B19" s="21" t="s">
        <v>147</v>
      </c>
      <c r="C19" s="57">
        <f>C18</f>
        <v>1886700</v>
      </c>
      <c r="D19" s="57">
        <f>D18</f>
        <v>1887000</v>
      </c>
      <c r="E19" s="57">
        <f t="shared" si="0"/>
        <v>1886700</v>
      </c>
      <c r="F19" s="57">
        <f>F18</f>
        <v>0</v>
      </c>
      <c r="G19" s="57">
        <f t="shared" si="1"/>
        <v>1887000</v>
      </c>
      <c r="H19" s="57">
        <f>H18</f>
        <v>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6.5">
      <c r="A20" s="44">
        <v>19</v>
      </c>
      <c r="B20" s="7" t="s">
        <v>148</v>
      </c>
      <c r="C20" s="56">
        <v>54887925</v>
      </c>
      <c r="D20" s="56">
        <v>54888000</v>
      </c>
      <c r="E20" s="58">
        <f t="shared" si="0"/>
        <v>54887925</v>
      </c>
      <c r="F20" s="58"/>
      <c r="G20" s="58">
        <f t="shared" si="1"/>
        <v>54888000</v>
      </c>
      <c r="H20" s="58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6.5">
      <c r="A21" s="44">
        <v>20</v>
      </c>
      <c r="B21" s="7" t="s">
        <v>284</v>
      </c>
      <c r="C21" s="56">
        <v>0</v>
      </c>
      <c r="D21" s="56">
        <v>2401000</v>
      </c>
      <c r="E21" s="58">
        <f t="shared" si="0"/>
        <v>0</v>
      </c>
      <c r="F21" s="58"/>
      <c r="G21" s="58">
        <f t="shared" si="1"/>
        <v>2401000</v>
      </c>
      <c r="H21" s="58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6.5">
      <c r="A22" s="44">
        <v>21</v>
      </c>
      <c r="B22" s="7" t="s">
        <v>285</v>
      </c>
      <c r="C22" s="56">
        <v>0</v>
      </c>
      <c r="D22" s="56">
        <v>4065000</v>
      </c>
      <c r="E22" s="58">
        <f t="shared" si="0"/>
        <v>0</v>
      </c>
      <c r="F22" s="58"/>
      <c r="G22" s="58">
        <f t="shared" si="1"/>
        <v>4065000</v>
      </c>
      <c r="H22" s="58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6.5">
      <c r="A23" s="44">
        <v>22</v>
      </c>
      <c r="B23" s="7" t="s">
        <v>286</v>
      </c>
      <c r="C23" s="56">
        <v>0</v>
      </c>
      <c r="D23" s="56">
        <v>75000</v>
      </c>
      <c r="E23" s="58">
        <f t="shared" si="0"/>
        <v>0</v>
      </c>
      <c r="F23" s="58"/>
      <c r="G23" s="58">
        <f t="shared" si="1"/>
        <v>75000</v>
      </c>
      <c r="H23" s="58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2:26" ht="16.5">
      <c r="B24" s="7" t="s">
        <v>301</v>
      </c>
      <c r="C24" s="56">
        <v>0</v>
      </c>
      <c r="D24" s="56">
        <v>250000</v>
      </c>
      <c r="E24" s="58">
        <f t="shared" si="0"/>
        <v>0</v>
      </c>
      <c r="F24" s="58"/>
      <c r="G24" s="58">
        <f t="shared" si="1"/>
        <v>250000</v>
      </c>
      <c r="H24" s="58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6.5">
      <c r="A25" s="44">
        <v>23</v>
      </c>
      <c r="B25" s="7" t="s">
        <v>287</v>
      </c>
      <c r="C25" s="56">
        <v>0</v>
      </c>
      <c r="D25" s="56">
        <v>2020000</v>
      </c>
      <c r="E25" s="58">
        <f t="shared" si="0"/>
        <v>0</v>
      </c>
      <c r="F25" s="58"/>
      <c r="G25" s="58">
        <f t="shared" si="1"/>
        <v>2020000</v>
      </c>
      <c r="H25" s="58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6.5">
      <c r="A26" s="44">
        <v>24</v>
      </c>
      <c r="B26" s="7" t="s">
        <v>288</v>
      </c>
      <c r="C26" s="56">
        <v>0</v>
      </c>
      <c r="D26" s="56">
        <f>278000+79000</f>
        <v>357000</v>
      </c>
      <c r="E26" s="58">
        <f t="shared" si="0"/>
        <v>0</v>
      </c>
      <c r="F26" s="58"/>
      <c r="G26" s="58">
        <f t="shared" si="1"/>
        <v>357000</v>
      </c>
      <c r="H26" s="58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28.5" customHeight="1">
      <c r="A27" s="44">
        <v>25</v>
      </c>
      <c r="B27" s="42" t="s">
        <v>149</v>
      </c>
      <c r="C27" s="57">
        <f>C20+C19+C17+C14+C10+C21+C22+C23+C25+C26</f>
        <v>122787865</v>
      </c>
      <c r="D27" s="57">
        <f>D20+D19+D17+D14+D10+D21+D22+D23+D25+D26+D24</f>
        <v>134300000</v>
      </c>
      <c r="E27" s="57">
        <f>E20+E19+E17+E14+E10+E21+E22+E23+E25+E26+E24</f>
        <v>122787865</v>
      </c>
      <c r="F27" s="57">
        <f>F20+F19+F17+F14+F10+F21+F22+F23+F25+F26+F24</f>
        <v>0</v>
      </c>
      <c r="G27" s="57">
        <f>G20+G19+G17+G14+G10+G21+G22+G23+G25+G26+G24</f>
        <v>134300000</v>
      </c>
      <c r="H27" s="57">
        <f>H20+H19+H17+H14+H10+H21+H22+H23+H25+H26</f>
        <v>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66"/>
      <c r="X27" s="67"/>
      <c r="Y27" s="67"/>
      <c r="Z27" s="67"/>
    </row>
    <row r="28" spans="3:26" ht="16.5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9.140625" style="44" customWidth="1"/>
    <col min="2" max="2" width="35.8515625" style="44" customWidth="1"/>
    <col min="3" max="3" width="17.28125" style="44" customWidth="1"/>
    <col min="4" max="4" width="18.00390625" style="44" customWidth="1"/>
    <col min="5" max="5" width="19.8515625" style="44" customWidth="1"/>
    <col min="6" max="6" width="20.00390625" style="44" customWidth="1"/>
    <col min="7" max="7" width="37.57421875" style="51" customWidth="1"/>
    <col min="8" max="8" width="12.8515625" style="44" customWidth="1"/>
    <col min="9" max="9" width="13.57421875" style="44" customWidth="1"/>
    <col min="10" max="10" width="20.7109375" style="44" customWidth="1"/>
    <col min="11" max="11" width="18.00390625" style="44" customWidth="1"/>
    <col min="12" max="16384" width="9.140625" style="44" customWidth="1"/>
  </cols>
  <sheetData>
    <row r="1" spans="2:8" ht="12.75">
      <c r="B1" s="71"/>
      <c r="C1" s="71"/>
      <c r="D1" s="71"/>
      <c r="E1" s="71"/>
      <c r="F1" s="71"/>
      <c r="G1" s="72"/>
      <c r="H1" s="71"/>
    </row>
    <row r="2" spans="2:8" ht="12.75">
      <c r="B2" s="71"/>
      <c r="C2" s="48" t="s">
        <v>322</v>
      </c>
      <c r="E2" s="71"/>
      <c r="F2" s="71"/>
      <c r="G2" s="72"/>
      <c r="H2" s="71"/>
    </row>
    <row r="3" spans="2:8" ht="12.75">
      <c r="B3" s="71"/>
      <c r="C3" s="71"/>
      <c r="E3" s="71"/>
      <c r="F3" s="71"/>
      <c r="G3" s="72"/>
      <c r="H3" s="71"/>
    </row>
    <row r="4" spans="2:8" ht="20.25">
      <c r="B4" s="45" t="s">
        <v>150</v>
      </c>
      <c r="C4" s="71"/>
      <c r="E4" s="71"/>
      <c r="F4" s="71"/>
      <c r="G4" s="72"/>
      <c r="H4" s="71"/>
    </row>
    <row r="5" spans="2:8" ht="12.75">
      <c r="B5" s="71"/>
      <c r="C5" s="71"/>
      <c r="E5" s="71"/>
      <c r="F5" s="71" t="s">
        <v>134</v>
      </c>
      <c r="G5" s="72"/>
      <c r="H5" s="71"/>
    </row>
    <row r="6" spans="2:6" ht="25.5">
      <c r="B6" s="73" t="s">
        <v>1</v>
      </c>
      <c r="C6" s="74" t="s">
        <v>154</v>
      </c>
      <c r="D6" s="74" t="s">
        <v>155</v>
      </c>
      <c r="E6" s="74" t="s">
        <v>156</v>
      </c>
      <c r="F6" s="74" t="s">
        <v>157</v>
      </c>
    </row>
    <row r="7" spans="2:6" ht="12.75"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</row>
    <row r="8" spans="1:6" ht="50.25" customHeight="1">
      <c r="A8" s="44">
        <v>1</v>
      </c>
      <c r="B8" s="76" t="s">
        <v>158</v>
      </c>
      <c r="C8" s="77">
        <f>D8*0.85</f>
        <v>17866804.5</v>
      </c>
      <c r="D8" s="77">
        <f>(190500)+(342900)+(16131000*1.27)</f>
        <v>21019770</v>
      </c>
      <c r="E8" s="77">
        <f>D8-C8</f>
        <v>3152965.5</v>
      </c>
      <c r="F8" s="79" t="s">
        <v>303</v>
      </c>
    </row>
    <row r="9" spans="1:6" ht="54" customHeight="1">
      <c r="A9" s="44">
        <v>2</v>
      </c>
      <c r="B9" s="76" t="s">
        <v>152</v>
      </c>
      <c r="C9" s="77">
        <v>41176991</v>
      </c>
      <c r="D9" s="77">
        <v>59894948</v>
      </c>
      <c r="E9" s="77">
        <f>D9-C9</f>
        <v>18717957</v>
      </c>
      <c r="F9" s="79" t="s">
        <v>302</v>
      </c>
    </row>
    <row r="10" spans="1:6" ht="12.75">
      <c r="A10" s="44">
        <v>3</v>
      </c>
      <c r="B10" s="76" t="s">
        <v>153</v>
      </c>
      <c r="C10" s="78">
        <f>SUM(C8:C9)</f>
        <v>59043795.5</v>
      </c>
      <c r="D10" s="78">
        <f>SUM(D8:D9)</f>
        <v>80914718</v>
      </c>
      <c r="E10" s="78">
        <f>SUM(E8:E9)</f>
        <v>21870922.5</v>
      </c>
      <c r="F10" s="78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="50" zoomScaleNormal="50" zoomScalePageLayoutView="0" workbookViewId="0" topLeftCell="A1">
      <selection activeCell="E1" sqref="E1"/>
    </sheetView>
  </sheetViews>
  <sheetFormatPr defaultColWidth="9.140625" defaultRowHeight="12.75"/>
  <cols>
    <col min="1" max="1" width="9.140625" style="44" customWidth="1"/>
    <col min="2" max="2" width="14.8515625" style="89" customWidth="1"/>
    <col min="3" max="3" width="11.00390625" style="44" customWidth="1"/>
    <col min="4" max="4" width="45.421875" style="44" customWidth="1"/>
    <col min="5" max="6" width="17.140625" style="95" customWidth="1"/>
    <col min="7" max="7" width="17.00390625" style="95" customWidth="1"/>
    <col min="8" max="10" width="18.7109375" style="95" customWidth="1"/>
    <col min="11" max="11" width="17.421875" style="95" customWidth="1"/>
    <col min="12" max="12" width="18.140625" style="95" customWidth="1"/>
    <col min="13" max="13" width="18.8515625" style="95" customWidth="1"/>
    <col min="14" max="16" width="18.140625" style="95" customWidth="1"/>
    <col min="17" max="16384" width="9.140625" style="44" customWidth="1"/>
  </cols>
  <sheetData>
    <row r="1" ht="18">
      <c r="E1" s="48" t="s">
        <v>323</v>
      </c>
    </row>
    <row r="2" ht="20.25">
      <c r="D2" s="45" t="s">
        <v>159</v>
      </c>
    </row>
    <row r="4" spans="4:15" ht="18">
      <c r="D4" s="69" t="s">
        <v>160</v>
      </c>
      <c r="O4" s="95" t="s">
        <v>0</v>
      </c>
    </row>
    <row r="5" spans="2:16" ht="71.25">
      <c r="B5" s="80" t="s">
        <v>161</v>
      </c>
      <c r="C5" s="2" t="s">
        <v>162</v>
      </c>
      <c r="D5" s="80" t="s">
        <v>1</v>
      </c>
      <c r="E5" s="2" t="s">
        <v>2</v>
      </c>
      <c r="F5" s="2" t="s">
        <v>97</v>
      </c>
      <c r="G5" s="2" t="s">
        <v>3</v>
      </c>
      <c r="H5" s="2" t="s">
        <v>172</v>
      </c>
      <c r="I5" s="2" t="s">
        <v>88</v>
      </c>
      <c r="J5" s="2" t="s">
        <v>173</v>
      </c>
      <c r="K5" s="3" t="s">
        <v>4</v>
      </c>
      <c r="L5" s="3" t="s">
        <v>5</v>
      </c>
      <c r="M5" s="3" t="s">
        <v>86</v>
      </c>
      <c r="N5" s="3" t="s">
        <v>87</v>
      </c>
      <c r="O5" s="3" t="s">
        <v>89</v>
      </c>
      <c r="P5" s="3" t="s">
        <v>90</v>
      </c>
    </row>
    <row r="6" spans="2:16" ht="15">
      <c r="B6" s="81" t="s">
        <v>6</v>
      </c>
      <c r="C6" s="81" t="s">
        <v>7</v>
      </c>
      <c r="D6" s="81" t="s">
        <v>8</v>
      </c>
      <c r="E6" s="81" t="s">
        <v>9</v>
      </c>
      <c r="F6" s="81" t="s">
        <v>10</v>
      </c>
      <c r="G6" s="81" t="s">
        <v>11</v>
      </c>
      <c r="H6" s="81" t="s">
        <v>12</v>
      </c>
      <c r="I6" s="81" t="s">
        <v>13</v>
      </c>
      <c r="J6" s="81" t="s">
        <v>14</v>
      </c>
      <c r="K6" s="81" t="s">
        <v>15</v>
      </c>
      <c r="L6" s="81" t="s">
        <v>16</v>
      </c>
      <c r="M6" s="81" t="s">
        <v>17</v>
      </c>
      <c r="N6" s="81" t="s">
        <v>18</v>
      </c>
      <c r="O6" s="81" t="s">
        <v>94</v>
      </c>
      <c r="P6" s="81" t="s">
        <v>95</v>
      </c>
    </row>
    <row r="7" spans="1:16" ht="33" customHeight="1">
      <c r="A7" s="44">
        <v>1</v>
      </c>
      <c r="B7" s="82">
        <v>553000</v>
      </c>
      <c r="C7" s="83" t="s">
        <v>164</v>
      </c>
      <c r="D7" s="84" t="s">
        <v>177</v>
      </c>
      <c r="E7" s="96">
        <f>2200*1.27</f>
        <v>2794</v>
      </c>
      <c r="F7" s="96">
        <v>5619</v>
      </c>
      <c r="G7" s="97"/>
      <c r="H7" s="97"/>
      <c r="I7" s="97"/>
      <c r="J7" s="97"/>
      <c r="K7" s="98">
        <f aca="true" t="shared" si="0" ref="K7:L19">E7+G7+I7</f>
        <v>2794</v>
      </c>
      <c r="L7" s="98">
        <f t="shared" si="0"/>
        <v>5619</v>
      </c>
      <c r="M7" s="98">
        <f aca="true" t="shared" si="1" ref="M7:M19">E7</f>
        <v>2794</v>
      </c>
      <c r="N7" s="98"/>
      <c r="O7" s="98">
        <f aca="true" t="shared" si="2" ref="O7:O19">L7</f>
        <v>5619</v>
      </c>
      <c r="P7" s="98"/>
    </row>
    <row r="8" spans="1:16" ht="47.25" customHeight="1">
      <c r="A8" s="44">
        <v>2</v>
      </c>
      <c r="B8" s="82">
        <v>412000</v>
      </c>
      <c r="C8" s="83" t="s">
        <v>163</v>
      </c>
      <c r="D8" s="84" t="s">
        <v>178</v>
      </c>
      <c r="E8" s="96">
        <v>60000</v>
      </c>
      <c r="F8" s="96">
        <v>0</v>
      </c>
      <c r="G8" s="97"/>
      <c r="H8" s="97"/>
      <c r="I8" s="97"/>
      <c r="J8" s="97"/>
      <c r="K8" s="98">
        <f t="shared" si="0"/>
        <v>60000</v>
      </c>
      <c r="L8" s="98">
        <f t="shared" si="0"/>
        <v>0</v>
      </c>
      <c r="M8" s="98">
        <f t="shared" si="1"/>
        <v>60000</v>
      </c>
      <c r="N8" s="98"/>
      <c r="O8" s="98">
        <f t="shared" si="2"/>
        <v>0</v>
      </c>
      <c r="P8" s="98"/>
    </row>
    <row r="9" spans="1:16" ht="43.5">
      <c r="A9" s="44">
        <v>3</v>
      </c>
      <c r="B9" s="82">
        <v>932911</v>
      </c>
      <c r="C9" s="83" t="s">
        <v>164</v>
      </c>
      <c r="D9" s="84" t="s">
        <v>180</v>
      </c>
      <c r="E9" s="96">
        <f>46000*1.27</f>
        <v>58420</v>
      </c>
      <c r="F9" s="96">
        <v>59895</v>
      </c>
      <c r="G9" s="97"/>
      <c r="H9" s="97"/>
      <c r="I9" s="97"/>
      <c r="J9" s="97"/>
      <c r="K9" s="98">
        <f t="shared" si="0"/>
        <v>58420</v>
      </c>
      <c r="L9" s="98">
        <f t="shared" si="0"/>
        <v>59895</v>
      </c>
      <c r="M9" s="98">
        <f t="shared" si="1"/>
        <v>58420</v>
      </c>
      <c r="N9" s="98"/>
      <c r="O9" s="98">
        <f t="shared" si="2"/>
        <v>59895</v>
      </c>
      <c r="P9" s="98"/>
    </row>
    <row r="10" spans="1:16" ht="54">
      <c r="A10" s="44">
        <v>4</v>
      </c>
      <c r="B10" s="82">
        <v>421100</v>
      </c>
      <c r="C10" s="85" t="s">
        <v>164</v>
      </c>
      <c r="D10" s="84" t="s">
        <v>311</v>
      </c>
      <c r="E10" s="96">
        <f>2000*1.27</f>
        <v>2540</v>
      </c>
      <c r="F10" s="96">
        <v>4644</v>
      </c>
      <c r="G10" s="97"/>
      <c r="H10" s="97"/>
      <c r="I10" s="97"/>
      <c r="J10" s="97"/>
      <c r="K10" s="98">
        <f t="shared" si="0"/>
        <v>2540</v>
      </c>
      <c r="L10" s="98">
        <f t="shared" si="0"/>
        <v>4644</v>
      </c>
      <c r="M10" s="98">
        <f t="shared" si="1"/>
        <v>2540</v>
      </c>
      <c r="N10" s="98"/>
      <c r="O10" s="98">
        <f t="shared" si="2"/>
        <v>4644</v>
      </c>
      <c r="P10" s="98"/>
    </row>
    <row r="11" spans="1:16" ht="36" customHeight="1">
      <c r="A11" s="44">
        <v>5</v>
      </c>
      <c r="B11" s="82">
        <v>841154</v>
      </c>
      <c r="C11" s="83" t="s">
        <v>165</v>
      </c>
      <c r="D11" s="84" t="s">
        <v>181</v>
      </c>
      <c r="E11" s="96">
        <f>800*1.27</f>
        <v>1016</v>
      </c>
      <c r="F11" s="96">
        <v>1029</v>
      </c>
      <c r="G11" s="97"/>
      <c r="H11" s="97"/>
      <c r="I11" s="97"/>
      <c r="J11" s="97"/>
      <c r="K11" s="98">
        <f t="shared" si="0"/>
        <v>1016</v>
      </c>
      <c r="L11" s="98">
        <f t="shared" si="0"/>
        <v>1029</v>
      </c>
      <c r="M11" s="98">
        <f t="shared" si="1"/>
        <v>1016</v>
      </c>
      <c r="N11" s="98"/>
      <c r="O11" s="98">
        <f t="shared" si="2"/>
        <v>1029</v>
      </c>
      <c r="P11" s="98"/>
    </row>
    <row r="12" spans="1:16" ht="43.5">
      <c r="A12" s="44">
        <v>6</v>
      </c>
      <c r="B12" s="82">
        <v>841154</v>
      </c>
      <c r="C12" s="83" t="s">
        <v>164</v>
      </c>
      <c r="D12" s="84" t="s">
        <v>289</v>
      </c>
      <c r="E12" s="96">
        <v>0</v>
      </c>
      <c r="F12" s="96">
        <v>811</v>
      </c>
      <c r="G12" s="97"/>
      <c r="H12" s="97"/>
      <c r="I12" s="97"/>
      <c r="J12" s="97"/>
      <c r="K12" s="98">
        <f t="shared" si="0"/>
        <v>0</v>
      </c>
      <c r="L12" s="98">
        <f t="shared" si="0"/>
        <v>811</v>
      </c>
      <c r="M12" s="98">
        <f t="shared" si="1"/>
        <v>0</v>
      </c>
      <c r="N12" s="98"/>
      <c r="O12" s="98">
        <f t="shared" si="2"/>
        <v>811</v>
      </c>
      <c r="P12" s="98"/>
    </row>
    <row r="13" spans="2:16" ht="33" customHeight="1">
      <c r="B13" s="82">
        <v>932911</v>
      </c>
      <c r="C13" s="83" t="s">
        <v>312</v>
      </c>
      <c r="D13" s="84" t="s">
        <v>304</v>
      </c>
      <c r="E13" s="96"/>
      <c r="F13" s="96">
        <v>876</v>
      </c>
      <c r="G13" s="97"/>
      <c r="H13" s="97"/>
      <c r="I13" s="97"/>
      <c r="J13" s="97"/>
      <c r="K13" s="98"/>
      <c r="L13" s="98">
        <f t="shared" si="0"/>
        <v>876</v>
      </c>
      <c r="M13" s="98"/>
      <c r="N13" s="98"/>
      <c r="O13" s="98">
        <f t="shared" si="2"/>
        <v>876</v>
      </c>
      <c r="P13" s="98"/>
    </row>
    <row r="14" spans="2:16" ht="29.25">
      <c r="B14" s="82">
        <v>910502</v>
      </c>
      <c r="C14" s="83" t="s">
        <v>305</v>
      </c>
      <c r="D14" s="84" t="s">
        <v>306</v>
      </c>
      <c r="E14" s="96"/>
      <c r="F14" s="96">
        <v>162</v>
      </c>
      <c r="G14" s="97"/>
      <c r="H14" s="97"/>
      <c r="I14" s="97"/>
      <c r="J14" s="97"/>
      <c r="K14" s="98"/>
      <c r="L14" s="98">
        <f t="shared" si="0"/>
        <v>162</v>
      </c>
      <c r="M14" s="98"/>
      <c r="N14" s="98"/>
      <c r="O14" s="98">
        <f t="shared" si="2"/>
        <v>162</v>
      </c>
      <c r="P14" s="98"/>
    </row>
    <row r="15" spans="2:16" ht="36">
      <c r="B15" s="82">
        <v>852000</v>
      </c>
      <c r="C15" s="83" t="s">
        <v>305</v>
      </c>
      <c r="D15" s="84" t="s">
        <v>307</v>
      </c>
      <c r="E15" s="96"/>
      <c r="F15" s="96">
        <v>1013</v>
      </c>
      <c r="G15" s="97"/>
      <c r="H15" s="97"/>
      <c r="I15" s="97"/>
      <c r="J15" s="97"/>
      <c r="K15" s="98"/>
      <c r="L15" s="98">
        <f t="shared" si="0"/>
        <v>1013</v>
      </c>
      <c r="M15" s="98"/>
      <c r="N15" s="98"/>
      <c r="O15" s="98">
        <f t="shared" si="2"/>
        <v>1013</v>
      </c>
      <c r="P15" s="98"/>
    </row>
    <row r="16" spans="2:16" ht="33" customHeight="1">
      <c r="B16" s="82">
        <v>932911</v>
      </c>
      <c r="C16" s="83" t="s">
        <v>164</v>
      </c>
      <c r="D16" s="84" t="s">
        <v>308</v>
      </c>
      <c r="E16" s="96"/>
      <c r="F16" s="96">
        <v>250</v>
      </c>
      <c r="G16" s="97"/>
      <c r="H16" s="97"/>
      <c r="I16" s="97"/>
      <c r="J16" s="97"/>
      <c r="K16" s="98"/>
      <c r="L16" s="98">
        <f t="shared" si="0"/>
        <v>250</v>
      </c>
      <c r="M16" s="98"/>
      <c r="N16" s="98"/>
      <c r="O16" s="98">
        <f t="shared" si="2"/>
        <v>250</v>
      </c>
      <c r="P16" s="98"/>
    </row>
    <row r="17" spans="2:16" ht="29.25">
      <c r="B17" s="82">
        <v>852000</v>
      </c>
      <c r="C17" s="83" t="s">
        <v>305</v>
      </c>
      <c r="D17" s="84" t="s">
        <v>309</v>
      </c>
      <c r="E17" s="96"/>
      <c r="F17" s="96">
        <v>481</v>
      </c>
      <c r="G17" s="97"/>
      <c r="H17" s="97"/>
      <c r="I17" s="97"/>
      <c r="J17" s="97"/>
      <c r="K17" s="98"/>
      <c r="L17" s="98">
        <f t="shared" si="0"/>
        <v>481</v>
      </c>
      <c r="M17" s="98"/>
      <c r="N17" s="98"/>
      <c r="O17" s="98">
        <f t="shared" si="2"/>
        <v>481</v>
      </c>
      <c r="P17" s="98"/>
    </row>
    <row r="18" spans="2:16" ht="34.5" customHeight="1">
      <c r="B18" s="82">
        <v>841402</v>
      </c>
      <c r="C18" s="83" t="s">
        <v>164</v>
      </c>
      <c r="D18" s="84" t="s">
        <v>310</v>
      </c>
      <c r="E18" s="96"/>
      <c r="F18" s="96">
        <v>3632</v>
      </c>
      <c r="G18" s="97"/>
      <c r="H18" s="97"/>
      <c r="I18" s="97"/>
      <c r="J18" s="97"/>
      <c r="K18" s="98"/>
      <c r="L18" s="98">
        <f t="shared" si="0"/>
        <v>3632</v>
      </c>
      <c r="M18" s="98"/>
      <c r="N18" s="98"/>
      <c r="O18" s="98">
        <f t="shared" si="2"/>
        <v>3632</v>
      </c>
      <c r="P18" s="98"/>
    </row>
    <row r="19" spans="1:16" ht="31.5" customHeight="1">
      <c r="A19" s="44">
        <v>7</v>
      </c>
      <c r="B19" s="82">
        <v>932911</v>
      </c>
      <c r="C19" s="83" t="s">
        <v>312</v>
      </c>
      <c r="D19" s="84" t="s">
        <v>296</v>
      </c>
      <c r="E19" s="96"/>
      <c r="F19" s="96"/>
      <c r="G19" s="170">
        <v>0</v>
      </c>
      <c r="H19" s="170">
        <v>418</v>
      </c>
      <c r="I19" s="97"/>
      <c r="J19" s="97"/>
      <c r="K19" s="98">
        <f t="shared" si="0"/>
        <v>0</v>
      </c>
      <c r="L19" s="98">
        <f t="shared" si="0"/>
        <v>418</v>
      </c>
      <c r="M19" s="98">
        <f t="shared" si="1"/>
        <v>0</v>
      </c>
      <c r="N19" s="98"/>
      <c r="O19" s="98">
        <f t="shared" si="2"/>
        <v>418</v>
      </c>
      <c r="P19" s="98"/>
    </row>
    <row r="20" spans="1:16" ht="18">
      <c r="A20" s="44">
        <v>9</v>
      </c>
      <c r="B20" s="86"/>
      <c r="C20" s="87"/>
      <c r="D20" s="88" t="s">
        <v>153</v>
      </c>
      <c r="E20" s="98">
        <f aca="true" t="shared" si="3" ref="E20:P20">SUM(E7:E19)</f>
        <v>124770</v>
      </c>
      <c r="F20" s="98">
        <f t="shared" si="3"/>
        <v>78412</v>
      </c>
      <c r="G20" s="98">
        <f t="shared" si="3"/>
        <v>0</v>
      </c>
      <c r="H20" s="98">
        <f t="shared" si="3"/>
        <v>418</v>
      </c>
      <c r="I20" s="98">
        <f t="shared" si="3"/>
        <v>0</v>
      </c>
      <c r="J20" s="98">
        <f t="shared" si="3"/>
        <v>0</v>
      </c>
      <c r="K20" s="98">
        <f t="shared" si="3"/>
        <v>124770</v>
      </c>
      <c r="L20" s="98">
        <f t="shared" si="3"/>
        <v>78830</v>
      </c>
      <c r="M20" s="98">
        <f t="shared" si="3"/>
        <v>124770</v>
      </c>
      <c r="N20" s="98">
        <f t="shared" si="3"/>
        <v>0</v>
      </c>
      <c r="O20" s="98">
        <f t="shared" si="3"/>
        <v>78830</v>
      </c>
      <c r="P20" s="98">
        <f t="shared" si="3"/>
        <v>0</v>
      </c>
    </row>
    <row r="21" ht="18">
      <c r="D21" s="89"/>
    </row>
    <row r="22" ht="18">
      <c r="D22" s="90" t="s">
        <v>166</v>
      </c>
    </row>
    <row r="23" spans="2:16" ht="71.25">
      <c r="B23" s="80" t="s">
        <v>161</v>
      </c>
      <c r="C23" s="2" t="s">
        <v>162</v>
      </c>
      <c r="D23" s="80" t="s">
        <v>1</v>
      </c>
      <c r="E23" s="2" t="s">
        <v>2</v>
      </c>
      <c r="F23" s="2" t="s">
        <v>97</v>
      </c>
      <c r="G23" s="2" t="s">
        <v>3</v>
      </c>
      <c r="H23" s="2" t="s">
        <v>172</v>
      </c>
      <c r="I23" s="2" t="s">
        <v>88</v>
      </c>
      <c r="J23" s="2" t="s">
        <v>173</v>
      </c>
      <c r="K23" s="3" t="s">
        <v>4</v>
      </c>
      <c r="L23" s="3" t="s">
        <v>5</v>
      </c>
      <c r="M23" s="3" t="s">
        <v>86</v>
      </c>
      <c r="N23" s="3" t="s">
        <v>87</v>
      </c>
      <c r="O23" s="3" t="s">
        <v>89</v>
      </c>
      <c r="P23" s="3" t="s">
        <v>90</v>
      </c>
    </row>
    <row r="24" spans="2:16" ht="15">
      <c r="B24" s="81" t="s">
        <v>6</v>
      </c>
      <c r="C24" s="81" t="s">
        <v>7</v>
      </c>
      <c r="D24" s="81" t="s">
        <v>8</v>
      </c>
      <c r="E24" s="81" t="s">
        <v>9</v>
      </c>
      <c r="F24" s="81" t="s">
        <v>10</v>
      </c>
      <c r="G24" s="81" t="s">
        <v>11</v>
      </c>
      <c r="H24" s="81" t="s">
        <v>12</v>
      </c>
      <c r="I24" s="81" t="s">
        <v>13</v>
      </c>
      <c r="J24" s="81" t="s">
        <v>14</v>
      </c>
      <c r="K24" s="81" t="s">
        <v>15</v>
      </c>
      <c r="L24" s="81" t="s">
        <v>16</v>
      </c>
      <c r="M24" s="81" t="s">
        <v>17</v>
      </c>
      <c r="N24" s="81" t="s">
        <v>18</v>
      </c>
      <c r="O24" s="81" t="s">
        <v>94</v>
      </c>
      <c r="P24" s="81" t="s">
        <v>95</v>
      </c>
    </row>
    <row r="25" spans="1:16" ht="43.5">
      <c r="A25" s="44">
        <v>1</v>
      </c>
      <c r="B25" s="82">
        <v>932911</v>
      </c>
      <c r="C25" s="85" t="s">
        <v>167</v>
      </c>
      <c r="D25" s="84" t="s">
        <v>175</v>
      </c>
      <c r="E25" s="96">
        <f>5000*1.27</f>
        <v>6350</v>
      </c>
      <c r="F25" s="96">
        <v>0</v>
      </c>
      <c r="G25" s="97"/>
      <c r="H25" s="97"/>
      <c r="I25" s="97"/>
      <c r="J25" s="97"/>
      <c r="K25" s="98">
        <f aca="true" t="shared" si="4" ref="K25:L30">E25+G25+I25</f>
        <v>6350</v>
      </c>
      <c r="L25" s="98">
        <f t="shared" si="4"/>
        <v>0</v>
      </c>
      <c r="M25" s="98">
        <f aca="true" t="shared" si="5" ref="M25:M30">E25</f>
        <v>6350</v>
      </c>
      <c r="N25" s="98"/>
      <c r="O25" s="98">
        <f aca="true" t="shared" si="6" ref="O25:O30">L25</f>
        <v>0</v>
      </c>
      <c r="P25" s="98"/>
    </row>
    <row r="26" spans="1:16" ht="43.5">
      <c r="A26" s="44">
        <v>2</v>
      </c>
      <c r="B26" s="82">
        <v>932911</v>
      </c>
      <c r="C26" s="85" t="s">
        <v>167</v>
      </c>
      <c r="D26" s="84" t="s">
        <v>176</v>
      </c>
      <c r="E26" s="96">
        <f>2000*1.27</f>
        <v>2540</v>
      </c>
      <c r="F26" s="96">
        <v>4590</v>
      </c>
      <c r="G26" s="97"/>
      <c r="H26" s="97"/>
      <c r="I26" s="97"/>
      <c r="J26" s="97"/>
      <c r="K26" s="98">
        <f t="shared" si="4"/>
        <v>2540</v>
      </c>
      <c r="L26" s="98">
        <f t="shared" si="4"/>
        <v>4590</v>
      </c>
      <c r="M26" s="98">
        <f t="shared" si="5"/>
        <v>2540</v>
      </c>
      <c r="N26" s="98"/>
      <c r="O26" s="98">
        <f t="shared" si="6"/>
        <v>4590</v>
      </c>
      <c r="P26" s="98"/>
    </row>
    <row r="27" spans="1:16" ht="43.5">
      <c r="A27" s="44">
        <v>3</v>
      </c>
      <c r="B27" s="82">
        <v>931102</v>
      </c>
      <c r="C27" s="85" t="s">
        <v>167</v>
      </c>
      <c r="D27" s="84" t="s">
        <v>179</v>
      </c>
      <c r="E27" s="96">
        <f>16401*1.27</f>
        <v>20829.27</v>
      </c>
      <c r="F27" s="96">
        <v>21020</v>
      </c>
      <c r="G27" s="97"/>
      <c r="H27" s="97"/>
      <c r="I27" s="97"/>
      <c r="J27" s="97"/>
      <c r="K27" s="98">
        <f t="shared" si="4"/>
        <v>20829.27</v>
      </c>
      <c r="L27" s="98">
        <f t="shared" si="4"/>
        <v>21020</v>
      </c>
      <c r="M27" s="98">
        <f t="shared" si="5"/>
        <v>20829.27</v>
      </c>
      <c r="N27" s="98"/>
      <c r="O27" s="98">
        <f t="shared" si="6"/>
        <v>21020</v>
      </c>
      <c r="P27" s="98"/>
    </row>
    <row r="28" spans="2:16" ht="43.5">
      <c r="B28" s="82">
        <v>932911</v>
      </c>
      <c r="C28" s="85" t="s">
        <v>167</v>
      </c>
      <c r="D28" s="84" t="s">
        <v>290</v>
      </c>
      <c r="E28" s="96">
        <v>0</v>
      </c>
      <c r="F28" s="96">
        <v>230</v>
      </c>
      <c r="G28" s="97"/>
      <c r="H28" s="97"/>
      <c r="I28" s="97"/>
      <c r="J28" s="97"/>
      <c r="K28" s="98">
        <f t="shared" si="4"/>
        <v>0</v>
      </c>
      <c r="L28" s="98">
        <f t="shared" si="4"/>
        <v>230</v>
      </c>
      <c r="M28" s="98">
        <f t="shared" si="5"/>
        <v>0</v>
      </c>
      <c r="N28" s="98"/>
      <c r="O28" s="98">
        <f t="shared" si="6"/>
        <v>230</v>
      </c>
      <c r="P28" s="98"/>
    </row>
    <row r="29" spans="2:16" ht="43.5">
      <c r="B29" s="82">
        <v>910502</v>
      </c>
      <c r="C29" s="85" t="s">
        <v>167</v>
      </c>
      <c r="D29" s="84" t="s">
        <v>291</v>
      </c>
      <c r="E29" s="96">
        <v>0</v>
      </c>
      <c r="F29" s="96">
        <v>125</v>
      </c>
      <c r="G29" s="97"/>
      <c r="H29" s="97"/>
      <c r="I29" s="97"/>
      <c r="J29" s="97"/>
      <c r="K29" s="98">
        <f t="shared" si="4"/>
        <v>0</v>
      </c>
      <c r="L29" s="98">
        <f t="shared" si="4"/>
        <v>125</v>
      </c>
      <c r="M29" s="98">
        <f t="shared" si="5"/>
        <v>0</v>
      </c>
      <c r="N29" s="98"/>
      <c r="O29" s="98">
        <f t="shared" si="6"/>
        <v>125</v>
      </c>
      <c r="P29" s="98"/>
    </row>
    <row r="30" spans="2:16" ht="43.5">
      <c r="B30" s="82">
        <v>932911</v>
      </c>
      <c r="C30" s="85" t="s">
        <v>167</v>
      </c>
      <c r="D30" s="84" t="s">
        <v>297</v>
      </c>
      <c r="E30" s="96">
        <v>0</v>
      </c>
      <c r="F30" s="96">
        <v>1788</v>
      </c>
      <c r="G30" s="97"/>
      <c r="H30" s="97"/>
      <c r="I30" s="97"/>
      <c r="J30" s="97"/>
      <c r="K30" s="98">
        <f t="shared" si="4"/>
        <v>0</v>
      </c>
      <c r="L30" s="98">
        <f t="shared" si="4"/>
        <v>1788</v>
      </c>
      <c r="M30" s="98">
        <f t="shared" si="5"/>
        <v>0</v>
      </c>
      <c r="N30" s="98"/>
      <c r="O30" s="98">
        <f t="shared" si="6"/>
        <v>1788</v>
      </c>
      <c r="P30" s="98"/>
    </row>
    <row r="31" spans="1:16" ht="18">
      <c r="A31" s="44">
        <v>4</v>
      </c>
      <c r="B31" s="86"/>
      <c r="C31" s="87"/>
      <c r="D31" s="88" t="s">
        <v>153</v>
      </c>
      <c r="E31" s="98">
        <f>SUM(E25:E30)</f>
        <v>29719.27</v>
      </c>
      <c r="F31" s="98">
        <f aca="true" t="shared" si="7" ref="F31:P31">SUM(F25:F30)</f>
        <v>27753</v>
      </c>
      <c r="G31" s="98">
        <f t="shared" si="7"/>
        <v>0</v>
      </c>
      <c r="H31" s="98">
        <f t="shared" si="7"/>
        <v>0</v>
      </c>
      <c r="I31" s="98">
        <f t="shared" si="7"/>
        <v>0</v>
      </c>
      <c r="J31" s="98">
        <f t="shared" si="7"/>
        <v>0</v>
      </c>
      <c r="K31" s="98">
        <f t="shared" si="7"/>
        <v>29719.27</v>
      </c>
      <c r="L31" s="98">
        <f t="shared" si="7"/>
        <v>27753</v>
      </c>
      <c r="M31" s="98">
        <f t="shared" si="7"/>
        <v>29719.27</v>
      </c>
      <c r="N31" s="98">
        <f t="shared" si="7"/>
        <v>0</v>
      </c>
      <c r="O31" s="98">
        <f t="shared" si="7"/>
        <v>27753</v>
      </c>
      <c r="P31" s="98">
        <f t="shared" si="7"/>
        <v>0</v>
      </c>
    </row>
    <row r="32" spans="5:16" ht="18"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4:16" ht="18">
      <c r="D33" s="62" t="s">
        <v>168</v>
      </c>
      <c r="E33" s="100">
        <f aca="true" t="shared" si="8" ref="E33:P33">E20+E31</f>
        <v>154489.27</v>
      </c>
      <c r="F33" s="100">
        <f t="shared" si="8"/>
        <v>106165</v>
      </c>
      <c r="G33" s="100">
        <f t="shared" si="8"/>
        <v>0</v>
      </c>
      <c r="H33" s="100">
        <f t="shared" si="8"/>
        <v>418</v>
      </c>
      <c r="I33" s="100">
        <f t="shared" si="8"/>
        <v>0</v>
      </c>
      <c r="J33" s="100">
        <f t="shared" si="8"/>
        <v>0</v>
      </c>
      <c r="K33" s="100">
        <f t="shared" si="8"/>
        <v>154489.27</v>
      </c>
      <c r="L33" s="100">
        <f t="shared" si="8"/>
        <v>106583</v>
      </c>
      <c r="M33" s="100">
        <f t="shared" si="8"/>
        <v>154489.27</v>
      </c>
      <c r="N33" s="100">
        <f t="shared" si="8"/>
        <v>0</v>
      </c>
      <c r="O33" s="100">
        <f t="shared" si="8"/>
        <v>106583</v>
      </c>
      <c r="P33" s="100">
        <f t="shared" si="8"/>
        <v>0</v>
      </c>
    </row>
    <row r="34" spans="4:11" ht="45" customHeight="1">
      <c r="D34" s="182" t="s">
        <v>174</v>
      </c>
      <c r="E34" s="182"/>
      <c r="F34" s="182"/>
      <c r="G34" s="182"/>
      <c r="H34" s="182"/>
      <c r="I34" s="182"/>
      <c r="J34" s="182"/>
      <c r="K34" s="182"/>
    </row>
    <row r="35" spans="4:16" ht="61.5" customHeight="1">
      <c r="D35" s="37" t="s">
        <v>1</v>
      </c>
      <c r="E35" s="91" t="s">
        <v>169</v>
      </c>
      <c r="F35" s="91"/>
      <c r="G35" s="91" t="s">
        <v>170</v>
      </c>
      <c r="H35" s="91"/>
      <c r="I35" s="91"/>
      <c r="J35" s="91"/>
      <c r="K35" s="91" t="s">
        <v>171</v>
      </c>
      <c r="L35" s="91" t="s">
        <v>171</v>
      </c>
      <c r="M35" s="91" t="s">
        <v>171</v>
      </c>
      <c r="N35" s="91" t="s">
        <v>171</v>
      </c>
      <c r="O35" s="91" t="s">
        <v>171</v>
      </c>
      <c r="P35" s="91" t="s">
        <v>171</v>
      </c>
    </row>
    <row r="36" spans="4:16" ht="18">
      <c r="D36" s="92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4:16" ht="21.75" customHeight="1">
      <c r="D37" s="93" t="s">
        <v>151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40" ht="18">
      <c r="D40" s="94"/>
    </row>
  </sheetData>
  <sheetProtection/>
  <mergeCells count="1">
    <mergeCell ref="D34:K34"/>
  </mergeCells>
  <printOptions/>
  <pageMargins left="0.4724409448818898" right="0.4330708661417323" top="0.7480314960629921" bottom="0.7480314960629921" header="0.31496062992125984" footer="0.31496062992125984"/>
  <pageSetup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73.140625" style="44" customWidth="1"/>
    <col min="3" max="4" width="17.8515625" style="44" customWidth="1"/>
    <col min="5" max="8" width="21.28125" style="44" customWidth="1"/>
    <col min="9" max="16384" width="9.140625" style="44" customWidth="1"/>
  </cols>
  <sheetData>
    <row r="1" ht="12.75">
      <c r="C1" s="48" t="s">
        <v>324</v>
      </c>
    </row>
    <row r="2" ht="20.25">
      <c r="B2" s="45" t="s">
        <v>201</v>
      </c>
    </row>
    <row r="3" spans="2:7" ht="20.25">
      <c r="B3" s="45"/>
      <c r="G3" s="44" t="s">
        <v>0</v>
      </c>
    </row>
    <row r="4" spans="2:8" ht="57">
      <c r="B4" s="1" t="s">
        <v>1</v>
      </c>
      <c r="C4" s="2" t="s">
        <v>2</v>
      </c>
      <c r="D4" s="2" t="s">
        <v>82</v>
      </c>
      <c r="E4" s="3" t="s">
        <v>86</v>
      </c>
      <c r="F4" s="3" t="s">
        <v>87</v>
      </c>
      <c r="G4" s="3" t="s">
        <v>89</v>
      </c>
      <c r="H4" s="3" t="s">
        <v>90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105</v>
      </c>
      <c r="G5" s="2" t="s">
        <v>11</v>
      </c>
      <c r="H5" s="2" t="s">
        <v>12</v>
      </c>
    </row>
    <row r="6" spans="1:24" ht="16.5">
      <c r="A6" s="44">
        <v>1</v>
      </c>
      <c r="B6" s="7" t="s">
        <v>182</v>
      </c>
      <c r="C6" s="58">
        <f>10300+5800</f>
        <v>16100</v>
      </c>
      <c r="D6" s="58">
        <f>1980+6614+7966</f>
        <v>16560</v>
      </c>
      <c r="E6" s="57"/>
      <c r="F6" s="58">
        <f>C6</f>
        <v>16100</v>
      </c>
      <c r="G6" s="58"/>
      <c r="H6" s="58">
        <f>D6</f>
        <v>16560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6.5">
      <c r="A7" s="44">
        <v>2</v>
      </c>
      <c r="B7" s="7" t="s">
        <v>183</v>
      </c>
      <c r="C7" s="58">
        <v>37580</v>
      </c>
      <c r="D7" s="58">
        <f>470+25801</f>
        <v>26271</v>
      </c>
      <c r="E7" s="57"/>
      <c r="F7" s="58">
        <f aca="true" t="shared" si="0" ref="F7:F12">C7</f>
        <v>37580</v>
      </c>
      <c r="G7" s="58"/>
      <c r="H7" s="58">
        <f aca="true" t="shared" si="1" ref="H7:H12">D7</f>
        <v>26271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6.5">
      <c r="A8" s="44">
        <v>3</v>
      </c>
      <c r="B8" s="7" t="s">
        <v>184</v>
      </c>
      <c r="C8" s="58">
        <v>500</v>
      </c>
      <c r="D8" s="58">
        <v>747</v>
      </c>
      <c r="E8" s="57"/>
      <c r="F8" s="58">
        <f t="shared" si="0"/>
        <v>500</v>
      </c>
      <c r="G8" s="58"/>
      <c r="H8" s="58">
        <f t="shared" si="1"/>
        <v>747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6.5">
      <c r="A9" s="44">
        <v>4</v>
      </c>
      <c r="B9" s="7" t="s">
        <v>185</v>
      </c>
      <c r="C9" s="58">
        <v>21680</v>
      </c>
      <c r="D9" s="58">
        <v>27745</v>
      </c>
      <c r="E9" s="57"/>
      <c r="F9" s="58">
        <f t="shared" si="0"/>
        <v>21680</v>
      </c>
      <c r="G9" s="58"/>
      <c r="H9" s="58">
        <f t="shared" si="1"/>
        <v>27745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6.5">
      <c r="A10" s="44">
        <v>5</v>
      </c>
      <c r="B10" s="7" t="s">
        <v>186</v>
      </c>
      <c r="C10" s="58"/>
      <c r="D10" s="58"/>
      <c r="E10" s="57"/>
      <c r="F10" s="58">
        <f t="shared" si="0"/>
        <v>0</v>
      </c>
      <c r="G10" s="58"/>
      <c r="H10" s="58">
        <f t="shared" si="1"/>
        <v>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8.5">
      <c r="A11" s="44">
        <v>6</v>
      </c>
      <c r="B11" s="7" t="s">
        <v>187</v>
      </c>
      <c r="C11" s="58"/>
      <c r="D11" s="58"/>
      <c r="E11" s="57"/>
      <c r="F11" s="58">
        <f t="shared" si="0"/>
        <v>0</v>
      </c>
      <c r="G11" s="58"/>
      <c r="H11" s="58">
        <f t="shared" si="1"/>
        <v>0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6.5">
      <c r="A12" s="44">
        <v>7</v>
      </c>
      <c r="B12" s="7" t="s">
        <v>188</v>
      </c>
      <c r="C12" s="58"/>
      <c r="D12" s="58"/>
      <c r="E12" s="57"/>
      <c r="F12" s="58">
        <f t="shared" si="0"/>
        <v>0</v>
      </c>
      <c r="G12" s="58"/>
      <c r="H12" s="58">
        <f t="shared" si="1"/>
        <v>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32.25" customHeight="1">
      <c r="A13" s="44">
        <v>9</v>
      </c>
      <c r="B13" s="42" t="s">
        <v>189</v>
      </c>
      <c r="C13" s="57">
        <f aca="true" t="shared" si="2" ref="C13:H13">SUM(C6:C12)</f>
        <v>75860</v>
      </c>
      <c r="D13" s="57">
        <f t="shared" si="2"/>
        <v>71323</v>
      </c>
      <c r="E13" s="57">
        <f t="shared" si="2"/>
        <v>0</v>
      </c>
      <c r="F13" s="57">
        <f t="shared" si="2"/>
        <v>75860</v>
      </c>
      <c r="G13" s="57">
        <f t="shared" si="2"/>
        <v>0</v>
      </c>
      <c r="H13" s="57">
        <f t="shared" si="2"/>
        <v>71323</v>
      </c>
      <c r="I13" s="65"/>
      <c r="J13" s="65"/>
      <c r="K13" s="65"/>
      <c r="L13" s="65"/>
      <c r="M13" s="65"/>
      <c r="N13" s="65"/>
      <c r="O13" s="65"/>
      <c r="P13" s="65"/>
      <c r="Q13" s="105"/>
      <c r="R13" s="66"/>
      <c r="S13" s="66"/>
      <c r="T13" s="66"/>
      <c r="U13" s="66"/>
      <c r="V13" s="66"/>
      <c r="W13" s="66"/>
      <c r="X13" s="66"/>
    </row>
    <row r="14" spans="2:24" ht="32.25" customHeight="1">
      <c r="B14" s="102"/>
      <c r="C14" s="103"/>
      <c r="D14" s="103"/>
      <c r="E14" s="103"/>
      <c r="F14" s="103"/>
      <c r="G14" s="103"/>
      <c r="H14" s="103"/>
      <c r="I14" s="65"/>
      <c r="J14" s="65"/>
      <c r="K14" s="65"/>
      <c r="L14" s="65"/>
      <c r="M14" s="65"/>
      <c r="N14" s="65"/>
      <c r="O14" s="65"/>
      <c r="P14" s="65"/>
      <c r="Q14" s="105"/>
      <c r="R14" s="66"/>
      <c r="S14" s="66"/>
      <c r="T14" s="66"/>
      <c r="U14" s="66"/>
      <c r="V14" s="66"/>
      <c r="W14" s="66"/>
      <c r="X14" s="66"/>
    </row>
    <row r="15" spans="2:8" ht="57">
      <c r="B15" s="1" t="s">
        <v>1</v>
      </c>
      <c r="C15" s="2" t="s">
        <v>2</v>
      </c>
      <c r="D15" s="2" t="s">
        <v>82</v>
      </c>
      <c r="E15" s="3" t="s">
        <v>86</v>
      </c>
      <c r="F15" s="3" t="s">
        <v>87</v>
      </c>
      <c r="G15" s="3" t="s">
        <v>89</v>
      </c>
      <c r="H15" s="3" t="s">
        <v>90</v>
      </c>
    </row>
    <row r="16" spans="2:8" ht="14.25">
      <c r="B16" s="1" t="s">
        <v>6</v>
      </c>
      <c r="C16" s="2" t="s">
        <v>7</v>
      </c>
      <c r="D16" s="2" t="s">
        <v>8</v>
      </c>
      <c r="E16" s="2" t="s">
        <v>9</v>
      </c>
      <c r="F16" s="2" t="s">
        <v>105</v>
      </c>
      <c r="G16" s="2" t="s">
        <v>11</v>
      </c>
      <c r="H16" s="2" t="s">
        <v>12</v>
      </c>
    </row>
    <row r="17" spans="1:24" ht="16.5">
      <c r="A17" s="44">
        <v>1</v>
      </c>
      <c r="B17" s="7" t="s">
        <v>190</v>
      </c>
      <c r="C17" s="58"/>
      <c r="D17" s="58"/>
      <c r="E17" s="57"/>
      <c r="F17" s="58">
        <f>C17</f>
        <v>0</v>
      </c>
      <c r="G17" s="58"/>
      <c r="H17" s="58">
        <f>D17</f>
        <v>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37.5" customHeight="1">
      <c r="A18" s="44">
        <v>2</v>
      </c>
      <c r="B18" s="7" t="s">
        <v>191</v>
      </c>
      <c r="C18" s="58"/>
      <c r="D18" s="58"/>
      <c r="E18" s="57"/>
      <c r="F18" s="58">
        <f aca="true" t="shared" si="3" ref="F18:F26">C18</f>
        <v>0</v>
      </c>
      <c r="G18" s="58"/>
      <c r="H18" s="58">
        <f aca="true" t="shared" si="4" ref="H18:H26">D18</f>
        <v>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30" customHeight="1">
      <c r="A19" s="44">
        <v>3</v>
      </c>
      <c r="B19" s="7" t="s">
        <v>192</v>
      </c>
      <c r="C19" s="58"/>
      <c r="D19" s="58">
        <v>250</v>
      </c>
      <c r="E19" s="57"/>
      <c r="F19" s="58">
        <f t="shared" si="3"/>
        <v>0</v>
      </c>
      <c r="G19" s="58"/>
      <c r="H19" s="58">
        <f t="shared" si="4"/>
        <v>250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16.5">
      <c r="A20" s="44">
        <v>4</v>
      </c>
      <c r="B20" s="7" t="s">
        <v>193</v>
      </c>
      <c r="C20" s="58"/>
      <c r="D20" s="58"/>
      <c r="E20" s="57"/>
      <c r="F20" s="58">
        <f t="shared" si="3"/>
        <v>0</v>
      </c>
      <c r="G20" s="58"/>
      <c r="H20" s="58">
        <f t="shared" si="4"/>
        <v>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38.25" customHeight="1">
      <c r="A21" s="44">
        <v>5</v>
      </c>
      <c r="B21" s="7" t="s">
        <v>194</v>
      </c>
      <c r="C21" s="58"/>
      <c r="D21" s="58"/>
      <c r="E21" s="57"/>
      <c r="F21" s="58">
        <f t="shared" si="3"/>
        <v>0</v>
      </c>
      <c r="G21" s="58"/>
      <c r="H21" s="58">
        <f t="shared" si="4"/>
        <v>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28.5">
      <c r="A22" s="44">
        <v>6</v>
      </c>
      <c r="B22" s="7" t="s">
        <v>195</v>
      </c>
      <c r="C22" s="58"/>
      <c r="D22" s="58"/>
      <c r="E22" s="57"/>
      <c r="F22" s="58">
        <f t="shared" si="3"/>
        <v>0</v>
      </c>
      <c r="G22" s="58"/>
      <c r="H22" s="58">
        <f t="shared" si="4"/>
        <v>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16.5">
      <c r="A23" s="44">
        <v>7</v>
      </c>
      <c r="B23" s="7" t="s">
        <v>196</v>
      </c>
      <c r="C23" s="58"/>
      <c r="D23" s="58"/>
      <c r="E23" s="57"/>
      <c r="F23" s="58">
        <f t="shared" si="3"/>
        <v>0</v>
      </c>
      <c r="G23" s="58"/>
      <c r="H23" s="58">
        <f t="shared" si="4"/>
        <v>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6.5">
      <c r="A24" s="44">
        <v>8</v>
      </c>
      <c r="B24" s="7" t="s">
        <v>197</v>
      </c>
      <c r="C24" s="58"/>
      <c r="D24" s="58"/>
      <c r="E24" s="57"/>
      <c r="F24" s="58">
        <f t="shared" si="3"/>
        <v>0</v>
      </c>
      <c r="G24" s="58"/>
      <c r="H24" s="58">
        <f t="shared" si="4"/>
        <v>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6.5">
      <c r="A25" s="44">
        <v>9</v>
      </c>
      <c r="B25" s="7" t="s">
        <v>198</v>
      </c>
      <c r="C25" s="58"/>
      <c r="D25" s="58"/>
      <c r="E25" s="57"/>
      <c r="F25" s="58">
        <f t="shared" si="3"/>
        <v>0</v>
      </c>
      <c r="G25" s="58"/>
      <c r="H25" s="58">
        <f t="shared" si="4"/>
        <v>0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28.5">
      <c r="A26" s="44">
        <v>10</v>
      </c>
      <c r="B26" s="7" t="s">
        <v>199</v>
      </c>
      <c r="C26" s="58"/>
      <c r="D26" s="58"/>
      <c r="E26" s="57"/>
      <c r="F26" s="58">
        <f t="shared" si="3"/>
        <v>0</v>
      </c>
      <c r="G26" s="58"/>
      <c r="H26" s="58">
        <f t="shared" si="4"/>
        <v>0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33" customHeight="1">
      <c r="A27" s="44">
        <v>11</v>
      </c>
      <c r="B27" s="42" t="s">
        <v>200</v>
      </c>
      <c r="C27" s="57">
        <f aca="true" t="shared" si="5" ref="C27:H27">SUM(C17:C26)</f>
        <v>0</v>
      </c>
      <c r="D27" s="57">
        <f t="shared" si="5"/>
        <v>250</v>
      </c>
      <c r="E27" s="57">
        <f t="shared" si="5"/>
        <v>0</v>
      </c>
      <c r="F27" s="57">
        <f t="shared" si="5"/>
        <v>0</v>
      </c>
      <c r="G27" s="57">
        <f t="shared" si="5"/>
        <v>0</v>
      </c>
      <c r="H27" s="57">
        <f t="shared" si="5"/>
        <v>250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06"/>
      <c r="T27" s="106"/>
      <c r="U27" s="106"/>
      <c r="V27" s="106"/>
      <c r="W27" s="106"/>
      <c r="X27" s="106"/>
    </row>
    <row r="28" ht="14.25">
      <c r="B28" s="104"/>
    </row>
    <row r="29" ht="14.25">
      <c r="B29" s="104"/>
    </row>
    <row r="30" ht="14.25">
      <c r="B30" s="104"/>
    </row>
    <row r="31" ht="14.25">
      <c r="B31" s="104"/>
    </row>
    <row r="32" ht="14.25">
      <c r="B32" s="104"/>
    </row>
    <row r="33" ht="14.25">
      <c r="B33" s="104"/>
    </row>
    <row r="34" ht="14.25">
      <c r="B34" s="104"/>
    </row>
    <row r="35" ht="14.25">
      <c r="B35" s="104"/>
    </row>
    <row r="36" ht="14.25">
      <c r="B36" s="104"/>
    </row>
    <row r="37" ht="14.25">
      <c r="B37" s="104"/>
    </row>
    <row r="38" ht="14.25">
      <c r="B38" s="104"/>
    </row>
    <row r="39" ht="14.25">
      <c r="B39" s="104"/>
    </row>
    <row r="40" ht="14.25">
      <c r="B40" s="10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9.140625" style="44" customWidth="1"/>
    <col min="2" max="2" width="73.140625" style="44" customWidth="1"/>
    <col min="3" max="4" width="17.8515625" style="44" customWidth="1"/>
    <col min="5" max="8" width="21.28125" style="44" customWidth="1"/>
    <col min="9" max="16384" width="9.140625" style="44" customWidth="1"/>
  </cols>
  <sheetData>
    <row r="1" ht="12.75">
      <c r="C1" s="48" t="s">
        <v>325</v>
      </c>
    </row>
    <row r="2" ht="20.25">
      <c r="B2" s="45" t="s">
        <v>202</v>
      </c>
    </row>
    <row r="3" spans="2:7" ht="20.25">
      <c r="B3" s="45"/>
      <c r="G3" s="44" t="s">
        <v>0</v>
      </c>
    </row>
    <row r="4" spans="2:8" ht="57">
      <c r="B4" s="1" t="s">
        <v>1</v>
      </c>
      <c r="C4" s="2" t="s">
        <v>2</v>
      </c>
      <c r="D4" s="2" t="s">
        <v>82</v>
      </c>
      <c r="E4" s="3" t="s">
        <v>86</v>
      </c>
      <c r="F4" s="3" t="s">
        <v>87</v>
      </c>
      <c r="G4" s="3" t="s">
        <v>89</v>
      </c>
      <c r="H4" s="3" t="s">
        <v>90</v>
      </c>
    </row>
    <row r="5" spans="2:8" ht="14.25">
      <c r="B5" s="2" t="s">
        <v>6</v>
      </c>
      <c r="C5" s="2" t="s">
        <v>7</v>
      </c>
      <c r="D5" s="2" t="s">
        <v>8</v>
      </c>
      <c r="E5" s="2" t="s">
        <v>9</v>
      </c>
      <c r="F5" s="2" t="s">
        <v>105</v>
      </c>
      <c r="G5" s="2" t="s">
        <v>11</v>
      </c>
      <c r="H5" s="2" t="s">
        <v>12</v>
      </c>
    </row>
    <row r="6" spans="1:24" ht="16.5">
      <c r="A6" s="44">
        <v>1</v>
      </c>
      <c r="B6" s="107" t="s">
        <v>203</v>
      </c>
      <c r="C6" s="58">
        <v>200</v>
      </c>
      <c r="D6" s="58">
        <v>799</v>
      </c>
      <c r="E6" s="58">
        <f aca="true" t="shared" si="0" ref="E6:E16">C6</f>
        <v>200</v>
      </c>
      <c r="F6" s="58"/>
      <c r="G6" s="58">
        <f aca="true" t="shared" si="1" ref="G6:G15">D6</f>
        <v>799</v>
      </c>
      <c r="H6" s="58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6.5">
      <c r="A7" s="44">
        <v>2</v>
      </c>
      <c r="B7" s="107" t="s">
        <v>204</v>
      </c>
      <c r="C7" s="58">
        <v>200</v>
      </c>
      <c r="D7" s="58">
        <v>1143</v>
      </c>
      <c r="E7" s="58">
        <f t="shared" si="0"/>
        <v>200</v>
      </c>
      <c r="F7" s="58"/>
      <c r="G7" s="58">
        <f t="shared" si="1"/>
        <v>1143</v>
      </c>
      <c r="H7" s="58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6.5">
      <c r="A8" s="44">
        <v>3</v>
      </c>
      <c r="B8" s="107" t="s">
        <v>205</v>
      </c>
      <c r="C8" s="58">
        <v>100</v>
      </c>
      <c r="D8" s="58">
        <v>629</v>
      </c>
      <c r="E8" s="58">
        <f t="shared" si="0"/>
        <v>100</v>
      </c>
      <c r="F8" s="58"/>
      <c r="G8" s="58">
        <f t="shared" si="1"/>
        <v>629</v>
      </c>
      <c r="H8" s="58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6.5">
      <c r="A9" s="44">
        <v>4</v>
      </c>
      <c r="B9" s="107" t="s">
        <v>206</v>
      </c>
      <c r="C9" s="58">
        <v>100</v>
      </c>
      <c r="D9" s="58">
        <v>0</v>
      </c>
      <c r="E9" s="58">
        <f t="shared" si="0"/>
        <v>100</v>
      </c>
      <c r="F9" s="58"/>
      <c r="G9" s="58">
        <f t="shared" si="1"/>
        <v>0</v>
      </c>
      <c r="H9" s="58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6.5">
      <c r="A10" s="44">
        <v>5</v>
      </c>
      <c r="B10" s="107" t="s">
        <v>210</v>
      </c>
      <c r="C10" s="58"/>
      <c r="D10" s="58">
        <v>279</v>
      </c>
      <c r="E10" s="58">
        <f t="shared" si="0"/>
        <v>0</v>
      </c>
      <c r="F10" s="58"/>
      <c r="G10" s="58">
        <f t="shared" si="1"/>
        <v>279</v>
      </c>
      <c r="H10" s="58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16.5">
      <c r="A11" s="44">
        <v>6</v>
      </c>
      <c r="B11" s="107" t="s">
        <v>212</v>
      </c>
      <c r="C11" s="58">
        <v>100</v>
      </c>
      <c r="D11" s="58">
        <v>0</v>
      </c>
      <c r="E11" s="58">
        <f t="shared" si="0"/>
        <v>100</v>
      </c>
      <c r="F11" s="58"/>
      <c r="G11" s="58">
        <f t="shared" si="1"/>
        <v>0</v>
      </c>
      <c r="H11" s="58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6.5">
      <c r="A12" s="44">
        <v>7</v>
      </c>
      <c r="B12" s="107" t="s">
        <v>292</v>
      </c>
      <c r="C12" s="58">
        <v>0</v>
      </c>
      <c r="D12" s="58">
        <v>59</v>
      </c>
      <c r="E12" s="58">
        <f t="shared" si="0"/>
        <v>0</v>
      </c>
      <c r="F12" s="58"/>
      <c r="G12" s="58">
        <f t="shared" si="1"/>
        <v>59</v>
      </c>
      <c r="H12" s="58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16.5">
      <c r="A13" s="44">
        <v>8</v>
      </c>
      <c r="B13" s="108" t="s">
        <v>214</v>
      </c>
      <c r="C13" s="57">
        <f aca="true" t="shared" si="2" ref="C13:H13">SUM(C6:C12)</f>
        <v>700</v>
      </c>
      <c r="D13" s="57">
        <f t="shared" si="2"/>
        <v>2909</v>
      </c>
      <c r="E13" s="57">
        <f t="shared" si="2"/>
        <v>700</v>
      </c>
      <c r="F13" s="57">
        <f t="shared" si="2"/>
        <v>0</v>
      </c>
      <c r="G13" s="57">
        <f t="shared" si="2"/>
        <v>2909</v>
      </c>
      <c r="H13" s="57">
        <f t="shared" si="2"/>
        <v>0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16.5">
      <c r="A14" s="44">
        <v>9</v>
      </c>
      <c r="B14" s="107" t="s">
        <v>215</v>
      </c>
      <c r="C14" s="58"/>
      <c r="D14" s="58">
        <v>71</v>
      </c>
      <c r="E14" s="58">
        <f t="shared" si="0"/>
        <v>0</v>
      </c>
      <c r="F14" s="58"/>
      <c r="G14" s="58">
        <f t="shared" si="1"/>
        <v>71</v>
      </c>
      <c r="H14" s="58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16.5">
      <c r="A15" s="44">
        <v>11</v>
      </c>
      <c r="B15" s="107" t="s">
        <v>216</v>
      </c>
      <c r="C15" s="58">
        <v>1050</v>
      </c>
      <c r="D15" s="183">
        <v>1468</v>
      </c>
      <c r="E15" s="58">
        <f t="shared" si="0"/>
        <v>1050</v>
      </c>
      <c r="F15" s="58"/>
      <c r="G15" s="183">
        <f t="shared" si="1"/>
        <v>1468</v>
      </c>
      <c r="H15" s="58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16.5">
      <c r="A16" s="44">
        <v>12</v>
      </c>
      <c r="B16" s="107" t="s">
        <v>217</v>
      </c>
      <c r="C16" s="58">
        <v>850</v>
      </c>
      <c r="D16" s="184"/>
      <c r="E16" s="58">
        <f t="shared" si="0"/>
        <v>850</v>
      </c>
      <c r="F16" s="58"/>
      <c r="G16" s="184"/>
      <c r="H16" s="58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16.5">
      <c r="A17" s="44">
        <v>13</v>
      </c>
      <c r="B17" s="108" t="s">
        <v>221</v>
      </c>
      <c r="C17" s="57">
        <f aca="true" t="shared" si="3" ref="C17:H17">SUM(C14:C16)</f>
        <v>1900</v>
      </c>
      <c r="D17" s="57">
        <f t="shared" si="3"/>
        <v>1539</v>
      </c>
      <c r="E17" s="57">
        <f t="shared" si="3"/>
        <v>1900</v>
      </c>
      <c r="F17" s="57">
        <f t="shared" si="3"/>
        <v>0</v>
      </c>
      <c r="G17" s="57">
        <f t="shared" si="3"/>
        <v>1539</v>
      </c>
      <c r="H17" s="57">
        <f t="shared" si="3"/>
        <v>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16.5">
      <c r="A18" s="44">
        <v>14</v>
      </c>
      <c r="B18" s="107" t="s">
        <v>218</v>
      </c>
      <c r="C18" s="58">
        <v>1000</v>
      </c>
      <c r="D18" s="58">
        <v>720</v>
      </c>
      <c r="E18" s="58"/>
      <c r="F18" s="58">
        <f>C18</f>
        <v>1000</v>
      </c>
      <c r="G18" s="58"/>
      <c r="H18" s="58">
        <f>D18</f>
        <v>720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6.5">
      <c r="A19" s="44">
        <v>18</v>
      </c>
      <c r="B19" s="107" t="s">
        <v>207</v>
      </c>
      <c r="C19" s="58">
        <v>200</v>
      </c>
      <c r="D19" s="58">
        <v>71</v>
      </c>
      <c r="E19" s="58"/>
      <c r="F19" s="58">
        <f aca="true" t="shared" si="4" ref="F19:F24">C19</f>
        <v>200</v>
      </c>
      <c r="G19" s="58"/>
      <c r="H19" s="58">
        <f aca="true" t="shared" si="5" ref="H19:H24">D19</f>
        <v>71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16.5">
      <c r="A20" s="44">
        <v>19</v>
      </c>
      <c r="B20" s="107" t="s">
        <v>208</v>
      </c>
      <c r="C20" s="58">
        <v>550</v>
      </c>
      <c r="D20" s="58">
        <v>526</v>
      </c>
      <c r="E20" s="58"/>
      <c r="F20" s="58">
        <f t="shared" si="4"/>
        <v>550</v>
      </c>
      <c r="G20" s="58"/>
      <c r="H20" s="58">
        <f t="shared" si="5"/>
        <v>526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16.5">
      <c r="A21" s="44">
        <v>20</v>
      </c>
      <c r="B21" s="107" t="s">
        <v>209</v>
      </c>
      <c r="C21" s="58">
        <v>150</v>
      </c>
      <c r="D21" s="58">
        <v>24</v>
      </c>
      <c r="E21" s="58"/>
      <c r="F21" s="58">
        <f t="shared" si="4"/>
        <v>150</v>
      </c>
      <c r="G21" s="58">
        <v>24</v>
      </c>
      <c r="H21" s="58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16.5">
      <c r="A22" s="44">
        <v>21</v>
      </c>
      <c r="B22" s="107" t="s">
        <v>213</v>
      </c>
      <c r="C22" s="58">
        <v>400</v>
      </c>
      <c r="D22" s="58">
        <v>97</v>
      </c>
      <c r="E22" s="58"/>
      <c r="F22" s="58">
        <f t="shared" si="4"/>
        <v>400</v>
      </c>
      <c r="G22" s="58"/>
      <c r="H22" s="58">
        <f t="shared" si="5"/>
        <v>97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16.5">
      <c r="A23" s="44">
        <v>22</v>
      </c>
      <c r="B23" s="107" t="s">
        <v>211</v>
      </c>
      <c r="C23" s="58">
        <v>100</v>
      </c>
      <c r="D23" s="58"/>
      <c r="E23" s="58"/>
      <c r="F23" s="58">
        <f t="shared" si="4"/>
        <v>100</v>
      </c>
      <c r="G23" s="58"/>
      <c r="H23" s="58">
        <f t="shared" si="5"/>
        <v>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25.5">
      <c r="A24" s="44">
        <v>23</v>
      </c>
      <c r="B24" s="107" t="s">
        <v>295</v>
      </c>
      <c r="C24" s="58"/>
      <c r="D24" s="58">
        <f>995+25</f>
        <v>1020</v>
      </c>
      <c r="E24" s="58"/>
      <c r="F24" s="58">
        <f t="shared" si="4"/>
        <v>0</v>
      </c>
      <c r="G24" s="58"/>
      <c r="H24" s="58">
        <f t="shared" si="5"/>
        <v>1020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6.5">
      <c r="A25" s="44">
        <v>24</v>
      </c>
      <c r="B25" s="108" t="s">
        <v>219</v>
      </c>
      <c r="C25" s="57">
        <f aca="true" t="shared" si="6" ref="C25:H25">SUM(C18:C24)</f>
        <v>2400</v>
      </c>
      <c r="D25" s="57">
        <f t="shared" si="6"/>
        <v>2458</v>
      </c>
      <c r="E25" s="57">
        <f t="shared" si="6"/>
        <v>0</v>
      </c>
      <c r="F25" s="57">
        <f t="shared" si="6"/>
        <v>2400</v>
      </c>
      <c r="G25" s="57">
        <f t="shared" si="6"/>
        <v>24</v>
      </c>
      <c r="H25" s="57">
        <f t="shared" si="6"/>
        <v>2434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16.5">
      <c r="A26" s="44">
        <v>15</v>
      </c>
      <c r="B26" s="107" t="s">
        <v>294</v>
      </c>
      <c r="C26" s="58">
        <v>2100</v>
      </c>
      <c r="D26" s="58">
        <v>745</v>
      </c>
      <c r="E26" s="58"/>
      <c r="F26" s="58">
        <f>C26</f>
        <v>2100</v>
      </c>
      <c r="G26" s="58"/>
      <c r="H26" s="58">
        <f>D26</f>
        <v>745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6.5">
      <c r="A27" s="44">
        <v>24</v>
      </c>
      <c r="B27" s="108" t="s">
        <v>293</v>
      </c>
      <c r="C27" s="57">
        <f aca="true" t="shared" si="7" ref="C27:H27">SUM(C26)</f>
        <v>2100</v>
      </c>
      <c r="D27" s="57">
        <f t="shared" si="7"/>
        <v>745</v>
      </c>
      <c r="E27" s="57">
        <f t="shared" si="7"/>
        <v>0</v>
      </c>
      <c r="F27" s="57">
        <f t="shared" si="7"/>
        <v>2100</v>
      </c>
      <c r="G27" s="57">
        <f t="shared" si="7"/>
        <v>0</v>
      </c>
      <c r="H27" s="57">
        <f t="shared" si="7"/>
        <v>745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25.5">
      <c r="A28" s="44">
        <v>25</v>
      </c>
      <c r="B28" s="109" t="s">
        <v>220</v>
      </c>
      <c r="C28" s="57">
        <f aca="true" t="shared" si="8" ref="C28:H28">C13+C17+C25+C27</f>
        <v>7100</v>
      </c>
      <c r="D28" s="57">
        <f t="shared" si="8"/>
        <v>7651</v>
      </c>
      <c r="E28" s="57">
        <f t="shared" si="8"/>
        <v>2600</v>
      </c>
      <c r="F28" s="57">
        <f t="shared" si="8"/>
        <v>4500</v>
      </c>
      <c r="G28" s="57">
        <f t="shared" si="8"/>
        <v>4472</v>
      </c>
      <c r="H28" s="57">
        <f t="shared" si="8"/>
        <v>3179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ht="14.25">
      <c r="B29" s="104"/>
    </row>
    <row r="30" ht="14.25">
      <c r="B30" s="104"/>
    </row>
    <row r="31" ht="14.25">
      <c r="B31" s="104"/>
    </row>
  </sheetData>
  <sheetProtection/>
  <mergeCells count="2">
    <mergeCell ref="D15:D16"/>
    <mergeCell ref="G15:G16"/>
  </mergeCell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PageLayoutView="0" workbookViewId="0" topLeftCell="A1">
      <selection activeCell="D1" sqref="D1"/>
    </sheetView>
  </sheetViews>
  <sheetFormatPr defaultColWidth="9.140625" defaultRowHeight="12.75"/>
  <cols>
    <col min="1" max="1" width="7.28125" style="44" customWidth="1"/>
    <col min="2" max="2" width="50.00390625" style="51" customWidth="1"/>
    <col min="3" max="4" width="19.421875" style="48" customWidth="1"/>
    <col min="5" max="6" width="19.28125" style="48" customWidth="1"/>
    <col min="7" max="8" width="17.57421875" style="48" customWidth="1"/>
    <col min="9" max="9" width="17.28125" style="48" customWidth="1"/>
    <col min="10" max="10" width="17.57421875" style="48" customWidth="1"/>
    <col min="11" max="11" width="19.57421875" style="48" customWidth="1"/>
    <col min="12" max="12" width="18.7109375" style="48" customWidth="1"/>
    <col min="13" max="13" width="19.421875" style="48" customWidth="1"/>
    <col min="14" max="14" width="19.7109375" style="48" customWidth="1"/>
    <col min="15" max="15" width="19.28125" style="48" customWidth="1"/>
    <col min="16" max="16" width="19.57421875" style="48" customWidth="1"/>
    <col min="17" max="16384" width="9.140625" style="44" customWidth="1"/>
  </cols>
  <sheetData>
    <row r="1" spans="2:4" ht="27">
      <c r="B1" s="47"/>
      <c r="D1" s="48" t="s">
        <v>326</v>
      </c>
    </row>
    <row r="2" ht="27">
      <c r="B2" s="47"/>
    </row>
    <row r="3" ht="20.25">
      <c r="B3" s="49" t="s">
        <v>222</v>
      </c>
    </row>
    <row r="4" spans="2:15" ht="20.25">
      <c r="B4" s="49"/>
      <c r="O4" s="48" t="s">
        <v>0</v>
      </c>
    </row>
    <row r="5" spans="2:16" ht="79.5" customHeight="1">
      <c r="B5" s="1" t="s">
        <v>1</v>
      </c>
      <c r="C5" s="2" t="s">
        <v>2</v>
      </c>
      <c r="D5" s="2" t="s">
        <v>82</v>
      </c>
      <c r="E5" s="2" t="s">
        <v>81</v>
      </c>
      <c r="F5" s="2" t="s">
        <v>83</v>
      </c>
      <c r="G5" s="2" t="s">
        <v>3</v>
      </c>
      <c r="H5" s="2" t="s">
        <v>84</v>
      </c>
      <c r="I5" s="2" t="s">
        <v>88</v>
      </c>
      <c r="J5" s="2" t="s">
        <v>85</v>
      </c>
      <c r="K5" s="3" t="s">
        <v>4</v>
      </c>
      <c r="L5" s="3" t="s">
        <v>5</v>
      </c>
      <c r="M5" s="3" t="s">
        <v>86</v>
      </c>
      <c r="N5" s="3" t="s">
        <v>87</v>
      </c>
      <c r="O5" s="3" t="s">
        <v>89</v>
      </c>
      <c r="P5" s="3" t="s">
        <v>90</v>
      </c>
    </row>
    <row r="6" spans="2:16" ht="14.25">
      <c r="B6" s="70" t="s">
        <v>6</v>
      </c>
      <c r="C6" s="2" t="s">
        <v>7</v>
      </c>
      <c r="D6" s="70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94</v>
      </c>
      <c r="P6" s="2" t="s">
        <v>95</v>
      </c>
    </row>
    <row r="7" spans="1:16" ht="14.25">
      <c r="A7" s="44">
        <v>1</v>
      </c>
      <c r="B7" s="15" t="s">
        <v>223</v>
      </c>
      <c r="C7" s="111">
        <f>3</f>
        <v>3</v>
      </c>
      <c r="D7" s="111">
        <f>3</f>
        <v>3</v>
      </c>
      <c r="E7" s="111">
        <f>12.65-E10</f>
        <v>11.5</v>
      </c>
      <c r="F7" s="111">
        <v>10.67</v>
      </c>
      <c r="G7" s="111">
        <v>3</v>
      </c>
      <c r="H7" s="111">
        <v>3</v>
      </c>
      <c r="I7" s="111">
        <v>6</v>
      </c>
      <c r="J7" s="111">
        <v>6.25</v>
      </c>
      <c r="K7" s="111">
        <f>C7+E7+G7+I7</f>
        <v>23.5</v>
      </c>
      <c r="L7" s="111">
        <f>D7+F7+H7+J7</f>
        <v>22.92</v>
      </c>
      <c r="M7" s="111">
        <f>C7+E7+G7+I7</f>
        <v>23.5</v>
      </c>
      <c r="N7" s="111">
        <v>0</v>
      </c>
      <c r="O7" s="111">
        <f>L7</f>
        <v>22.92</v>
      </c>
      <c r="P7" s="111">
        <v>0</v>
      </c>
    </row>
    <row r="8" spans="1:16" ht="28.5">
      <c r="A8" s="44">
        <v>2</v>
      </c>
      <c r="B8" s="15" t="s">
        <v>224</v>
      </c>
      <c r="C8" s="111">
        <v>1</v>
      </c>
      <c r="D8" s="111">
        <f>2.25+0.7</f>
        <v>2.95</v>
      </c>
      <c r="E8" s="111"/>
      <c r="F8" s="111"/>
      <c r="G8" s="111">
        <f>10+9.21</f>
        <v>19.21</v>
      </c>
      <c r="H8" s="111">
        <f>17.6-2.6</f>
        <v>15.000000000000002</v>
      </c>
      <c r="I8" s="111">
        <v>4</v>
      </c>
      <c r="J8" s="111">
        <v>4</v>
      </c>
      <c r="K8" s="111">
        <f aca="true" t="shared" si="0" ref="K8:L11">C8+E8+G8+I8</f>
        <v>24.21</v>
      </c>
      <c r="L8" s="111">
        <f t="shared" si="0"/>
        <v>21.950000000000003</v>
      </c>
      <c r="M8" s="111">
        <f>C8+E8+G8+I8</f>
        <v>24.21</v>
      </c>
      <c r="N8" s="111">
        <v>0</v>
      </c>
      <c r="O8" s="111">
        <f>L8</f>
        <v>21.950000000000003</v>
      </c>
      <c r="P8" s="111">
        <v>0</v>
      </c>
    </row>
    <row r="9" spans="1:16" ht="14.25">
      <c r="A9" s="44">
        <v>4</v>
      </c>
      <c r="B9" s="4" t="s">
        <v>228</v>
      </c>
      <c r="C9" s="113">
        <f>SUM(C7:C8)</f>
        <v>4</v>
      </c>
      <c r="D9" s="113">
        <f aca="true" t="shared" si="1" ref="D9:P9">SUM(D7:D8)</f>
        <v>5.95</v>
      </c>
      <c r="E9" s="113">
        <f t="shared" si="1"/>
        <v>11.5</v>
      </c>
      <c r="F9" s="113">
        <f t="shared" si="1"/>
        <v>10.67</v>
      </c>
      <c r="G9" s="113">
        <f t="shared" si="1"/>
        <v>22.21</v>
      </c>
      <c r="H9" s="113">
        <f t="shared" si="1"/>
        <v>18</v>
      </c>
      <c r="I9" s="113">
        <f t="shared" si="1"/>
        <v>10</v>
      </c>
      <c r="J9" s="113">
        <f t="shared" si="1"/>
        <v>10.25</v>
      </c>
      <c r="K9" s="113">
        <f>SUM(K7:K8)</f>
        <v>47.71</v>
      </c>
      <c r="L9" s="113">
        <f t="shared" si="1"/>
        <v>44.870000000000005</v>
      </c>
      <c r="M9" s="113">
        <f t="shared" si="1"/>
        <v>47.71</v>
      </c>
      <c r="N9" s="113">
        <f t="shared" si="1"/>
        <v>0</v>
      </c>
      <c r="O9" s="113">
        <f t="shared" si="1"/>
        <v>44.870000000000005</v>
      </c>
      <c r="P9" s="113">
        <f t="shared" si="1"/>
        <v>0</v>
      </c>
    </row>
    <row r="10" spans="1:16" ht="14.25">
      <c r="A10" s="44">
        <v>5</v>
      </c>
      <c r="B10" s="15" t="s">
        <v>225</v>
      </c>
      <c r="C10" s="112">
        <f>0.75+0.75</f>
        <v>1.5</v>
      </c>
      <c r="D10" s="112">
        <f>0.75+0.75</f>
        <v>1.5</v>
      </c>
      <c r="E10" s="112">
        <f>0.38+0.33+0.22+0.22</f>
        <v>1.15</v>
      </c>
      <c r="F10" s="112">
        <v>2.02</v>
      </c>
      <c r="G10" s="112"/>
      <c r="H10" s="112"/>
      <c r="I10" s="112"/>
      <c r="J10" s="112"/>
      <c r="K10" s="111">
        <f t="shared" si="0"/>
        <v>2.65</v>
      </c>
      <c r="L10" s="111">
        <f t="shared" si="0"/>
        <v>3.52</v>
      </c>
      <c r="M10" s="111">
        <f>C10+E10+G10+I10</f>
        <v>2.65</v>
      </c>
      <c r="N10" s="111">
        <v>0</v>
      </c>
      <c r="O10" s="111">
        <f>L10</f>
        <v>3.52</v>
      </c>
      <c r="P10" s="111">
        <v>0</v>
      </c>
    </row>
    <row r="11" spans="1:16" ht="28.5" customHeight="1">
      <c r="A11" s="44">
        <v>6</v>
      </c>
      <c r="B11" s="15" t="s">
        <v>226</v>
      </c>
      <c r="C11" s="112">
        <v>0.75</v>
      </c>
      <c r="D11" s="112">
        <v>0.75</v>
      </c>
      <c r="E11" s="112"/>
      <c r="F11" s="112"/>
      <c r="G11" s="112">
        <v>0.5</v>
      </c>
      <c r="H11" s="112">
        <v>0.5</v>
      </c>
      <c r="I11" s="112">
        <v>0.25</v>
      </c>
      <c r="J11" s="112">
        <v>0.25</v>
      </c>
      <c r="K11" s="111">
        <f t="shared" si="0"/>
        <v>1.5</v>
      </c>
      <c r="L11" s="111">
        <f t="shared" si="0"/>
        <v>1.5</v>
      </c>
      <c r="M11" s="111">
        <f>C11+E11+G11+I11</f>
        <v>1.5</v>
      </c>
      <c r="N11" s="111">
        <v>0</v>
      </c>
      <c r="O11" s="111">
        <f>L11</f>
        <v>1.5</v>
      </c>
      <c r="P11" s="111">
        <v>0</v>
      </c>
    </row>
    <row r="12" spans="1:16" s="69" customFormat="1" ht="14.25">
      <c r="A12" s="69">
        <v>8</v>
      </c>
      <c r="B12" s="4" t="s">
        <v>229</v>
      </c>
      <c r="C12" s="113">
        <f>SUM(C10:C11)</f>
        <v>2.25</v>
      </c>
      <c r="D12" s="113">
        <f aca="true" t="shared" si="2" ref="D12:P12">SUM(D10:D11)</f>
        <v>2.25</v>
      </c>
      <c r="E12" s="113">
        <f t="shared" si="2"/>
        <v>1.15</v>
      </c>
      <c r="F12" s="113">
        <f t="shared" si="2"/>
        <v>2.02</v>
      </c>
      <c r="G12" s="113">
        <f t="shared" si="2"/>
        <v>0.5</v>
      </c>
      <c r="H12" s="113">
        <f t="shared" si="2"/>
        <v>0.5</v>
      </c>
      <c r="I12" s="113">
        <f t="shared" si="2"/>
        <v>0.25</v>
      </c>
      <c r="J12" s="113">
        <f t="shared" si="2"/>
        <v>0.25</v>
      </c>
      <c r="K12" s="113">
        <f>SUM(K10:K11)</f>
        <v>4.15</v>
      </c>
      <c r="L12" s="113">
        <f t="shared" si="2"/>
        <v>5.02</v>
      </c>
      <c r="M12" s="113">
        <f t="shared" si="2"/>
        <v>4.15</v>
      </c>
      <c r="N12" s="113">
        <f t="shared" si="2"/>
        <v>0</v>
      </c>
      <c r="O12" s="113">
        <f t="shared" si="2"/>
        <v>5.02</v>
      </c>
      <c r="P12" s="113">
        <f t="shared" si="2"/>
        <v>0</v>
      </c>
    </row>
    <row r="13" spans="1:16" s="69" customFormat="1" ht="14.25">
      <c r="A13" s="69">
        <v>7</v>
      </c>
      <c r="B13" s="4" t="s">
        <v>315</v>
      </c>
      <c r="C13" s="113">
        <f>(0.75+0.75)/12*2+2</f>
        <v>2.25</v>
      </c>
      <c r="D13" s="113">
        <v>1.6</v>
      </c>
      <c r="E13" s="113"/>
      <c r="F13" s="113"/>
      <c r="G13" s="113"/>
      <c r="H13" s="113">
        <v>0.31</v>
      </c>
      <c r="I13" s="113"/>
      <c r="J13" s="113"/>
      <c r="K13" s="172">
        <f>C13+E13+G13+I13</f>
        <v>2.25</v>
      </c>
      <c r="L13" s="172">
        <f>D13+F13+H13+J13</f>
        <v>1.9100000000000001</v>
      </c>
      <c r="M13" s="172">
        <f>C13+E13+G13+I13</f>
        <v>2.25</v>
      </c>
      <c r="N13" s="172">
        <v>0</v>
      </c>
      <c r="O13" s="172">
        <f>L13</f>
        <v>1.9100000000000001</v>
      </c>
      <c r="P13" s="172">
        <v>0</v>
      </c>
    </row>
    <row r="14" spans="1:16" s="114" customFormat="1" ht="15">
      <c r="A14" s="53">
        <v>9</v>
      </c>
      <c r="B14" s="110" t="s">
        <v>227</v>
      </c>
      <c r="C14" s="115">
        <f>C13+C12+C9</f>
        <v>8.5</v>
      </c>
      <c r="D14" s="115">
        <f aca="true" t="shared" si="3" ref="D14:P14">D13+D12+D9</f>
        <v>9.8</v>
      </c>
      <c r="E14" s="115">
        <f t="shared" si="3"/>
        <v>12.65</v>
      </c>
      <c r="F14" s="115">
        <f t="shared" si="3"/>
        <v>12.69</v>
      </c>
      <c r="G14" s="115">
        <f t="shared" si="3"/>
        <v>22.71</v>
      </c>
      <c r="H14" s="115">
        <f t="shared" si="3"/>
        <v>18.81</v>
      </c>
      <c r="I14" s="115">
        <f t="shared" si="3"/>
        <v>10.25</v>
      </c>
      <c r="J14" s="115">
        <f t="shared" si="3"/>
        <v>10.5</v>
      </c>
      <c r="K14" s="115">
        <f>K13+K12+K9</f>
        <v>54.11</v>
      </c>
      <c r="L14" s="115">
        <f t="shared" si="3"/>
        <v>51.800000000000004</v>
      </c>
      <c r="M14" s="115">
        <f t="shared" si="3"/>
        <v>54.11</v>
      </c>
      <c r="N14" s="115">
        <f t="shared" si="3"/>
        <v>0</v>
      </c>
      <c r="O14" s="115">
        <f t="shared" si="3"/>
        <v>51.800000000000004</v>
      </c>
      <c r="P14" s="115">
        <f t="shared" si="3"/>
        <v>0</v>
      </c>
    </row>
    <row r="15" spans="1:2" s="48" customFormat="1" ht="15">
      <c r="A15" s="44"/>
      <c r="B15" s="35"/>
    </row>
    <row r="16" spans="1:2" s="48" customFormat="1" ht="15">
      <c r="A16" s="44"/>
      <c r="B16" s="35"/>
    </row>
    <row r="17" spans="1:2" s="48" customFormat="1" ht="15">
      <c r="A17" s="44"/>
      <c r="B17" s="35"/>
    </row>
    <row r="18" spans="1:2" s="48" customFormat="1" ht="15">
      <c r="A18" s="44"/>
      <c r="B18" s="35"/>
    </row>
    <row r="19" spans="1:2" s="48" customFormat="1" ht="15">
      <c r="A19" s="44"/>
      <c r="B19" s="35"/>
    </row>
    <row r="20" spans="1:2" s="48" customFormat="1" ht="15">
      <c r="A20" s="44"/>
      <c r="B20" s="35"/>
    </row>
    <row r="21" spans="1:2" s="48" customFormat="1" ht="15">
      <c r="A21" s="44"/>
      <c r="B21" s="35"/>
    </row>
    <row r="22" spans="1:2" s="48" customFormat="1" ht="15">
      <c r="A22" s="44"/>
      <c r="B22" s="35"/>
    </row>
    <row r="23" spans="1:2" s="48" customFormat="1" ht="15">
      <c r="A23" s="44"/>
      <c r="B23" s="35"/>
    </row>
    <row r="24" spans="1:2" s="48" customFormat="1" ht="15">
      <c r="A24" s="44"/>
      <c r="B24" s="35"/>
    </row>
    <row r="25" spans="1:2" s="48" customFormat="1" ht="15">
      <c r="A25" s="44"/>
      <c r="B25" s="35"/>
    </row>
    <row r="26" spans="1:2" s="48" customFormat="1" ht="15">
      <c r="A26" s="44"/>
      <c r="B26" s="35"/>
    </row>
    <row r="27" spans="1:2" s="48" customFormat="1" ht="15">
      <c r="A27" s="44"/>
      <c r="B27" s="35"/>
    </row>
    <row r="28" spans="1:2" s="48" customFormat="1" ht="15">
      <c r="A28" s="44"/>
      <c r="B28" s="35"/>
    </row>
    <row r="29" spans="1:2" s="48" customFormat="1" ht="15">
      <c r="A29" s="44"/>
      <c r="B29" s="35"/>
    </row>
    <row r="30" spans="1:2" s="48" customFormat="1" ht="15">
      <c r="A30" s="44"/>
      <c r="B30" s="35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pugy</dc:creator>
  <cp:keywords/>
  <dc:description/>
  <cp:lastModifiedBy>J</cp:lastModifiedBy>
  <cp:lastPrinted>2014-02-05T07:05:57Z</cp:lastPrinted>
  <dcterms:created xsi:type="dcterms:W3CDTF">2013-02-08T06:30:04Z</dcterms:created>
  <dcterms:modified xsi:type="dcterms:W3CDTF">2014-02-18T10:04:09Z</dcterms:modified>
  <cp:category/>
  <cp:version/>
  <cp:contentType/>
  <cp:contentStatus/>
</cp:coreProperties>
</file>