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tabRatio="895" firstSheet="5" activeTab="12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PH Óvoda, Kult. kiad. feladat" sheetId="5" r:id="rId5"/>
    <sheet name="6. kiadások megbontása" sheetId="6" r:id="rId6"/>
    <sheet name="7. források sz. bontás" sheetId="7" r:id="rId7"/>
    <sheet name="8.létszám" sheetId="8" r:id="rId8"/>
    <sheet name="9.felhki" sheetId="9" r:id="rId9"/>
    <sheet name="10.tartalékok" sheetId="10" r:id="rId10"/>
    <sheet name="11. saját bev." sheetId="11" r:id="rId11"/>
    <sheet name="12.normatívák" sheetId="12" r:id="rId12"/>
    <sheet name="13. EU projektek" sheetId="13" r:id="rId13"/>
  </sheets>
  <definedNames>
    <definedName name="_xlnm.Print_Titles" localSheetId="0">'1. bevételek'!$5:$6</definedName>
    <definedName name="_xlnm.Print_Titles" localSheetId="12">'13.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'8.létszám'!$6:$6</definedName>
    <definedName name="_xlnm.Print_Titles" localSheetId="8">'9.felhki'!$6:$7</definedName>
    <definedName name="_xlnm.Print_Area" localSheetId="0">'1. bevételek'!$A$1:$J$200</definedName>
    <definedName name="_xlnm.Print_Area" localSheetId="11">'12.normatívák'!$A$1:$L$57</definedName>
    <definedName name="_xlnm.Print_Area" localSheetId="1">'2. kiadások '!$A$1:$J$80</definedName>
    <definedName name="_xlnm.Print_Area" localSheetId="3">'4.önkorm.kiad.feladat'!$D$1:$Z$57</definedName>
    <definedName name="_xlnm.Print_Area" localSheetId="4">'5.PH Óvoda, Kult. kiad. feladat'!$A$1:$I$34</definedName>
    <definedName name="_xlnm.Print_Area" localSheetId="5">'6. kiadások megbontása'!$A$1:$M$85</definedName>
    <definedName name="_xlnm.Print_Area" localSheetId="6">'7. források sz. bontás'!$A$1:$AC$68</definedName>
    <definedName name="_xlnm.Print_Area" localSheetId="8">'9.felhki'!$A$1:$D$81</definedName>
  </definedNames>
  <calcPr fullCalcOnLoad="1"/>
</workbook>
</file>

<file path=xl/sharedStrings.xml><?xml version="1.0" encoding="utf-8"?>
<sst xmlns="http://schemas.openxmlformats.org/spreadsheetml/2006/main" count="1881" uniqueCount="1147">
  <si>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</si>
  <si>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</si>
  <si>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</si>
  <si>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</si>
  <si>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</si>
  <si>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</si>
  <si>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</si>
  <si>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</si>
  <si>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</si>
  <si>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</si>
  <si>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</si>
  <si>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</si>
  <si>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</si>
  <si>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</si>
  <si>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</si>
  <si>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</si>
  <si>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</si>
  <si>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</si>
  <si>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</si>
  <si>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</si>
  <si>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</si>
  <si>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</si>
  <si>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</si>
  <si>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</si>
  <si>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</si>
  <si>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</si>
  <si>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</si>
  <si>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</si>
  <si>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</si>
  <si>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</si>
  <si>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</si>
  <si>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</si>
  <si>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</si>
  <si>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</si>
  <si>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</si>
  <si>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</si>
  <si>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</si>
  <si>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</si>
  <si>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</si>
  <si>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</si>
  <si>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</si>
  <si>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</si>
  <si>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</si>
  <si>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</si>
  <si>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</si>
  <si>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</si>
  <si>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</si>
  <si>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</si>
  <si>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</si>
  <si>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</si>
  <si>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</si>
  <si>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</si>
  <si>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</si>
  <si>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</si>
  <si>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</si>
  <si>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</si>
  <si>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</si>
  <si>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</si>
  <si>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</si>
  <si>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</si>
  <si>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</si>
  <si>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</si>
  <si>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</si>
  <si>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</si>
  <si>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</si>
  <si>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</si>
  <si>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</si>
  <si>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</si>
  <si>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</si>
  <si>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</si>
  <si>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</si>
  <si>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</si>
  <si>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</si>
  <si>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</si>
  <si>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</si>
  <si>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</si>
  <si>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</si>
  <si>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</si>
  <si>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</si>
  <si>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</si>
  <si>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</si>
  <si>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</si>
  <si>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</si>
  <si>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</si>
  <si>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</si>
  <si>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</si>
  <si>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</si>
  <si>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</si>
  <si>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</si>
  <si>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</si>
  <si>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</si>
  <si>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</si>
  <si>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</si>
  <si>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</si>
  <si>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</si>
  <si>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</si>
  <si>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</si>
  <si>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</si>
  <si>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</si>
  <si>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</si>
  <si>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</si>
  <si>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</si>
  <si>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</si>
  <si>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</si>
  <si>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</si>
  <si>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</si>
  <si>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</si>
  <si>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</si>
  <si>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</si>
  <si>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</si>
  <si>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</si>
  <si>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</si>
  <si>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</si>
  <si>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</si>
  <si>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</si>
  <si>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</si>
  <si>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</si>
  <si>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</si>
  <si>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</si>
  <si>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</si>
  <si>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</si>
  <si>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</si>
  <si>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</si>
  <si>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</si>
  <si>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</si>
  <si>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</si>
  <si>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</si>
  <si>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</si>
  <si>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</si>
  <si>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</si>
  <si>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</si>
  <si>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</si>
  <si>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</si>
  <si>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</si>
  <si>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</si>
  <si>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</si>
  <si>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</si>
  <si>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</si>
  <si>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</si>
  <si>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</si>
  <si>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</si>
  <si>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</si>
  <si>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</si>
  <si>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</si>
  <si>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</si>
  <si>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</si>
  <si>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</si>
  <si>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</si>
  <si>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</si>
  <si>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</si>
  <si>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</si>
  <si>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</si>
  <si>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</si>
  <si>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</si>
  <si>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</si>
  <si>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</si>
  <si>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</si>
  <si>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</si>
  <si>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</si>
  <si>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</si>
  <si>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</si>
  <si>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</si>
  <si>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</si>
  <si>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</si>
  <si>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</si>
  <si>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</si>
  <si>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</si>
  <si>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</si>
  <si>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</si>
  <si>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</si>
  <si>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</si>
  <si>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</si>
  <si>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</si>
  <si>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</si>
  <si>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</si>
  <si>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</si>
  <si>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</si>
  <si>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</si>
  <si>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</si>
  <si>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</si>
  <si>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</si>
  <si>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</si>
  <si>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</si>
  <si>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</si>
  <si>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</si>
  <si>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</si>
  <si>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</si>
  <si>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</si>
  <si>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</si>
  <si>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</si>
  <si>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</si>
  <si>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</si>
  <si>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</si>
  <si>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</si>
  <si>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</si>
  <si>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</si>
  <si>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</si>
  <si>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</si>
  <si>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</si>
  <si>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</si>
  <si>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</si>
  <si>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</si>
  <si>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</si>
  <si>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</si>
  <si>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</si>
  <si>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</si>
  <si>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</si>
  <si>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</si>
  <si>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</si>
  <si>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</si>
  <si>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</si>
  <si>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</si>
  <si>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</si>
  <si>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</si>
  <si>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</si>
  <si>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</si>
  <si>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</si>
  <si>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</si>
  <si>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</si>
  <si>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</si>
  <si>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</si>
  <si>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</si>
  <si>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</si>
  <si>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</si>
  <si>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</si>
  <si>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</si>
  <si>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</si>
  <si>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</si>
  <si>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</si>
  <si>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</si>
  <si>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</si>
  <si>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</si>
  <si>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</si>
  <si>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</si>
  <si>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</si>
  <si>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</si>
  <si>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</si>
  <si>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</si>
  <si>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</si>
  <si>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</si>
  <si>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</si>
  <si>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</si>
  <si>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</si>
  <si>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</si>
  <si>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</si>
  <si>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</si>
  <si>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</si>
  <si>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</si>
  <si>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</si>
  <si>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</si>
  <si>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</si>
  <si>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</si>
  <si>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</si>
  <si>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</si>
  <si>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</si>
  <si>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</si>
  <si>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</si>
  <si>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</si>
  <si>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</si>
  <si>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</si>
  <si>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</si>
  <si>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</si>
  <si>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</si>
  <si>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</si>
  <si>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</si>
  <si>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</si>
  <si>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</si>
  <si>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</si>
  <si>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</si>
  <si>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</si>
  <si>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</si>
  <si>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</si>
  <si>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</si>
  <si>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</si>
  <si>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</si>
  <si>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</si>
  <si>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</si>
  <si>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</si>
  <si>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</si>
  <si>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</si>
  <si>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</si>
  <si>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</si>
  <si>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</si>
  <si>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</si>
  <si>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</si>
  <si>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</si>
  <si>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</si>
  <si>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</si>
  <si>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</si>
  <si>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</si>
  <si>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</si>
  <si>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</si>
  <si>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</si>
  <si>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</si>
  <si>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</si>
  <si>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</si>
  <si>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</si>
  <si>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</si>
  <si>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</si>
  <si>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</si>
  <si>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</si>
  <si>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</si>
  <si>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</si>
  <si>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</si>
  <si>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</si>
  <si>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</si>
  <si>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</si>
  <si>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</si>
  <si>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</si>
  <si>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</si>
  <si>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</si>
  <si>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</si>
  <si>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</si>
  <si>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</si>
  <si>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</si>
  <si>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</si>
  <si>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</si>
  <si>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</si>
  <si>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</si>
  <si>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</si>
  <si>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</si>
  <si>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</si>
  <si>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</si>
  <si>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</si>
  <si>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</si>
  <si>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</si>
  <si>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</si>
  <si>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</si>
  <si>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</si>
  <si>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</si>
  <si>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</si>
  <si>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</si>
  <si>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</si>
  <si>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</si>
  <si>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</si>
  <si>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</si>
  <si>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</si>
  <si>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</si>
  <si>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</si>
  <si>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</si>
  <si>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</si>
  <si>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</si>
  <si>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</si>
  <si>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</si>
  <si>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</si>
  <si>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</si>
  <si>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</si>
  <si>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</si>
  <si>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</si>
  <si>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</si>
  <si>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</si>
  <si>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</si>
  <si>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</si>
  <si>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</si>
  <si>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</si>
  <si>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</si>
  <si>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</si>
  <si>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</si>
  <si>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</si>
  <si>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</si>
  <si>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</si>
  <si>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</si>
  <si>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</si>
  <si>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</si>
  <si>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</si>
  <si>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</si>
  <si>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</si>
  <si>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</si>
  <si>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</si>
  <si>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</si>
  <si>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</si>
  <si>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</si>
  <si>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</si>
  <si>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</si>
  <si>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</si>
  <si>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</si>
  <si>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</si>
  <si>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</si>
  <si>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</si>
  <si>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</si>
  <si>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</si>
  <si>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</si>
  <si>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</si>
  <si>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</si>
  <si>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</si>
  <si>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</si>
  <si>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</si>
  <si>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</si>
  <si>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</si>
  <si>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</si>
  <si>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</si>
  <si>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</si>
  <si>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</si>
  <si>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</si>
  <si>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</si>
  <si>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</si>
  <si>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</si>
  <si>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</si>
  <si>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</si>
  <si>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</si>
  <si>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</si>
  <si>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</si>
  <si>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</si>
  <si>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</si>
  <si>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</si>
  <si>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</si>
  <si>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</si>
  <si>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</si>
  <si>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</si>
  <si>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</si>
  <si>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</si>
  <si>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</si>
  <si>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</si>
  <si>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</si>
  <si>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</si>
  <si>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</si>
  <si>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</si>
  <si>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</si>
  <si>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</si>
  <si>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</si>
  <si>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</si>
  <si>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</si>
  <si>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</si>
  <si>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</si>
  <si>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</si>
  <si>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</si>
  <si>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</si>
  <si>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</si>
  <si>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</si>
  <si>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</si>
  <si>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</si>
  <si>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</si>
  <si>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</si>
  <si>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</si>
  <si>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</si>
  <si>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</si>
  <si>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</si>
  <si>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</si>
  <si>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</si>
  <si>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</si>
  <si>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</si>
  <si>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</si>
  <si>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</si>
  <si>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</si>
  <si>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</si>
  <si>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</si>
  <si>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</si>
  <si>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</si>
  <si>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</si>
  <si>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</si>
  <si>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</si>
  <si>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</si>
  <si>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</si>
  <si>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</si>
  <si>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</si>
  <si>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</si>
  <si>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</si>
  <si>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</si>
  <si>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</si>
  <si>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</si>
  <si>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</si>
  <si>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</si>
  <si>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</si>
  <si>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</si>
  <si>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</si>
  <si>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</si>
  <si>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</si>
  <si>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</si>
  <si>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</si>
  <si>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</si>
  <si>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</si>
  <si>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</si>
  <si>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</si>
  <si>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</si>
  <si>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</si>
  <si>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</si>
  <si>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</si>
  <si>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</si>
  <si>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</si>
  <si>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</si>
  <si>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</si>
  <si>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</si>
  <si>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</si>
  <si>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</si>
  <si>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</si>
  <si>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</si>
  <si>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</si>
  <si>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</si>
  <si>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</si>
  <si>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</si>
  <si>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</si>
  <si>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</si>
  <si>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</si>
  <si>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</si>
  <si>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</si>
  <si>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</si>
  <si>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</si>
  <si>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</si>
  <si>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</si>
  <si>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</si>
  <si>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</si>
  <si>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</si>
  <si>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</si>
  <si>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</si>
  <si>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</si>
  <si>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</si>
  <si>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</si>
  <si>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</si>
  <si>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</si>
  <si>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</si>
  <si>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</si>
  <si>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Család- és nővédelmi eü. gondozáshoz OEP-finanszírozás</t>
  </si>
  <si>
    <t>Tűzoltóság BM támogatása</t>
  </si>
  <si>
    <t>Továbbszámlázott szolg. bevételei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</si>
  <si>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</si>
  <si>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</si>
  <si>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</si>
  <si>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</si>
  <si>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</si>
  <si>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</si>
  <si>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</si>
  <si>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</si>
  <si>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</si>
  <si>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</si>
  <si>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</si>
  <si>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</si>
  <si>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</si>
  <si>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</si>
  <si>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</si>
  <si>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</si>
  <si>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</si>
  <si>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</si>
  <si>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</si>
  <si>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</si>
  <si>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</si>
  <si>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</si>
  <si>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</si>
  <si>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</si>
  <si>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</si>
  <si>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</si>
  <si>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</si>
  <si>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</si>
  <si>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</si>
  <si>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</si>
  <si>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</si>
  <si>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</si>
  <si>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</si>
  <si>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</si>
  <si>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</si>
  <si>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</si>
  <si>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</si>
  <si>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</si>
  <si>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</si>
  <si>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</si>
  <si>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</si>
  <si>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</si>
  <si>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</si>
  <si>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</si>
  <si>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</si>
  <si>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</si>
  <si>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</si>
  <si>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</si>
  <si>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</si>
  <si>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</si>
  <si>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</si>
  <si>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</si>
  <si>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</si>
  <si>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</si>
  <si>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</si>
  <si>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</si>
  <si>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</si>
  <si>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</si>
  <si>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</si>
  <si>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</si>
  <si>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</si>
  <si>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</si>
  <si>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</si>
  <si>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</si>
  <si>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</si>
  <si>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</si>
  <si>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</si>
  <si>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</si>
  <si>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</si>
  <si>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</si>
  <si>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</si>
  <si>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</si>
  <si>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</si>
  <si>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</si>
  <si>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</si>
  <si>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</si>
  <si>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</si>
  <si>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</si>
  <si>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</si>
  <si>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</si>
  <si>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</si>
  <si>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</si>
  <si>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</si>
  <si>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</si>
  <si>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</si>
  <si>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</si>
  <si>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</si>
  <si>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</si>
  <si>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</si>
  <si>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</si>
  <si>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megelől. törleszt. (Áht. 78.§ (4) és 83.§ (3) bek.)</t>
  </si>
  <si>
    <t>Köztemetés (Szoc. tv. 48.§)</t>
  </si>
  <si>
    <t>települési támogatás (Szoc. tv. 45.§)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</si>
  <si>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</si>
  <si>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</si>
  <si>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</si>
  <si>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</si>
  <si>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</si>
  <si>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</si>
  <si>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</si>
  <si>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</si>
  <si>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</si>
  <si>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</si>
  <si>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</si>
  <si>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</si>
  <si>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</si>
  <si>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</si>
  <si>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</si>
  <si>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</si>
  <si>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</si>
  <si>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</si>
  <si>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</si>
  <si>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</si>
  <si>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</si>
  <si>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Szociális ágazati összevont pótlék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</si>
  <si>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</si>
  <si>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</si>
  <si>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</si>
  <si>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</si>
  <si>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</si>
  <si>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</si>
  <si>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Kerékpárút építése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</si>
  <si>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</si>
  <si>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</si>
  <si>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</si>
  <si>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</si>
  <si>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</si>
  <si>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</si>
  <si>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</si>
  <si>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</si>
  <si>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</si>
  <si>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</si>
  <si>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</si>
  <si>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</si>
  <si>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</si>
  <si>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</si>
  <si>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</si>
  <si>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</si>
  <si>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</si>
  <si>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</si>
  <si>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</si>
  <si>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</si>
  <si>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</si>
  <si>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</si>
  <si>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</si>
  <si>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</si>
  <si>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</si>
  <si>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</si>
  <si>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</si>
  <si>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</si>
  <si>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</si>
  <si>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</si>
  <si>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</si>
  <si>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</si>
  <si>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</si>
  <si>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</si>
  <si>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</si>
  <si>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</si>
  <si>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</si>
  <si>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</si>
  <si>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</si>
  <si>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</si>
  <si>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</si>
  <si>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</si>
  <si>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</si>
  <si>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</si>
  <si>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</si>
  <si>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</si>
  <si>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</si>
  <si>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</si>
  <si>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</si>
  <si>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</si>
  <si>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</si>
  <si>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</si>
  <si>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</si>
  <si>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</si>
  <si>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</si>
  <si>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</si>
  <si>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</si>
  <si>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</si>
  <si>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</si>
  <si>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</si>
  <si>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</si>
  <si>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</si>
  <si>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</si>
  <si>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</si>
  <si>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</si>
  <si>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</si>
  <si>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</si>
  <si>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</si>
  <si>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</si>
  <si>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</si>
  <si>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</si>
  <si>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</si>
  <si>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</si>
  <si>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</si>
  <si>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</si>
  <si>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</si>
  <si>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</si>
  <si>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</si>
  <si>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</si>
  <si>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</si>
  <si>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</si>
  <si>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</si>
  <si>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</si>
  <si>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</si>
  <si>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</si>
  <si>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</si>
  <si>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</si>
  <si>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</si>
  <si>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</si>
  <si>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</si>
  <si>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</si>
  <si>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</si>
  <si>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</si>
  <si>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</si>
  <si>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</si>
  <si>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</si>
  <si>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</si>
  <si>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</si>
  <si>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</si>
  <si>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</si>
  <si>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208/2016.(XII.15.) Kt. hat. Pályázati önerő VP6-7.2.1-7.4.2-16. kódszámú pályázathoz (közutak karbantartásához erő- és munkagépek beszerzése)</t>
  </si>
  <si>
    <t>209/2016.(XII.15.) Kt. hat. Pályázati önerő az "Innovatív vízgazdálkodási tervezés a határmenti régióban" projekthez</t>
  </si>
  <si>
    <t>Tűzoltó laktanya vizesblokkjának felújítása</t>
  </si>
  <si>
    <t>RGYVK-hoz kapcs. természetbeni juttatás (Erzsébet utalvány) megtérítése</t>
  </si>
  <si>
    <t>Felhalmozási célú maradvány igénybevétele</t>
  </si>
  <si>
    <t>Készletértékesítés (homokbánya)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</si>
  <si>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</si>
  <si>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</si>
  <si>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</si>
  <si>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</si>
  <si>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</si>
  <si>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</si>
  <si>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</si>
  <si>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</si>
  <si>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</si>
  <si>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A 2017. évről áthúzódó bérkompenzáció támogatása</t>
  </si>
  <si>
    <t>I.5.</t>
  </si>
  <si>
    <t>Polgármesteri illetmény támogatása</t>
  </si>
  <si>
    <t>Jánoshalma Városi Önkormányzat 2018. évi költségvetésében tervezett köponti költségvetési támogatások</t>
  </si>
  <si>
    <t>II.1 (1)1,2</t>
  </si>
  <si>
    <t>II.1 (2)1,2</t>
  </si>
  <si>
    <t>Alapfokú végzettségű pedagógus II. kategóriába sorolt óvodapedagógusok kiegészítő támogatása, akik a minősítést 2016.12.31-ig szerezték meg</t>
  </si>
  <si>
    <t>Alapfokú végzettségű mesterpedagógus kategóriába sorolt óvodapedagógusok kiegészítő támogatása, akik a minősítést 2016. december 31-ig szerezték meg</t>
  </si>
  <si>
    <t>III.6.</t>
  </si>
  <si>
    <t xml:space="preserve">III.7. </t>
  </si>
  <si>
    <t>Bölcsőde, minibölcsőde támogatása</t>
  </si>
  <si>
    <t>III.7. a (1)</t>
  </si>
  <si>
    <t>Felsőfokú végzettségű kisgyermeknevelők, szaktanácsadók bértámogatása</t>
  </si>
  <si>
    <t>III.7. a (2)</t>
  </si>
  <si>
    <t>Bölcsődei dajkák, középfokú végzettségű kisgyermeknevelők, szaktanácsadók bértámogatása</t>
  </si>
  <si>
    <t>III.7.b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</si>
  <si>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</si>
  <si>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</si>
  <si>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</si>
  <si>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</si>
  <si>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>Gyermeklánc Óvoda és Bölcsőde, Család- és Gyermekjóléti Központ</t>
  </si>
  <si>
    <t>Jánoshalma Városi Önkormányzat és költségvetési szervei 2018. évi költségvetésének bevételi előirányzatai</t>
  </si>
  <si>
    <t>Működési célú tartalék - Városgazda Kft. központi irányítási feladataira</t>
  </si>
  <si>
    <t>Jánoshalma Városi Önkormányzat és költségvetési szervei 2018. évi költségvetésének kiadási előirányzatai</t>
  </si>
  <si>
    <t>Jánoshalma Város Önkormányzat 2018. évi költségvetése működési és felhalmozási célú bontásban</t>
  </si>
  <si>
    <t xml:space="preserve">5.1. Elvonások és befizetések </t>
  </si>
  <si>
    <t>Jánoshalma Városi Önkormányzat  2018. évi költségvetési kiadásai feladatonként</t>
  </si>
  <si>
    <t>Önkormányzatok elszámolásai a központi költségvetéssel</t>
  </si>
  <si>
    <t>Általános gazdasági és kereskedelmi ügyek igazgatása</t>
  </si>
  <si>
    <t>Imre Zoltán Kulturális Központ és Könyvtár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</si>
  <si>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</si>
  <si>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</si>
  <si>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</si>
  <si>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</si>
  <si>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</si>
  <si>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Fejlesztési tartalék - biztonsági előírások teljesítésére</t>
  </si>
  <si>
    <t>900090</t>
  </si>
  <si>
    <t>Céltartalék -Városgazda Kft. kp-i irányítási feladatainak tám.-ra</t>
  </si>
  <si>
    <t>041110</t>
  </si>
  <si>
    <t>041232</t>
  </si>
  <si>
    <t>041233</t>
  </si>
  <si>
    <t>Óvodai étkeztetés</t>
  </si>
  <si>
    <t>Óvodai nevelés (Jánoshalmi óvodák)</t>
  </si>
  <si>
    <t>Óvodai nevelés (Kéleshalmi tagóvoda)</t>
  </si>
  <si>
    <t>Bölcsődei gyermek étkeztetés</t>
  </si>
  <si>
    <t>Közművelődés- hagyományos közösségi kult. értékek gondozása</t>
  </si>
  <si>
    <t>Jánoshalma Városi Önkormányzat és költségvetési szerveinek 2018. évi költségvetési kiadásai kötelező-, önként vállalt-, és állami (államigazgatási) feladatok szerinti bontásban</t>
  </si>
  <si>
    <t>Mötv. 13.§ (1)12.</t>
  </si>
  <si>
    <t>Mötv. 13.§ (1)11,  21.</t>
  </si>
  <si>
    <t>Mötv. 13.§ (1)13, 9.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</si>
  <si>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</si>
  <si>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</si>
  <si>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</si>
  <si>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</si>
  <si>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Jánoshalma Városi Önkormányzat  és költségvetési szerveinek 2018. évi költségvetési bevételei és  kiadásai kötelező-, önként vállalt-, és állami (államigazgatási) feladatok szerinti bontásban</t>
  </si>
  <si>
    <t>Imre Z. Kult. K. és Könyvtár</t>
  </si>
  <si>
    <t>Csatornamosó GFB túlfizetés visszatérülése</t>
  </si>
  <si>
    <t>TOP-3.2.1.-16 Polg. Hiv. energetikai korsz. projekt, TOP-2.1.2-16 "Zöld tér felújítása projekt és TOP-2.1.3-16 "Jh. belvíz elvezetése I. ütem" c. projekt támogatása</t>
  </si>
  <si>
    <t>Hosszabb időtartamú közfogl. felhalm. c. tám.</t>
  </si>
  <si>
    <t>Startmunka programok felhalm. c. támogatás</t>
  </si>
  <si>
    <t>Bölcsőde támogatása</t>
  </si>
  <si>
    <t xml:space="preserve"> TOP-1.1.2-16 Jh. térségi szerepének erősítése a mg.-ban", TOP-1.1.3-16 "Agrárlogisztikai központ építése Jh-n" c. projektek támogatása</t>
  </si>
  <si>
    <t>Tűzker IMP Bt-től vfiz.támogatás visszatérítés</t>
  </si>
  <si>
    <t>"Jánoshalmi Művésztelep energetikai felújítása" projekt támogatása (VP)</t>
  </si>
  <si>
    <t>Kéleshalom önkormányzat támogatása óvodai ellátáshoz</t>
  </si>
  <si>
    <t>Ellátási díjak (ált. isk. étkezés)</t>
  </si>
  <si>
    <t>EFOP-1.4.2-16 Integrált térs. gyermekpr. "Együtt könnyebb" támogatása</t>
  </si>
  <si>
    <t>Köztemetés kiadásának megtérítése</t>
  </si>
  <si>
    <t>Támogatott foglalkoztatás bevétele</t>
  </si>
  <si>
    <t>Könyvtári szolgáltatások ellenértéke</t>
  </si>
  <si>
    <t>Közművelődési szolgáltatások ellenértéke</t>
  </si>
  <si>
    <t>2018. évi felhalmozási kiadások feladatonként, felújítási kiadások célonként</t>
  </si>
  <si>
    <t>154/2017.(VIII.24.) Kt. hat.  TOP-3.2.1-16  - "Önkormányzati épületek energetikai korszerűsítése" c. projekt (előzetes tanulmányok, engedélyezési dokumentumok költségei)</t>
  </si>
  <si>
    <t>35/2016.(III.24.) Kt. hat. Nyertes pályázat esetén a Gazdakörnek székház felújításához biztosított 1,5 millió Ft támogatás (pályázati önerő) 2018. évben átutalásra kerülő része</t>
  </si>
  <si>
    <t>Tűzoltó laktanya felújítása</t>
  </si>
  <si>
    <t>Alapfokú végzettségű pedagógus II. kategóriába sorolt óvodapedagógusok kiegészítő támogatása, akik a minősítést a 2018. január 1-jei átsorolással szerezték meg</t>
  </si>
  <si>
    <t>Alapfokú végzettségű mesterpedagógus kategóriába sorolt óvodapedagógusok kiegészítő támogatása, akik a minősítést a 2018. január 1-jei átsorolással szerezték meg</t>
  </si>
  <si>
    <t>58/2015.(III.26) Kt. hat.  TOP-1.1.1-15-BK1-2016-00006 - "Iparterület fejlesztése Jánoshalmán" c. projekt</t>
  </si>
  <si>
    <t>58/2015.(III.26) Kt. hat.  TOP-1.1.2-16-BK1 - "Jánoshalma térségi szerepének erősítése a mezőgazdaságban" c. projekt (előzetes tanulmányok, engedélyezési dokumentumok költségei)</t>
  </si>
  <si>
    <t>58/2015.(III.26) Kt. hat.  TOP-1.1.3-16-BK1 - "Agrárlogisztikai központ építése Jánoshalmán c. projekt (előzetes tanulmányok, engedélyezési dokumentumok költségei)</t>
  </si>
  <si>
    <t>58/2015.(III.26) Kt. hat.  TOP-2.1.3-16-BK1 - "Jánoshalma belvíz elvezetése I. ütem" c. projekt</t>
  </si>
  <si>
    <t>Viziközművek felújítása a viziközművek 2018. évi bérleti díj bevételéből</t>
  </si>
  <si>
    <t>58/2015.(III.26) Kt. hat. TOP-2.1.2-16-BK1 - "Zöld tér felújítása Jánoshalmán" c. projekt (előzetes tanulmányok, engedélyezési dokumentumok költségei)</t>
  </si>
  <si>
    <t xml:space="preserve">173/2017.(X.26.) Kt. hat. Pályázati önerő - MLSZ "Telephely korszerűsítési program" pályázathoz </t>
  </si>
  <si>
    <t xml:space="preserve">207/2017.(XI.29.) Kt. hat. Pályázati önerő - MLSZ "Kedvezményes pályaépítési program" pályázathoz </t>
  </si>
  <si>
    <t xml:space="preserve">168/2017.(IX.28.) Kt. hat. Pályázati önerő - a konyhafejlesztésre benyújtott VP 6-7.2.1-7.4.1.3-17 kódszámú pályázathoz </t>
  </si>
  <si>
    <t>Fényképezőgép, területmérő, további eszközbeszerzések</t>
  </si>
  <si>
    <t xml:space="preserve">Fejlesztési célú tartalék - kötelező elektronikus ügyintézéshez kapcsolódó biztonsági előírások teljesítésére (2015. évi CCXXII. tv.) </t>
  </si>
  <si>
    <t>72/2017.(IV.20.) Kt. hat. Belterületi utak, járdák felújítása (önerő és központi támogatás)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</si>
  <si>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</si>
  <si>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</si>
  <si>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</si>
  <si>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</si>
  <si>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</si>
  <si>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</si>
  <si>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</si>
  <si>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</si>
  <si>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</si>
  <si>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</si>
  <si>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</si>
  <si>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"A Jánoshalmi Művésztelep energetikai felújítása" (Vidékfejlesztési Program)</t>
  </si>
  <si>
    <t>Felújítási kiadások (elszámolható)</t>
  </si>
  <si>
    <t>Felújítási kiadások (nem elszámolható)</t>
  </si>
  <si>
    <t>A 2018. évi költségvetésben tervezett, EU-forrásból finanszírozott  támogatással megvalósuló projektek kiadásai, a helyi önkormányzat ilyen projektekhez történő hozzájárulásai</t>
  </si>
  <si>
    <t xml:space="preserve">2018. évi költségvetésben tervezett kiadási előirányzatok   </t>
  </si>
  <si>
    <t>A helyi önkormányzat által irányított költségvetési szervek 2018. évi költségvetési kiadásai feladatonként</t>
  </si>
  <si>
    <t>Gyermekvédelmi pénzbeli és természetbeni ellátások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</si>
  <si>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</si>
  <si>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</si>
  <si>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</si>
  <si>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</si>
  <si>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</si>
  <si>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</si>
  <si>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</si>
  <si>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Közvetített szolg. értéke (műv. okt. rezsi ktg.)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</si>
  <si>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</si>
  <si>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</si>
  <si>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</si>
  <si>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Imre Zoltán Kulturális Központ és Könyvtár kiadásai össz.:</t>
  </si>
  <si>
    <t>018010</t>
  </si>
  <si>
    <t>102031</t>
  </si>
  <si>
    <t>Idősek nappali ellátása</t>
  </si>
  <si>
    <t>107013</t>
  </si>
  <si>
    <t>Hajléktalanok átmeneti ellátása - éjjeli menedékhelyen</t>
  </si>
  <si>
    <t>107015</t>
  </si>
  <si>
    <t>Hajléktalanok nappali ellátása - Nappali melegedő</t>
  </si>
  <si>
    <t>107052</t>
  </si>
  <si>
    <t>Házi segítségnyújtás</t>
  </si>
  <si>
    <t>36</t>
  </si>
  <si>
    <t>37</t>
  </si>
  <si>
    <t>Szoc. tv. 86.§ (1) d,</t>
  </si>
  <si>
    <t xml:space="preserve">Mötv. 13.§ (1) 10. </t>
  </si>
  <si>
    <t>Hajléktalanok átmeneti ellátása</t>
  </si>
  <si>
    <t>Hajléktalanok nappali ellátása</t>
  </si>
  <si>
    <t>Szoc. tv. 86.§ (1) c,</t>
  </si>
  <si>
    <t>38</t>
  </si>
  <si>
    <t>39</t>
  </si>
  <si>
    <t>51/2016.(III.24.) Kt. Hat. Jánoshalmi Művésztelep energetikai felújítása, közösségi terek fejlesztése pályázati  önerő és támogatás, 16/2018. (I.25) Kt. hat. alapján 670eFt + Áfa keretösszeg biztosítása kiviteli tervek elkészítésére és tervezői művezetésre</t>
  </si>
  <si>
    <t>224/2017.(XII.14) Kt. hat.  VP6-19.2.1-32-1-17  "Települések élhetőbbé tétele" c. pályázathoz önerő  és 20 eFt keret a nem elszámolható költségekre (gépjármű tároló építése a Mélykúti u. 7. sz. alatt) 17/2018.(I.25) Kt. hat. alapján nem elszámolható kiadásokra 495.250,- Ft keretösszeg</t>
  </si>
  <si>
    <t xml:space="preserve">2018. évi költségvetésben tervezett bevételi előirányzatok    </t>
  </si>
  <si>
    <t>Integrált térségi gyermekprogramok  - "Együtt könnyebb" komplex prevenciós és társadalmi felzárkóztató program a gyermekszegénység ellen (EFOP-1.4.2-16-2016-00020)</t>
  </si>
  <si>
    <t>Önkormányzati bérlakások felújítása</t>
  </si>
  <si>
    <t>Jánoshalma Radnóti u. 13. (volt Gimnázium épület) tetőfeljújítása</t>
  </si>
  <si>
    <t>082091</t>
  </si>
  <si>
    <t>Országgyűlési képviselők 2018. évi választása</t>
  </si>
  <si>
    <t>EFOP-3.2.9-16-2016-00044 "Segítsd, hogy segíthessen!" c. projekt</t>
  </si>
  <si>
    <t>EFOP-3.9.2-16-2017-00057 "Járásokat összekötő humán kapacitások fejlesztése térségi szemléletben" c. projekt</t>
  </si>
  <si>
    <t xml:space="preserve">Államháztartáson belüli megelőlegezések </t>
  </si>
  <si>
    <t>Közművelődés-közösségi és társadalmi részvétel fejlesztése (EFOP-3.3.2-16-2016-00284 projekt)</t>
  </si>
  <si>
    <t>40</t>
  </si>
  <si>
    <t>2013. évi XXXVI.törvány a választási eljárásról</t>
  </si>
  <si>
    <t>Ve.</t>
  </si>
  <si>
    <t>8 Általános gazd-i és kereskedelmi ügyek igazgatása</t>
  </si>
  <si>
    <t>TOP-1.1.1-15 BK1-2016-00006 "Iparterület fejlesztése Jánoshalmán" c. projekt</t>
  </si>
  <si>
    <t>TOP-1.1.2-16 BK1 "Jánoshalma térségi szerepének erősítése a mezőgazdaságban" c. projekt</t>
  </si>
  <si>
    <t>TOP-1.1.3-16 BK1 "Agrárlogisztikai központ építése Jánoshalmán" c. projekt</t>
  </si>
  <si>
    <t>EFOP-1.4.2-16  "Együtt könnyebb" c. projekt</t>
  </si>
  <si>
    <t>EFOP-1.5.3-16-2017-00082 "Együtt vagyunk, otthon vagyunk és itt maradunk" c. projekt</t>
  </si>
  <si>
    <t>Startmunka programok működési c. támogatás</t>
  </si>
  <si>
    <t>Hosszabb időtartamú közfogl. működési c. tám.</t>
  </si>
  <si>
    <t>EFOP-1.5.3-16-2017-00082"Együtt vagyunk, otthon vagyunk…"pr. felh. c. tám.</t>
  </si>
  <si>
    <t>EFOP-1.5.3-16-2017-00082"Együtt vagyunk, otthon vagyunk…"pr. műk. c. tám.</t>
  </si>
  <si>
    <t>EFOP-3.9.2-16-2017-00057 "Járásokat összekötő humán kapacitások..."pr. műk. c. tám.</t>
  </si>
  <si>
    <t>EFOP-3.3.2-16-2016-00284 "Kultúrával az oktatás színesítéséért"pr. műk. c. tám.</t>
  </si>
  <si>
    <t>EFOP-3.3.2-16-2016-00284 "Kultúrával az oktatás színesítéséért"pr. felh. c. tám.</t>
  </si>
  <si>
    <t>2018. évi bérkompenzáció támogatása</t>
  </si>
  <si>
    <t>Helyi önkormányzatok működésének ált. tám.</t>
  </si>
  <si>
    <t>EFOP-3.9.2-16-2017-00057 "Járásokat összekötő humán kapacitások..."pr. felh. c. tám.</t>
  </si>
  <si>
    <t>Működési célú maradvány igénybevétele "Segítsd, hogy segíthessen!" pr.</t>
  </si>
  <si>
    <t>Felhalm. célú maradvány igénybevétele "Segítsd, hogy segíthessen!" pr.</t>
  </si>
  <si>
    <t>2017. decemberi bérkompenzáció</t>
  </si>
  <si>
    <t>Bölcsődei pótlék</t>
  </si>
  <si>
    <t>2017. december havi bérkompenzáció (68.320-8.784,-=59.536,-Ft), szoc. ágazati összevont pótlék (9.189.220,- Ft) támogatása</t>
  </si>
  <si>
    <t>Bölcsőde 2017. december havi bérkompenzáció 8.784,- Ft, 2018. évi tervezett bérkompenzáció 78.870,-Ft.</t>
  </si>
  <si>
    <t xml:space="preserve">Kulturális illetménypótlék 2018. évi terv </t>
  </si>
  <si>
    <t>2018. március hónapban indult hosszabb időtartamú közfoglalkoztatás beruházási kiadása</t>
  </si>
  <si>
    <t>2018. március hónapban indult járási startmunka mintaprogramok - közfoglalkoztatás beruházási kiadása</t>
  </si>
  <si>
    <t>EFOP-1.5.3-16-2017-00082 "Együtt vagyunk, otthon vagyunk és itt maradunk" projekt keretében játszótér felújítás</t>
  </si>
  <si>
    <t>EFOP-3.3.2-16-2016-00284 "Kulturával az oktatás színesítéséért" projekt eszközbeszerzései</t>
  </si>
  <si>
    <t>EFOP-1.5.3-16-2017-00082 "Együtt vagyunk, otthon vagyunk és itt maradunk" projekt beruházási kiadása (eszközbeszerzések, Imre Z. Műv. Közp. klimatizálása)</t>
  </si>
  <si>
    <t>Gyermeklánc Óvoda és Bölcsőde, Család- és Gyermekjóléti Központ  összesen:</t>
  </si>
  <si>
    <t>1 db Voice-Kraft VK UFX-16 zenekari keverőpult</t>
  </si>
  <si>
    <t xml:space="preserve">EFOP-3.9.2-16-2017-00057 "Járásokat összekötő humán kapacitások fejlesztése térségi szemléletben" projekt beruházási kiadása </t>
  </si>
  <si>
    <t xml:space="preserve">EFOP-3.2.9-16-2016-00044 "Segítsd, hogy segíthessen!" projekt beruházási kiadása </t>
  </si>
  <si>
    <t>2018. évi bérkompenzáció</t>
  </si>
  <si>
    <t>IV.3.</t>
  </si>
  <si>
    <t>Kulturális illetménypótlék</t>
  </si>
  <si>
    <t>Bölcsődében foglalkoztatott középfokú végzettséggel rendelkező kisgyermeknevelőt megillető bölcsődei pótlék</t>
  </si>
  <si>
    <t>3. melléklet jogcímei mindösszesen:</t>
  </si>
  <si>
    <t>a Magyarország 2018. évi központi költségvetéséről szóló 2017. évi C. törvény 2. sz. és 3. sz. mellékletének jogcímei szerint</t>
  </si>
  <si>
    <t>"Együtt vagyunk, otthon vagyunk és itt maradunk" c. projekt (EFOP-1.5.3-16-2017-00082)</t>
  </si>
  <si>
    <t>Támogatás (elszámolható)</t>
  </si>
  <si>
    <t xml:space="preserve">"Kulturával az oktatás színesítéséért" c. projekt (EFOP-3.3.2-16-2016-00284) </t>
  </si>
  <si>
    <t>Fejlesztési célú tartalék - kötelező elektronikus ügyintézéshez kapcsolódó biztonsági előírások teljesítésére</t>
  </si>
  <si>
    <t>Q</t>
  </si>
  <si>
    <t>Ügyeleti ellátáshoz önkormányzatoktól átvett pénzeszköz</t>
  </si>
  <si>
    <t>"Segítsd, hogy segíthessen!" c. projekt (EFOP-3.2.9-16-2016-00044)</t>
  </si>
  <si>
    <t xml:space="preserve">"Járásokat összekötő humán kapacitások fejlesztése térségi szemléletben" c. projekt (EFOP-3.9.2-16-2017-00057) </t>
  </si>
  <si>
    <t>Jánoshalma Városi Önkormányzat ASP központhoz való csatlakozása (KÖFOP-1.2.1-VEKOP-16-2017-00938)</t>
  </si>
  <si>
    <t>Tervezett tartalékok</t>
  </si>
  <si>
    <t>Vis maior tartalék (működési)</t>
  </si>
  <si>
    <t>Céltartalék (működési)</t>
  </si>
  <si>
    <t>Környezetvédelmi alap a 2018. évre tervezett talajterhelési díj bevételből</t>
  </si>
  <si>
    <t xml:space="preserve">A Városgazda Kft. központi irányítási feladatainak támogatására </t>
  </si>
  <si>
    <t>Általános tartalék (működési)</t>
  </si>
  <si>
    <t xml:space="preserve">Általános tartalék </t>
  </si>
  <si>
    <t>Működési tartalékok összesen (I.):</t>
  </si>
  <si>
    <t>Céltartalék (felhalmozási)</t>
  </si>
  <si>
    <t xml:space="preserve">Kötelező elektronikus ügyintézéshez kapcsolódó biztonsági előírások teljesítésére (2015. évi CCXXII. tv.) </t>
  </si>
  <si>
    <t>Felhalmozási tartalékok összesen (II.):</t>
  </si>
  <si>
    <t>Tartalékok mindösszesen (I.+II.)</t>
  </si>
  <si>
    <t>353/2011. (XII. 30.) Korm. rendelet 2.§ (1) bek. szerinti saját bevétel összege az adósságot keletkeztető ügyletek (viziközmű-társulati hitel kapcsán vállalt készfizető kezesség) 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</si>
  <si>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</si>
  <si>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</si>
  <si>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</si>
  <si>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</si>
  <si>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</si>
  <si>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</si>
  <si>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</si>
  <si>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</si>
  <si>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46/2018.(III.29) Kt. hat. KEOP-4.2.0/A/11-2011-0260 pályázat (Hunyadi János Ált. Isk. napelemes rendszer kiépítése) fenntartási jelentésének javítása</t>
  </si>
  <si>
    <t>47/2018.(III.29) Kt. hat. Bajai u. 4. sz. alatti ingatlan elektromos tűzvédelmi felülvizsgálata</t>
  </si>
  <si>
    <t>48/2018.(III.29) Kt. hat. Bernáth Zoltán utcán fekvőrendőr elhelyezése</t>
  </si>
  <si>
    <t>52/2018.(III.29) Kt. hat. Munka- és tűzvédelmi feladatok ellátása</t>
  </si>
  <si>
    <t>62/2018.(IV.26) Kt. hat. Ipari területen figyelő kutak vízmintavételi költsége</t>
  </si>
  <si>
    <t>63/2018.(IV.26) Kt. hat. Önkormányzati feladatellátást szolgáló fejlesztések (Óvoda fejlesztés) támogatása pályázati önerő</t>
  </si>
  <si>
    <t>64/2018.(IV.26) Kt. hat. Közbeszerzési szabályzat készítésének költsége</t>
  </si>
  <si>
    <t>65/2018.(IV.26) Kt. hat. "Kedvezményes Pályaépítési Program" kivitelezési munkálatai</t>
  </si>
  <si>
    <t>67/2018.(IV.26) Kt. hat. Kistérségi infokommunikációs vagyon megoszlásának feltárásához fedezet biztosítása</t>
  </si>
  <si>
    <t>70/2018.(IV.26) Kt. hat. A naperőmű park KÁT-METÁR rendszerhez történő csatlakozása</t>
  </si>
  <si>
    <t>Alaptevékenység maradványából képzett tartalék</t>
  </si>
  <si>
    <t>2017. évi alaptevékenység maradványából tartalék képzés</t>
  </si>
  <si>
    <t>2017. évi maradványt terhelő kötelezettségek</t>
  </si>
  <si>
    <t>Vállalkozási tevékenység maradványából képzett tartalék</t>
  </si>
  <si>
    <t>2017. évi vállalkozási tevékenység maradványából tartalék képzés</t>
  </si>
  <si>
    <t>Környezetvédelmi alap (előző évek maradványa)</t>
  </si>
  <si>
    <t>Környezetvédelmi alap összesen:</t>
  </si>
  <si>
    <t>A Városgazda Kft. központi irányítási feladatainak támogatására összesen:</t>
  </si>
  <si>
    <t>Céltartalék (működési) összesen:</t>
  </si>
  <si>
    <t>Céltartalék- viziközművek bérleti díj bevétel maradványa előző évekről</t>
  </si>
  <si>
    <t>Egyéb műk. c. támogatások államháztartáson belülre</t>
  </si>
  <si>
    <t xml:space="preserve">K506 </t>
  </si>
  <si>
    <t>Fejlesztési célú tartalék - viziközművek fejlesztésére</t>
  </si>
  <si>
    <t>5.3. Egyéb műk. célú támogatások államh.-on belülre</t>
  </si>
  <si>
    <t>5.4. Egyéb műk. célú támogatások államh.-on kívülre</t>
  </si>
  <si>
    <t>5.5. Tartalékok</t>
  </si>
  <si>
    <t>Óvodai nevelés, ellátás működtetési feladatai</t>
  </si>
  <si>
    <t>Szennyvízcsatorna építése, fenntartása, üzemeltetése</t>
  </si>
  <si>
    <t>Műk. célú tám. ÁH-on belülre</t>
  </si>
  <si>
    <t>Vállalk. maradv-ból képzett tartalék</t>
  </si>
  <si>
    <t>Alaptev. maradványból képzett tartalék</t>
  </si>
  <si>
    <t>Fejlesztési tartalék - Viziközművek fejlesztésére</t>
  </si>
  <si>
    <t>049010</t>
  </si>
  <si>
    <t>Máshova nem sorolt gazdasági ügyek</t>
  </si>
  <si>
    <t>082042</t>
  </si>
  <si>
    <t>22. Egészségügyi ellátás</t>
  </si>
  <si>
    <t>41</t>
  </si>
  <si>
    <t>42</t>
  </si>
  <si>
    <t>Viziközmű számla - átvett pénzeszköz</t>
  </si>
  <si>
    <t>Kéményseprő-ipari közszolgáltatás támogatása</t>
  </si>
  <si>
    <t>Könyvtári érdekeltségnövelő támogatás</t>
  </si>
  <si>
    <t>Nyitnikék Gyerekház EMMI-fejezeti fejl. c. támogatása</t>
  </si>
  <si>
    <t>TOP 1.4.1-16-BK1-2017-00002 Bölcsődei fejleszt. tám.</t>
  </si>
  <si>
    <t>Egyedi költségvetési támogatás</t>
  </si>
  <si>
    <t>Bernáth Zoltán utcán fekvőrendőr elhelyezése</t>
  </si>
  <si>
    <t>Önkormányzati feladatellátást szolgáló fejlesztések tám. pályázat - Óvoda fejlesztés önerő</t>
  </si>
  <si>
    <t>207/2017.(XI.29.) Kt. és 65/2018(IV.26.) Kt.  határozatok  MLSZ "Kedvezményes pályaépítési program" pályázathoz szükséges tervrajz készítése, kivitelezési munkák</t>
  </si>
  <si>
    <t>89/2018.(V.24.) Kt. határozat  MLSZ "Telephely korszerűsítési program" megnövekedett önrész és szakfelügyeleti költségek biztosítása</t>
  </si>
  <si>
    <t>Tűzoltóság eszközbeszerzése (TV készülék, 5db Rugged Leather Case with LG stud készülék)</t>
  </si>
  <si>
    <t>Bölcsődei udvar kialakítása - Bölcsőde</t>
  </si>
  <si>
    <t>Egyéb tárgyi eszközök beszerzése, Microsoft Office program  - Család- és Gyermekjóléti Központ</t>
  </si>
  <si>
    <t>Egyéb tárgyi eszközök beszerzése, Microsoft Office program - Család- és Gyermekjóléti Szolgálat</t>
  </si>
  <si>
    <t xml:space="preserve">Egyéb tárgyi eszközök beszerzése (Panda vírusírtó 10.000 Ft + Áfa /gép (Jánoshalmi óvoda 9 gép, Nyitnikék Gyerekház 2 gép), Microsoft Office program, fűnyíró) </t>
  </si>
  <si>
    <t>Nyitnikék Gyerekház- felújítási munkálatok Dózsa Gy. u.</t>
  </si>
  <si>
    <t xml:space="preserve">TOP-1.4.1-16-BK1-2017-00002 "Bölcsődei fejlesztések Bács-Kiskun megyében" projekt beruházási kiadása </t>
  </si>
  <si>
    <t>Szennyvízberuházással kapcsolatos érdekeltségi hozzájárulások lakossági elszámolásából fakadó visszafizetési kötelezettség</t>
  </si>
  <si>
    <t xml:space="preserve">Fejlesztési célú tartalék - viziközművek előző évek bérleti díj bevételéből (szerződés szerint viziközművek fejlesztésére fordítandó a szolgáltatóval történő egyeztetés alapján) </t>
  </si>
  <si>
    <t>Kéményseprő-ipari közszolgáltatás helyi önkormányzat általi ellátásának támogatása</t>
  </si>
  <si>
    <t>2.</t>
  </si>
  <si>
    <t>IV.1.i</t>
  </si>
  <si>
    <t>A települési önkormányzatok könyvtári célú érdekeltségnövelő támogatása</t>
  </si>
  <si>
    <t>Háziorvosi Ügyeleti szolgálat - 1 db heverő nővér szobába, 1 db telefon, 1 db hordozható defibrillátor akku, 1 db tápegység, 1 db szünetmentes táp APC, 1 db HDD 500 GB</t>
  </si>
  <si>
    <t>TOP-1.4.1-16-BK1-2017-00002 "Bölcsődei fejlesztések Bács-Kiskun megyében" c. projekt</t>
  </si>
  <si>
    <t>4 db szavazófülke vásárlása választáshoz</t>
  </si>
  <si>
    <t>Nyitnikék Gyerekház fejlesztőeszközök beszerzése, tárolóhely kialakítás</t>
  </si>
  <si>
    <t>104031</t>
  </si>
  <si>
    <t>TOP-1.4.1-16-BK1-2017-00002 "Bölcsődei fejlesztések Bács-Kiskun megyében" projekt</t>
  </si>
  <si>
    <t>35 A gyermekek, fiatalok és családok életminőségét javító programok</t>
  </si>
  <si>
    <t>43</t>
  </si>
  <si>
    <t>"Bölcsődei fejlesztések Bács-Kiskun megyében"  (TOP-1.4.1-16-BK1-2017-00002)</t>
  </si>
  <si>
    <t>44</t>
  </si>
  <si>
    <t>45</t>
  </si>
  <si>
    <t xml:space="preserve">A helyi önkormányzat és költségvetési szervei engedélyezett létszáma és a közfoglalkoztatottak létszáma 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</si>
  <si>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</si>
  <si>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</si>
  <si>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</si>
  <si>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</si>
  <si>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</si>
  <si>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</si>
  <si>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</si>
  <si>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</si>
  <si>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</si>
  <si>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</si>
  <si>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</si>
  <si>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</si>
  <si>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Jánoshalmi tagóvodák                          </t>
  </si>
  <si>
    <t xml:space="preserve">- Óvónő </t>
  </si>
  <si>
    <t>- Pedagógiai asszisztens</t>
  </si>
  <si>
    <t xml:space="preserve">- Óvodai dajka </t>
  </si>
  <si>
    <t>- Óvodatitkár</t>
  </si>
  <si>
    <t>- Technikai dolgozók  (2 fő részfoglalk. napi 4 órában)</t>
  </si>
  <si>
    <t>Bölcsődei csoport</t>
  </si>
  <si>
    <t>Felsőfokú végzettségű kisgyermeknevelő</t>
  </si>
  <si>
    <t>Középfokú végzettségű kisgyermeknevelő</t>
  </si>
  <si>
    <t>Bölcsődei dajka</t>
  </si>
  <si>
    <t xml:space="preserve">Nyitnikék Gyerekház </t>
  </si>
  <si>
    <t>Gyermekház vezető</t>
  </si>
  <si>
    <t>Szakmai munkatárs</t>
  </si>
  <si>
    <t>Kéleshalmi tagintézmény</t>
  </si>
  <si>
    <t>- Óvónő</t>
  </si>
  <si>
    <t>- Óvodai dajka</t>
  </si>
  <si>
    <t>- Szakmai vezető</t>
  </si>
  <si>
    <t>- Esetmenedzser és tanácsadó</t>
  </si>
  <si>
    <t>- Esetmenedzser és tanácsadó (részfoglalk. napi 4 órában)</t>
  </si>
  <si>
    <t>- Esetmenedzser és tanácsadó (részfoglalk. napi 5 órában)</t>
  </si>
  <si>
    <t>- Szakmai vezető (részfoglalk. napi 4 órában)</t>
  </si>
  <si>
    <t>- Családsegítő</t>
  </si>
  <si>
    <t>EFOP-3.9.2-16-2017-00057 "Járásokat összekötő humán kapacitások fejlesztése térségi szemléletben" projekt</t>
  </si>
  <si>
    <t>Óvodapedagógus</t>
  </si>
  <si>
    <t>Gyógytornász</t>
  </si>
  <si>
    <t>EFOP-3.2.9-16-2016-00044 "Segítsd, hogy segíthessen!" projekt</t>
  </si>
  <si>
    <t>Szociális segítő</t>
  </si>
  <si>
    <t xml:space="preserve">- Köztisztviselők                      </t>
  </si>
  <si>
    <t>- MT hatálya alá tartozó munkavállaló</t>
  </si>
  <si>
    <t>Önkormányzati tisztségviselők</t>
  </si>
  <si>
    <t>- Polgármester</t>
  </si>
  <si>
    <t>- Főállású alpolgármester</t>
  </si>
  <si>
    <t>Önkormányzati Tűzoltóság</t>
  </si>
  <si>
    <t>- Vonuló tűzoltók</t>
  </si>
  <si>
    <t>Építményüzemeltetés</t>
  </si>
  <si>
    <t>- Gazdasági ügyintéző (Gyermeklánc Óvoda számviteli-gazdálkodási feladatai)</t>
  </si>
  <si>
    <t>Gyermekétkeztetés</t>
  </si>
  <si>
    <t>- Gazdasági ügyintéző (térítési díjak beszedése, étkezők nyilvántartása)</t>
  </si>
  <si>
    <t>Igazgatási tevékenység</t>
  </si>
  <si>
    <t>- Szociális segítő</t>
  </si>
  <si>
    <t>- Közfoglalkoztatási ügyintéző</t>
  </si>
  <si>
    <t>Ügyeleti Szolgálat</t>
  </si>
  <si>
    <t>- Gépkocsivezető</t>
  </si>
  <si>
    <t>Védőnői Szolgálat</t>
  </si>
  <si>
    <t>- Védőnők</t>
  </si>
  <si>
    <t>EFOP-1.4.2-16-2016-00020 "Együtt könnyebb" komplex prevenciós és társadalmi felzárkóztató program a gyermekszegénység ellen (GYEP-II.)</t>
  </si>
  <si>
    <t>- Pénzügyi vezető (részmunkaidős napi 4 órában)</t>
  </si>
  <si>
    <t>- Projektmenedzser (részmunkaidős napi 4 órában)</t>
  </si>
  <si>
    <t>- Szakmai munkatárs</t>
  </si>
  <si>
    <t>- Szakterületi koordinátor (teljes munkaidős)</t>
  </si>
  <si>
    <t>- Szakterületi koordinátor (1 fő napi 4 órában)</t>
  </si>
  <si>
    <t>- Szakmai asszisztens</t>
  </si>
  <si>
    <t>EFOP-1.5.3-16-2017-00082 "Együtt vagyunk, otthon vagyunk és itt maradunk" projekt</t>
  </si>
  <si>
    <t xml:space="preserve">Prevenciós munkatárs </t>
  </si>
  <si>
    <t>Ifjúsági referens</t>
  </si>
  <si>
    <t>Szatyorközösség vezető</t>
  </si>
  <si>
    <t>Közösségszervező</t>
  </si>
  <si>
    <t>EFOP-3.3.2-16-2016-00284 "Kultúrával az oktatás színesítéséért" projekt</t>
  </si>
  <si>
    <t>Szakmai vezető</t>
  </si>
  <si>
    <t xml:space="preserve">- Könyvtáros                      </t>
  </si>
  <si>
    <t>- Művelődésszervező</t>
  </si>
  <si>
    <t>- Technikus</t>
  </si>
  <si>
    <t>- Adminisztrátor</t>
  </si>
  <si>
    <t>HELYI ÖNKORMÁNYZAT ÉS INTÉZMÉNYEI ÖSSZESEN:</t>
  </si>
  <si>
    <t xml:space="preserve">Közfoglalkoztatás </t>
  </si>
  <si>
    <t>Start-munka program - Téli közfoglalkoztatás (2017. évről áthúzódó programok 2018.02.28-ig)</t>
  </si>
  <si>
    <t>Bio- és megújuló energia felhasználás programelem</t>
  </si>
  <si>
    <t>Belterületi közutak karbantartása programelem</t>
  </si>
  <si>
    <t>Belvízelvezetés programelem</t>
  </si>
  <si>
    <t>Start-munka program - Téli közfoglalkoztatás (2018. március 1-től indult programok 2019.02.28-ig)</t>
  </si>
  <si>
    <t>Illegális hulladéklerakóhelyek felszámolása programelem</t>
  </si>
  <si>
    <t>Hosszabb időtartamú közfoglalkoztatás (2017. évről áthúzódó programok 2018.02.28-ig)</t>
  </si>
  <si>
    <t>12 fő álláskereső közfoglalkoztatása (Roma védőháló)</t>
  </si>
  <si>
    <t>72 fő álláskereső közfoglalkoztatása (Intézményes)</t>
  </si>
  <si>
    <t>Hosszabb időtartamú közfoglalkoztatás (2018. március 1-től indult programok 2019.02.28-ig)</t>
  </si>
  <si>
    <t>94 fő álláskereső közfoglalkoztatása</t>
  </si>
  <si>
    <t>KÖZFOGLALKOZTATOTTAK LÉTSZÁMA ÖSSZESEN:</t>
  </si>
  <si>
    <t>Bethlen G. Alap- Jánoshalmi Napok 2018. tám.</t>
  </si>
  <si>
    <t>1. melléklet a 6/2018.(VI.28.) önkormányzati rendelethez</t>
  </si>
  <si>
    <t>2. melléklet a 6/2018.(VI.28.) önkormányzati rendelethez</t>
  </si>
  <si>
    <t>3. melléklet a 6/2018.(VI.28.) önkormányzati rendelethez</t>
  </si>
  <si>
    <t>4. melléklet a 6/2018.(VI.28.) önkormányzati rendelethez</t>
  </si>
  <si>
    <t>5. melléklet a 6/2018.(VI.28.) önkormányzati rendelethez</t>
  </si>
  <si>
    <t>6. melléklet a 6/2018.(VI.28.) önkormányzati rendelethez</t>
  </si>
  <si>
    <t>7. melléklet a 6/2018.(VI.28.) önkormányzati rendelethez</t>
  </si>
  <si>
    <t>8. melléklet a 6/2018. (VI.28.) önkormányzati rendelethez</t>
  </si>
  <si>
    <t>9. melléklet a 6/2018.(VI.28.) önkormányzati rendelethez</t>
  </si>
  <si>
    <t>10. melléklet a 6/2018.(VI.28.) önkormányzati rendelethez</t>
  </si>
  <si>
    <t>11. melléklet a 6/2018. (VI.28.) önkormányzati rendelethez</t>
  </si>
  <si>
    <t>12. melléklet a 6/2018. (VI.28.) önkormányzati rendelethez</t>
  </si>
  <si>
    <t>13. melléklet a 6/2018. (VI.28.)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</si>
</sst>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1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b/>
      <sz val="13"/>
      <name val="Arial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i/>
      <sz val="11"/>
      <name val="Times New Roman"/>
      <family val="1"/>
    </font>
    <font>
      <i/>
      <sz val="10"/>
      <name val="Arial CE"/>
      <family val="0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/>
      <right style="medium"/>
      <top style="thick"/>
      <bottom style="thick"/>
    </border>
    <border>
      <left style="medium"/>
      <right>
        <color indexed="63"/>
      </right>
      <top style="thick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19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21" borderId="7" applyNumberFormat="0" applyFont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101" fillId="28" borderId="0" applyNumberFormat="0" applyBorder="0" applyAlignment="0" applyProtection="0"/>
    <xf numFmtId="0" fontId="102" fillId="29" borderId="8" applyNumberFormat="0" applyAlignment="0" applyProtection="0"/>
    <xf numFmtId="0" fontId="1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7" fillId="29" borderId="1" applyNumberFormat="0" applyAlignment="0" applyProtection="0"/>
    <xf numFmtId="9" fontId="0" fillId="0" borderId="0" applyFont="0" applyFill="0" applyBorder="0" applyAlignment="0" applyProtection="0"/>
  </cellStyleXfs>
  <cellXfs count="1333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3" fillId="0" borderId="22" xfId="61" applyNumberFormat="1" applyBorder="1" applyAlignment="1">
      <alignment vertical="center"/>
      <protection/>
    </xf>
    <xf numFmtId="3" fontId="13" fillId="0" borderId="0" xfId="61" applyNumberFormat="1">
      <alignment/>
      <protection/>
    </xf>
    <xf numFmtId="0" fontId="13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3" fillId="0" borderId="0" xfId="61" applyNumberFormat="1">
      <alignment/>
      <protection/>
    </xf>
    <xf numFmtId="0" fontId="25" fillId="0" borderId="0" xfId="0" applyFont="1" applyFill="1" applyAlignment="1">
      <alignment vertical="center"/>
    </xf>
    <xf numFmtId="0" fontId="16" fillId="0" borderId="0" xfId="57" applyFont="1">
      <alignment/>
      <protection/>
    </xf>
    <xf numFmtId="0" fontId="15" fillId="0" borderId="0" xfId="57" applyFont="1" applyAlignment="1">
      <alignment vertical="center"/>
      <protection/>
    </xf>
    <xf numFmtId="0" fontId="17" fillId="0" borderId="22" xfId="57" applyFont="1" applyBorder="1" applyAlignment="1">
      <alignment horizontal="center" vertical="center" wrapText="1"/>
      <protection/>
    </xf>
    <xf numFmtId="0" fontId="19" fillId="0" borderId="22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9" fillId="0" borderId="0" xfId="57" applyFont="1">
      <alignment/>
      <protection/>
    </xf>
    <xf numFmtId="0" fontId="18" fillId="0" borderId="22" xfId="57" applyFont="1" applyBorder="1">
      <alignment/>
      <protection/>
    </xf>
    <xf numFmtId="0" fontId="18" fillId="0" borderId="0" xfId="57" applyFont="1">
      <alignment/>
      <protection/>
    </xf>
    <xf numFmtId="0" fontId="22" fillId="0" borderId="0" xfId="57" applyFont="1">
      <alignment/>
      <protection/>
    </xf>
    <xf numFmtId="0" fontId="23" fillId="0" borderId="0" xfId="57" applyFont="1">
      <alignment/>
      <protection/>
    </xf>
    <xf numFmtId="0" fontId="22" fillId="0" borderId="22" xfId="57" applyFont="1" applyBorder="1">
      <alignment/>
      <protection/>
    </xf>
    <xf numFmtId="0" fontId="24" fillId="0" borderId="0" xfId="57" applyFont="1">
      <alignment/>
      <protection/>
    </xf>
    <xf numFmtId="0" fontId="18" fillId="0" borderId="0" xfId="57" applyFont="1" applyBorder="1">
      <alignment/>
      <protection/>
    </xf>
    <xf numFmtId="0" fontId="22" fillId="0" borderId="22" xfId="57" applyFont="1" applyBorder="1" applyAlignment="1">
      <alignment horizontal="left" vertical="center" indent="2"/>
      <protection/>
    </xf>
    <xf numFmtId="16" fontId="22" fillId="0" borderId="22" xfId="57" applyNumberFormat="1" applyFont="1" applyBorder="1" applyAlignment="1">
      <alignment horizontal="left" vertical="center" indent="2"/>
      <protection/>
    </xf>
    <xf numFmtId="0" fontId="22" fillId="0" borderId="22" xfId="57" applyFont="1" applyBorder="1" applyAlignment="1">
      <alignment horizontal="left" indent="2"/>
      <protection/>
    </xf>
    <xf numFmtId="3" fontId="19" fillId="0" borderId="22" xfId="42" applyNumberFormat="1" applyFont="1" applyBorder="1" applyAlignment="1">
      <alignment horizontal="right"/>
    </xf>
    <xf numFmtId="3" fontId="18" fillId="0" borderId="22" xfId="42" applyNumberFormat="1" applyFont="1" applyBorder="1" applyAlignment="1">
      <alignment horizontal="right"/>
    </xf>
    <xf numFmtId="3" fontId="22" fillId="0" borderId="22" xfId="42" applyNumberFormat="1" applyFont="1" applyBorder="1" applyAlignment="1">
      <alignment horizontal="right"/>
    </xf>
    <xf numFmtId="0" fontId="26" fillId="0" borderId="22" xfId="57" applyFont="1" applyBorder="1" applyAlignment="1">
      <alignment horizontal="left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3" fontId="26" fillId="0" borderId="22" xfId="42" applyNumberFormat="1" applyFont="1" applyBorder="1" applyAlignment="1">
      <alignment horizontal="right"/>
    </xf>
    <xf numFmtId="0" fontId="26" fillId="0" borderId="22" xfId="57" applyFont="1" applyBorder="1">
      <alignment/>
      <protection/>
    </xf>
    <xf numFmtId="0" fontId="27" fillId="0" borderId="0" xfId="57" applyFont="1">
      <alignment/>
      <protection/>
    </xf>
    <xf numFmtId="0" fontId="28" fillId="0" borderId="22" xfId="57" applyFont="1" applyBorder="1" applyAlignment="1">
      <alignment horizontal="right"/>
      <protection/>
    </xf>
    <xf numFmtId="0" fontId="29" fillId="0" borderId="0" xfId="57" applyFont="1">
      <alignment/>
      <protection/>
    </xf>
    <xf numFmtId="0" fontId="30" fillId="0" borderId="22" xfId="57" applyFont="1" applyBorder="1" applyAlignment="1">
      <alignment vertical="center"/>
      <protection/>
    </xf>
    <xf numFmtId="3" fontId="30" fillId="0" borderId="22" xfId="42" applyNumberFormat="1" applyFont="1" applyBorder="1" applyAlignment="1">
      <alignment horizontal="right"/>
    </xf>
    <xf numFmtId="0" fontId="30" fillId="0" borderId="22" xfId="57" applyFont="1" applyBorder="1">
      <alignment/>
      <protection/>
    </xf>
    <xf numFmtId="0" fontId="30" fillId="0" borderId="0" xfId="57" applyFont="1">
      <alignment/>
      <protection/>
    </xf>
    <xf numFmtId="0" fontId="30" fillId="0" borderId="22" xfId="57" applyFont="1" applyBorder="1" applyAlignment="1">
      <alignment vertical="center" wrapText="1"/>
      <protection/>
    </xf>
    <xf numFmtId="0" fontId="30" fillId="0" borderId="22" xfId="57" applyFont="1" applyBorder="1" applyAlignment="1">
      <alignment horizontal="left" vertical="center"/>
      <protection/>
    </xf>
    <xf numFmtId="0" fontId="31" fillId="0" borderId="0" xfId="57" applyFont="1">
      <alignment/>
      <protection/>
    </xf>
    <xf numFmtId="0" fontId="30" fillId="0" borderId="22" xfId="57" applyFont="1" applyBorder="1" applyAlignment="1">
      <alignment horizontal="left" vertical="center" wrapText="1"/>
      <protection/>
    </xf>
    <xf numFmtId="0" fontId="32" fillId="0" borderId="0" xfId="57" applyFont="1">
      <alignment/>
      <protection/>
    </xf>
    <xf numFmtId="0" fontId="19" fillId="0" borderId="22" xfId="57" applyFont="1" applyBorder="1" applyAlignment="1">
      <alignment horizontal="left" vertical="center" indent="1"/>
      <protection/>
    </xf>
    <xf numFmtId="0" fontId="19" fillId="0" borderId="22" xfId="57" applyFont="1" applyBorder="1" applyAlignment="1">
      <alignment horizontal="left" indent="1"/>
      <protection/>
    </xf>
    <xf numFmtId="3" fontId="33" fillId="0" borderId="22" xfId="57" applyNumberFormat="1" applyFont="1" applyBorder="1" applyAlignment="1">
      <alignment horizontal="right" vertical="center"/>
      <protection/>
    </xf>
    <xf numFmtId="3" fontId="33" fillId="0" borderId="22" xfId="42" applyNumberFormat="1" applyFont="1" applyBorder="1" applyAlignment="1">
      <alignment horizontal="right"/>
    </xf>
    <xf numFmtId="0" fontId="19" fillId="0" borderId="22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 applyAlignment="1">
      <alignment horizontal="center"/>
      <protection/>
    </xf>
    <xf numFmtId="0" fontId="20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8" fillId="0" borderId="14" xfId="0" applyFont="1" applyFill="1" applyBorder="1" applyAlignment="1">
      <alignment horizontal="left" vertical="center"/>
    </xf>
    <xf numFmtId="0" fontId="13" fillId="0" borderId="22" xfId="61" applyFont="1" applyBorder="1">
      <alignment/>
      <protection/>
    </xf>
    <xf numFmtId="0" fontId="13" fillId="0" borderId="14" xfId="61" applyFont="1" applyBorder="1">
      <alignment/>
      <protection/>
    </xf>
    <xf numFmtId="49" fontId="21" fillId="0" borderId="22" xfId="61" applyNumberFormat="1" applyFont="1" applyBorder="1" applyAlignment="1">
      <alignment vertical="center"/>
      <protection/>
    </xf>
    <xf numFmtId="0" fontId="21" fillId="0" borderId="22" xfId="61" applyFont="1" applyBorder="1">
      <alignment/>
      <protection/>
    </xf>
    <xf numFmtId="0" fontId="21" fillId="0" borderId="14" xfId="61" applyFont="1" applyBorder="1" applyAlignment="1">
      <alignment wrapText="1"/>
      <protection/>
    </xf>
    <xf numFmtId="3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0" fontId="21" fillId="0" borderId="14" xfId="61" applyFont="1" applyBorder="1">
      <alignment/>
      <protection/>
    </xf>
    <xf numFmtId="3" fontId="21" fillId="0" borderId="0" xfId="61" applyNumberFormat="1" applyFont="1" applyAlignment="1">
      <alignment vertical="center"/>
      <protection/>
    </xf>
    <xf numFmtId="0" fontId="21" fillId="0" borderId="0" xfId="61" applyFont="1" applyAlignment="1">
      <alignment vertical="center"/>
      <protection/>
    </xf>
    <xf numFmtId="49" fontId="21" fillId="0" borderId="22" xfId="61" applyNumberFormat="1" applyFont="1" applyBorder="1" applyAlignment="1">
      <alignment horizontal="center" vertical="center"/>
      <protection/>
    </xf>
    <xf numFmtId="49" fontId="21" fillId="32" borderId="22" xfId="61" applyNumberFormat="1" applyFont="1" applyFill="1" applyBorder="1" applyAlignment="1">
      <alignment horizontal="center" vertical="center"/>
      <protection/>
    </xf>
    <xf numFmtId="0" fontId="21" fillId="32" borderId="22" xfId="61" applyFont="1" applyFill="1" applyBorder="1" applyAlignment="1">
      <alignment vertical="center"/>
      <protection/>
    </xf>
    <xf numFmtId="0" fontId="21" fillId="32" borderId="14" xfId="61" applyFont="1" applyFill="1" applyBorder="1" applyAlignment="1">
      <alignment vertical="center" wrapText="1"/>
      <protection/>
    </xf>
    <xf numFmtId="3" fontId="21" fillId="32" borderId="21" xfId="61" applyNumberFormat="1" applyFont="1" applyFill="1" applyBorder="1" applyAlignment="1">
      <alignment vertical="center"/>
      <protection/>
    </xf>
    <xf numFmtId="3" fontId="21" fillId="32" borderId="22" xfId="61" applyNumberFormat="1" applyFont="1" applyFill="1" applyBorder="1" applyAlignment="1">
      <alignment vertical="center"/>
      <protection/>
    </xf>
    <xf numFmtId="3" fontId="21" fillId="32" borderId="23" xfId="61" applyNumberFormat="1" applyFont="1" applyFill="1" applyBorder="1" applyAlignment="1">
      <alignment vertical="center"/>
      <protection/>
    </xf>
    <xf numFmtId="3" fontId="21" fillId="32" borderId="17" xfId="61" applyNumberFormat="1" applyFont="1" applyFill="1" applyBorder="1" applyAlignment="1">
      <alignment vertical="center"/>
      <protection/>
    </xf>
    <xf numFmtId="0" fontId="13" fillId="32" borderId="22" xfId="61" applyFill="1" applyBorder="1">
      <alignment/>
      <protection/>
    </xf>
    <xf numFmtId="0" fontId="21" fillId="32" borderId="22" xfId="61" applyFont="1" applyFill="1" applyBorder="1">
      <alignment/>
      <protection/>
    </xf>
    <xf numFmtId="3" fontId="17" fillId="0" borderId="22" xfId="57" applyNumberFormat="1" applyFont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34" fillId="0" borderId="30" xfId="61" applyFont="1" applyBorder="1" applyAlignment="1">
      <alignment horizontal="center" vertical="center" wrapText="1"/>
      <protection/>
    </xf>
    <xf numFmtId="3" fontId="21" fillId="32" borderId="31" xfId="61" applyNumberFormat="1" applyFont="1" applyFill="1" applyBorder="1" applyAlignment="1">
      <alignment vertical="center"/>
      <protection/>
    </xf>
    <xf numFmtId="3" fontId="108" fillId="0" borderId="0" xfId="61" applyNumberFormat="1" applyFont="1">
      <alignment/>
      <protection/>
    </xf>
    <xf numFmtId="3" fontId="108" fillId="0" borderId="0" xfId="61" applyNumberFormat="1" applyFont="1" applyAlignment="1">
      <alignment vertical="center"/>
      <protection/>
    </xf>
    <xf numFmtId="0" fontId="38" fillId="0" borderId="0" xfId="0" applyFont="1" applyAlignment="1">
      <alignment/>
    </xf>
    <xf numFmtId="0" fontId="13" fillId="0" borderId="14" xfId="61" applyFont="1" applyBorder="1" applyAlignment="1">
      <alignment wrapText="1"/>
      <protection/>
    </xf>
    <xf numFmtId="3" fontId="13" fillId="0" borderId="0" xfId="61" applyNumberFormat="1" applyFont="1">
      <alignment/>
      <protection/>
    </xf>
    <xf numFmtId="0" fontId="13" fillId="0" borderId="0" xfId="61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39" fillId="0" borderId="22" xfId="58" applyFont="1" applyBorder="1">
      <alignment/>
      <protection/>
    </xf>
    <xf numFmtId="0" fontId="39" fillId="0" borderId="14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3" fontId="39" fillId="0" borderId="22" xfId="58" applyNumberFormat="1" applyFont="1" applyBorder="1">
      <alignment/>
      <protection/>
    </xf>
    <xf numFmtId="3" fontId="19" fillId="0" borderId="22" xfId="58" applyNumberFormat="1" applyFont="1" applyBorder="1">
      <alignment/>
      <protection/>
    </xf>
    <xf numFmtId="0" fontId="18" fillId="0" borderId="0" xfId="0" applyFont="1" applyAlignment="1">
      <alignment/>
    </xf>
    <xf numFmtId="0" fontId="40" fillId="0" borderId="22" xfId="58" applyFont="1" applyBorder="1">
      <alignment/>
      <protection/>
    </xf>
    <xf numFmtId="3" fontId="40" fillId="0" borderId="22" xfId="58" applyNumberFormat="1" applyFont="1" applyBorder="1">
      <alignment/>
      <protection/>
    </xf>
    <xf numFmtId="0" fontId="41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39" fillId="0" borderId="0" xfId="58" applyFont="1" applyFill="1" applyAlignment="1">
      <alignment horizontal="center" vertical="center"/>
      <protection/>
    </xf>
    <xf numFmtId="0" fontId="18" fillId="0" borderId="0" xfId="58" applyFont="1" applyFill="1" applyAlignment="1">
      <alignment vertical="center"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22" xfId="5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22" xfId="58" applyFont="1" applyBorder="1">
      <alignment/>
      <protection/>
    </xf>
    <xf numFmtId="3" fontId="44" fillId="0" borderId="22" xfId="58" applyNumberFormat="1" applyFont="1" applyBorder="1">
      <alignment/>
      <protection/>
    </xf>
    <xf numFmtId="0" fontId="45" fillId="0" borderId="22" xfId="58" applyFont="1" applyBorder="1">
      <alignment/>
      <protection/>
    </xf>
    <xf numFmtId="0" fontId="45" fillId="0" borderId="22" xfId="58" applyFont="1" applyBorder="1" applyAlignment="1">
      <alignment horizontal="left"/>
      <protection/>
    </xf>
    <xf numFmtId="3" fontId="45" fillId="0" borderId="22" xfId="58" applyNumberFormat="1" applyFont="1" applyBorder="1">
      <alignment/>
      <protection/>
    </xf>
    <xf numFmtId="0" fontId="18" fillId="0" borderId="22" xfId="58" applyFont="1" applyBorder="1">
      <alignment/>
      <protection/>
    </xf>
    <xf numFmtId="0" fontId="45" fillId="0" borderId="22" xfId="58" applyFont="1" applyBorder="1" applyAlignment="1">
      <alignment horizontal="right"/>
      <protection/>
    </xf>
    <xf numFmtId="0" fontId="45" fillId="0" borderId="14" xfId="58" applyFont="1" applyBorder="1" applyAlignment="1">
      <alignment horizontal="left"/>
      <protection/>
    </xf>
    <xf numFmtId="0" fontId="45" fillId="0" borderId="17" xfId="58" applyFont="1" applyBorder="1" applyAlignment="1">
      <alignment horizontal="left"/>
      <protection/>
    </xf>
    <xf numFmtId="0" fontId="18" fillId="0" borderId="14" xfId="58" applyFont="1" applyBorder="1">
      <alignment/>
      <protection/>
    </xf>
    <xf numFmtId="0" fontId="18" fillId="0" borderId="0" xfId="58" applyFont="1">
      <alignment/>
      <protection/>
    </xf>
    <xf numFmtId="3" fontId="19" fillId="0" borderId="14" xfId="58" applyNumberFormat="1" applyFont="1" applyBorder="1">
      <alignment/>
      <protection/>
    </xf>
    <xf numFmtId="3" fontId="18" fillId="0" borderId="16" xfId="58" applyNumberFormat="1" applyFont="1" applyBorder="1">
      <alignment/>
      <protection/>
    </xf>
    <xf numFmtId="3" fontId="19" fillId="0" borderId="17" xfId="58" applyNumberFormat="1" applyFont="1" applyBorder="1">
      <alignment/>
      <protection/>
    </xf>
    <xf numFmtId="3" fontId="15" fillId="0" borderId="22" xfId="58" applyNumberFormat="1" applyFont="1" applyBorder="1">
      <alignment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3" fontId="46" fillId="0" borderId="22" xfId="0" applyNumberFormat="1" applyFont="1" applyBorder="1" applyAlignment="1">
      <alignment/>
    </xf>
    <xf numFmtId="0" fontId="47" fillId="0" borderId="0" xfId="0" applyFont="1" applyAlignment="1">
      <alignment/>
    </xf>
    <xf numFmtId="0" fontId="39" fillId="0" borderId="22" xfId="0" applyFont="1" applyBorder="1" applyAlignment="1">
      <alignment/>
    </xf>
    <xf numFmtId="3" fontId="39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40" fillId="0" borderId="22" xfId="0" applyFont="1" applyBorder="1" applyAlignment="1">
      <alignment/>
    </xf>
    <xf numFmtId="3" fontId="40" fillId="0" borderId="22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0" fontId="48" fillId="0" borderId="22" xfId="0" applyFont="1" applyBorder="1" applyAlignment="1">
      <alignment/>
    </xf>
    <xf numFmtId="0" fontId="18" fillId="0" borderId="22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2" xfId="0" applyFont="1" applyBorder="1" applyAlignment="1">
      <alignment horizontal="left"/>
    </xf>
    <xf numFmtId="3" fontId="45" fillId="0" borderId="22" xfId="0" applyNumberFormat="1" applyFont="1" applyBorder="1" applyAlignment="1">
      <alignment/>
    </xf>
    <xf numFmtId="3" fontId="49" fillId="0" borderId="22" xfId="0" applyNumberFormat="1" applyFont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2" xfId="0" applyFont="1" applyFill="1" applyBorder="1" applyAlignment="1">
      <alignment horizontal="left"/>
    </xf>
    <xf numFmtId="0" fontId="22" fillId="0" borderId="22" xfId="0" applyFont="1" applyBorder="1" applyAlignment="1">
      <alignment/>
    </xf>
    <xf numFmtId="0" fontId="45" fillId="0" borderId="22" xfId="0" applyFont="1" applyBorder="1" applyAlignment="1">
      <alignment horizontal="left" vertical="center" wrapText="1"/>
    </xf>
    <xf numFmtId="3" fontId="45" fillId="33" borderId="22" xfId="0" applyNumberFormat="1" applyFont="1" applyFill="1" applyBorder="1" applyAlignment="1">
      <alignment/>
    </xf>
    <xf numFmtId="0" fontId="45" fillId="0" borderId="22" xfId="0" applyFont="1" applyBorder="1" applyAlignment="1">
      <alignment horizontal="left" vertical="top"/>
    </xf>
    <xf numFmtId="0" fontId="45" fillId="0" borderId="22" xfId="0" applyFont="1" applyBorder="1" applyAlignment="1">
      <alignment horizontal="left" wrapText="1"/>
    </xf>
    <xf numFmtId="3" fontId="45" fillId="0" borderId="32" xfId="0" applyNumberFormat="1" applyFont="1" applyFill="1" applyBorder="1" applyAlignment="1">
      <alignment/>
    </xf>
    <xf numFmtId="0" fontId="50" fillId="0" borderId="22" xfId="0" applyFont="1" applyBorder="1" applyAlignment="1">
      <alignment/>
    </xf>
    <xf numFmtId="3" fontId="50" fillId="0" borderId="22" xfId="0" applyNumberFormat="1" applyFont="1" applyBorder="1" applyAlignment="1">
      <alignment/>
    </xf>
    <xf numFmtId="3" fontId="51" fillId="0" borderId="22" xfId="0" applyNumberFormat="1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2" xfId="0" applyFont="1" applyBorder="1" applyAlignment="1">
      <alignment horizontal="right"/>
    </xf>
    <xf numFmtId="3" fontId="52" fillId="0" borderId="22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0" fontId="22" fillId="0" borderId="0" xfId="0" applyFont="1" applyAlignment="1">
      <alignment/>
    </xf>
    <xf numFmtId="3" fontId="19" fillId="0" borderId="22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54" fillId="0" borderId="22" xfId="58" applyFont="1" applyBorder="1" applyAlignment="1">
      <alignment horizontal="left"/>
      <protection/>
    </xf>
    <xf numFmtId="49" fontId="39" fillId="0" borderId="0" xfId="60" applyNumberFormat="1" applyFont="1" applyFill="1" applyAlignment="1">
      <alignment horizontal="center" vertical="center"/>
      <protection/>
    </xf>
    <xf numFmtId="0" fontId="39" fillId="0" borderId="0" xfId="60" applyFont="1" applyFill="1" applyAlignment="1">
      <alignment vertical="center"/>
      <protection/>
    </xf>
    <xf numFmtId="0" fontId="55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0" fontId="18" fillId="0" borderId="0" xfId="60" applyFont="1" applyAlignment="1">
      <alignment horizontal="left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40" fillId="0" borderId="33" xfId="60" applyFont="1" applyFill="1" applyBorder="1" applyAlignment="1">
      <alignment horizontal="center" vertical="center"/>
      <protection/>
    </xf>
    <xf numFmtId="0" fontId="20" fillId="0" borderId="29" xfId="60" applyFont="1" applyFill="1" applyBorder="1" applyAlignment="1">
      <alignment horizontal="center" vertical="center" wrapText="1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20" fillId="0" borderId="34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center" vertical="center" wrapText="1"/>
      <protection/>
    </xf>
    <xf numFmtId="49" fontId="39" fillId="0" borderId="35" xfId="60" applyNumberFormat="1" applyFont="1" applyFill="1" applyBorder="1" applyAlignment="1">
      <alignment horizontal="center" vertical="center"/>
      <protection/>
    </xf>
    <xf numFmtId="0" fontId="20" fillId="0" borderId="36" xfId="60" applyFont="1" applyFill="1" applyBorder="1" applyAlignment="1">
      <alignment vertical="center" wrapText="1"/>
      <protection/>
    </xf>
    <xf numFmtId="3" fontId="40" fillId="0" borderId="10" xfId="60" applyNumberFormat="1" applyFont="1" applyFill="1" applyBorder="1" applyAlignment="1">
      <alignment vertical="center" wrapText="1"/>
      <protection/>
    </xf>
    <xf numFmtId="3" fontId="40" fillId="0" borderId="37" xfId="60" applyNumberFormat="1" applyFont="1" applyFill="1" applyBorder="1" applyAlignment="1">
      <alignment vertical="center" wrapText="1"/>
      <protection/>
    </xf>
    <xf numFmtId="3" fontId="40" fillId="0" borderId="38" xfId="60" applyNumberFormat="1" applyFont="1" applyFill="1" applyBorder="1" applyAlignment="1">
      <alignment vertical="center" wrapText="1"/>
      <protection/>
    </xf>
    <xf numFmtId="3" fontId="40" fillId="0" borderId="23" xfId="60" applyNumberFormat="1" applyFont="1" applyFill="1" applyBorder="1" applyAlignment="1">
      <alignment vertical="center" wrapText="1"/>
      <protection/>
    </xf>
    <xf numFmtId="3" fontId="40" fillId="0" borderId="39" xfId="60" applyNumberFormat="1" applyFont="1" applyFill="1" applyBorder="1" applyAlignment="1">
      <alignment vertical="center" wrapText="1"/>
      <protection/>
    </xf>
    <xf numFmtId="3" fontId="39" fillId="0" borderId="39" xfId="60" applyNumberFormat="1" applyFont="1" applyFill="1" applyBorder="1" applyAlignment="1">
      <alignment vertical="center"/>
      <protection/>
    </xf>
    <xf numFmtId="3" fontId="39" fillId="0" borderId="38" xfId="60" applyNumberFormat="1" applyFont="1" applyFill="1" applyBorder="1" applyAlignment="1">
      <alignment vertical="center"/>
      <protection/>
    </xf>
    <xf numFmtId="3" fontId="20" fillId="0" borderId="31" xfId="60" applyNumberFormat="1" applyFont="1" applyFill="1" applyBorder="1" applyAlignment="1">
      <alignment vertical="center"/>
      <protection/>
    </xf>
    <xf numFmtId="49" fontId="39" fillId="0" borderId="37" xfId="60" applyNumberFormat="1" applyFont="1" applyFill="1" applyBorder="1" applyAlignment="1">
      <alignment horizontal="center" vertical="center"/>
      <protection/>
    </xf>
    <xf numFmtId="3" fontId="40" fillId="0" borderId="40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vertical="center" wrapText="1"/>
      <protection/>
    </xf>
    <xf numFmtId="3" fontId="56" fillId="0" borderId="23" xfId="60" applyNumberFormat="1" applyFont="1" applyFill="1" applyBorder="1" applyAlignment="1">
      <alignment vertical="center"/>
      <protection/>
    </xf>
    <xf numFmtId="49" fontId="39" fillId="0" borderId="21" xfId="60" applyNumberFormat="1" applyFont="1" applyFill="1" applyBorder="1" applyAlignment="1">
      <alignment horizontal="center" vertical="center"/>
      <protection/>
    </xf>
    <xf numFmtId="3" fontId="40" fillId="0" borderId="21" xfId="60" applyNumberFormat="1" applyFont="1" applyFill="1" applyBorder="1" applyAlignment="1">
      <alignment vertical="center" wrapText="1"/>
      <protection/>
    </xf>
    <xf numFmtId="3" fontId="40" fillId="0" borderId="22" xfId="60" applyNumberFormat="1" applyFont="1" applyFill="1" applyBorder="1" applyAlignment="1">
      <alignment vertical="center" wrapText="1"/>
      <protection/>
    </xf>
    <xf numFmtId="3" fontId="40" fillId="0" borderId="17" xfId="60" applyNumberFormat="1" applyFont="1" applyFill="1" applyBorder="1" applyAlignment="1">
      <alignment vertical="center" wrapText="1"/>
      <protection/>
    </xf>
    <xf numFmtId="3" fontId="39" fillId="0" borderId="17" xfId="60" applyNumberFormat="1" applyFont="1" applyFill="1" applyBorder="1" applyAlignment="1">
      <alignment vertical="center"/>
      <protection/>
    </xf>
    <xf numFmtId="3" fontId="39" fillId="0" borderId="22" xfId="60" applyNumberFormat="1" applyFont="1" applyFill="1" applyBorder="1" applyAlignment="1">
      <alignment vertical="center"/>
      <protection/>
    </xf>
    <xf numFmtId="0" fontId="20" fillId="0" borderId="15" xfId="60" applyFont="1" applyFill="1" applyBorder="1" applyAlignment="1">
      <alignment vertical="center" wrapText="1"/>
      <protection/>
    </xf>
    <xf numFmtId="3" fontId="40" fillId="0" borderId="23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horizontal="right" vertical="center" wrapText="1"/>
      <protection/>
    </xf>
    <xf numFmtId="3" fontId="40" fillId="0" borderId="23" xfId="60" applyNumberFormat="1" applyFont="1" applyFill="1" applyBorder="1" applyAlignment="1">
      <alignment horizontal="left" vertical="center" wrapText="1"/>
      <protection/>
    </xf>
    <xf numFmtId="3" fontId="40" fillId="0" borderId="21" xfId="60" applyNumberFormat="1" applyFont="1" applyFill="1" applyBorder="1" applyAlignment="1">
      <alignment vertical="center"/>
      <protection/>
    </xf>
    <xf numFmtId="3" fontId="40" fillId="0" borderId="22" xfId="60" applyNumberFormat="1" applyFont="1" applyFill="1" applyBorder="1" applyAlignment="1">
      <alignment vertical="center"/>
      <protection/>
    </xf>
    <xf numFmtId="3" fontId="40" fillId="0" borderId="17" xfId="60" applyNumberFormat="1" applyFont="1" applyFill="1" applyBorder="1" applyAlignment="1">
      <alignment vertical="center"/>
      <protection/>
    </xf>
    <xf numFmtId="3" fontId="40" fillId="33" borderId="40" xfId="60" applyNumberFormat="1" applyFont="1" applyFill="1" applyBorder="1" applyAlignment="1">
      <alignment vertical="center" wrapText="1"/>
      <protection/>
    </xf>
    <xf numFmtId="0" fontId="20" fillId="0" borderId="14" xfId="60" applyFont="1" applyFill="1" applyBorder="1" applyAlignment="1">
      <alignment horizontal="left" vertical="center" wrapText="1"/>
      <protection/>
    </xf>
    <xf numFmtId="3" fontId="56" fillId="0" borderId="22" xfId="60" applyNumberFormat="1" applyFont="1" applyFill="1" applyBorder="1" applyAlignment="1">
      <alignment vertical="center"/>
      <protection/>
    </xf>
    <xf numFmtId="3" fontId="54" fillId="0" borderId="17" xfId="60" applyNumberFormat="1" applyFont="1" applyFill="1" applyBorder="1" applyAlignment="1">
      <alignment vertical="center"/>
      <protection/>
    </xf>
    <xf numFmtId="3" fontId="56" fillId="0" borderId="17" xfId="60" applyNumberFormat="1" applyFont="1" applyFill="1" applyBorder="1" applyAlignment="1">
      <alignment vertical="center"/>
      <protection/>
    </xf>
    <xf numFmtId="3" fontId="50" fillId="0" borderId="34" xfId="60" applyNumberFormat="1" applyFont="1" applyFill="1" applyBorder="1" applyAlignment="1">
      <alignment vertical="center"/>
      <protection/>
    </xf>
    <xf numFmtId="3" fontId="40" fillId="0" borderId="35" xfId="60" applyNumberFormat="1" applyFont="1" applyFill="1" applyBorder="1" applyAlignment="1">
      <alignment vertical="center" wrapText="1"/>
      <protection/>
    </xf>
    <xf numFmtId="3" fontId="40" fillId="0" borderId="36" xfId="60" applyNumberFormat="1" applyFont="1" applyFill="1" applyBorder="1" applyAlignment="1">
      <alignment vertical="center" wrapText="1"/>
      <protection/>
    </xf>
    <xf numFmtId="0" fontId="20" fillId="0" borderId="22" xfId="60" applyFont="1" applyFill="1" applyBorder="1" applyAlignment="1">
      <alignment vertical="center" wrapText="1"/>
      <protection/>
    </xf>
    <xf numFmtId="3" fontId="40" fillId="0" borderId="11" xfId="60" applyNumberFormat="1" applyFont="1" applyFill="1" applyBorder="1" applyAlignment="1">
      <alignment vertical="center" wrapText="1"/>
      <protection/>
    </xf>
    <xf numFmtId="3" fontId="23" fillId="0" borderId="41" xfId="60" applyNumberFormat="1" applyFont="1" applyFill="1" applyBorder="1" applyAlignment="1">
      <alignment vertical="center"/>
      <protection/>
    </xf>
    <xf numFmtId="3" fontId="23" fillId="0" borderId="42" xfId="60" applyNumberFormat="1" applyFont="1" applyFill="1" applyBorder="1" applyAlignment="1">
      <alignment vertical="center"/>
      <protection/>
    </xf>
    <xf numFmtId="3" fontId="40" fillId="0" borderId="43" xfId="60" applyNumberFormat="1" applyFont="1" applyFill="1" applyBorder="1" applyAlignment="1">
      <alignment vertical="center" wrapText="1"/>
      <protection/>
    </xf>
    <xf numFmtId="0" fontId="20" fillId="0" borderId="44" xfId="60" applyFont="1" applyFill="1" applyBorder="1" applyAlignment="1">
      <alignment vertical="center" wrapText="1"/>
      <protection/>
    </xf>
    <xf numFmtId="3" fontId="40" fillId="0" borderId="45" xfId="60" applyNumberFormat="1" applyFont="1" applyFill="1" applyBorder="1" applyAlignment="1">
      <alignment vertical="center" wrapText="1"/>
      <protection/>
    </xf>
    <xf numFmtId="3" fontId="40" fillId="0" borderId="44" xfId="60" applyNumberFormat="1" applyFont="1" applyFill="1" applyBorder="1" applyAlignment="1">
      <alignment vertical="center" wrapText="1"/>
      <protection/>
    </xf>
    <xf numFmtId="3" fontId="23" fillId="0" borderId="46" xfId="60" applyNumberFormat="1" applyFont="1" applyFill="1" applyBorder="1" applyAlignment="1">
      <alignment horizontal="right" vertical="center"/>
      <protection/>
    </xf>
    <xf numFmtId="3" fontId="57" fillId="0" borderId="26" xfId="60" applyNumberFormat="1" applyFont="1" applyFill="1" applyBorder="1" applyAlignment="1">
      <alignment vertical="center"/>
      <protection/>
    </xf>
    <xf numFmtId="3" fontId="57" fillId="0" borderId="33" xfId="60" applyNumberFormat="1" applyFont="1" applyFill="1" applyBorder="1" applyAlignment="1">
      <alignment vertical="center"/>
      <protection/>
    </xf>
    <xf numFmtId="3" fontId="57" fillId="0" borderId="42" xfId="60" applyNumberFormat="1" applyFont="1" applyFill="1" applyBorder="1" applyAlignment="1">
      <alignment vertical="center"/>
      <protection/>
    </xf>
    <xf numFmtId="164" fontId="7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3" fontId="40" fillId="0" borderId="43" xfId="60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/>
    </xf>
    <xf numFmtId="0" fontId="18" fillId="0" borderId="49" xfId="0" applyFont="1" applyBorder="1" applyAlignment="1">
      <alignment/>
    </xf>
    <xf numFmtId="0" fontId="19" fillId="0" borderId="50" xfId="59" applyFont="1" applyBorder="1" applyAlignment="1">
      <alignment horizontal="center"/>
      <protection/>
    </xf>
    <xf numFmtId="0" fontId="19" fillId="0" borderId="51" xfId="60" applyFont="1" applyFill="1" applyBorder="1" applyAlignment="1">
      <alignment horizontal="center" vertical="center" wrapText="1"/>
      <protection/>
    </xf>
    <xf numFmtId="0" fontId="22" fillId="0" borderId="52" xfId="59" applyFont="1" applyBorder="1">
      <alignment/>
      <protection/>
    </xf>
    <xf numFmtId="0" fontId="22" fillId="0" borderId="0" xfId="59" applyFont="1" applyBorder="1">
      <alignment/>
      <protection/>
    </xf>
    <xf numFmtId="0" fontId="22" fillId="0" borderId="53" xfId="59" applyFont="1" applyBorder="1">
      <alignment/>
      <protection/>
    </xf>
    <xf numFmtId="0" fontId="22" fillId="0" borderId="54" xfId="59" applyFont="1" applyBorder="1">
      <alignment/>
      <protection/>
    </xf>
    <xf numFmtId="0" fontId="22" fillId="0" borderId="55" xfId="59" applyFont="1" applyBorder="1">
      <alignment/>
      <protection/>
    </xf>
    <xf numFmtId="3" fontId="22" fillId="0" borderId="0" xfId="59" applyNumberFormat="1" applyFont="1" applyBorder="1">
      <alignment/>
      <protection/>
    </xf>
    <xf numFmtId="3" fontId="22" fillId="0" borderId="56" xfId="59" applyNumberFormat="1" applyFont="1" applyBorder="1">
      <alignment/>
      <protection/>
    </xf>
    <xf numFmtId="0" fontId="22" fillId="0" borderId="57" xfId="59" applyFont="1" applyBorder="1" applyAlignment="1">
      <alignment horizontal="left"/>
      <protection/>
    </xf>
    <xf numFmtId="0" fontId="22" fillId="0" borderId="0" xfId="59" applyFont="1" applyBorder="1" applyAlignment="1">
      <alignment horizontal="left"/>
      <protection/>
    </xf>
    <xf numFmtId="3" fontId="15" fillId="0" borderId="58" xfId="59" applyNumberFormat="1" applyFont="1" applyBorder="1" applyAlignment="1">
      <alignment horizontal="right" vertical="center"/>
      <protection/>
    </xf>
    <xf numFmtId="3" fontId="15" fillId="0" borderId="32" xfId="59" applyNumberFormat="1" applyFont="1" applyBorder="1" applyAlignment="1">
      <alignment horizontal="right" vertical="center"/>
      <protection/>
    </xf>
    <xf numFmtId="3" fontId="15" fillId="0" borderId="0" xfId="59" applyNumberFormat="1" applyFont="1" applyBorder="1" applyAlignment="1">
      <alignment horizontal="right" vertical="center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32" xfId="60" applyFont="1" applyFill="1" applyBorder="1" applyAlignment="1">
      <alignment horizontal="center" vertical="center" wrapText="1"/>
      <protection/>
    </xf>
    <xf numFmtId="0" fontId="15" fillId="0" borderId="59" xfId="60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3" fontId="15" fillId="0" borderId="52" xfId="59" applyNumberFormat="1" applyFont="1" applyBorder="1" applyAlignment="1">
      <alignment horizontal="right" vertical="center"/>
      <protection/>
    </xf>
    <xf numFmtId="3" fontId="22" fillId="0" borderId="60" xfId="59" applyNumberFormat="1" applyFont="1" applyBorder="1">
      <alignment/>
      <protection/>
    </xf>
    <xf numFmtId="0" fontId="22" fillId="0" borderId="32" xfId="59" applyFont="1" applyBorder="1">
      <alignment/>
      <protection/>
    </xf>
    <xf numFmtId="0" fontId="57" fillId="0" borderId="55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3" fontId="19" fillId="0" borderId="54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5" xfId="59" applyNumberFormat="1" applyFont="1" applyBorder="1">
      <alignment/>
      <protection/>
    </xf>
    <xf numFmtId="3" fontId="57" fillId="0" borderId="52" xfId="59" applyNumberFormat="1" applyFont="1" applyBorder="1" applyAlignment="1">
      <alignment horizontal="right" vertical="center"/>
      <protection/>
    </xf>
    <xf numFmtId="3" fontId="57" fillId="0" borderId="32" xfId="59" applyNumberFormat="1" applyFont="1" applyBorder="1" applyAlignment="1">
      <alignment horizontal="right" vertical="center"/>
      <protection/>
    </xf>
    <xf numFmtId="3" fontId="22" fillId="0" borderId="52" xfId="59" applyNumberFormat="1" applyFont="1" applyBorder="1">
      <alignment/>
      <protection/>
    </xf>
    <xf numFmtId="3" fontId="22" fillId="0" borderId="32" xfId="59" applyNumberFormat="1" applyFont="1" applyBorder="1">
      <alignment/>
      <protection/>
    </xf>
    <xf numFmtId="3" fontId="57" fillId="0" borderId="55" xfId="59" applyNumberFormat="1" applyFont="1" applyBorder="1" applyAlignment="1">
      <alignment horizontal="right" vertical="center"/>
      <protection/>
    </xf>
    <xf numFmtId="0" fontId="22" fillId="0" borderId="52" xfId="59" applyFont="1" applyBorder="1" applyAlignment="1">
      <alignment horizontal="right"/>
      <protection/>
    </xf>
    <xf numFmtId="0" fontId="22" fillId="0" borderId="0" xfId="59" applyFont="1" applyBorder="1" applyAlignment="1">
      <alignment horizontal="right"/>
      <protection/>
    </xf>
    <xf numFmtId="0" fontId="22" fillId="0" borderId="54" xfId="59" applyFont="1" applyBorder="1" applyAlignment="1">
      <alignment horizontal="right"/>
      <protection/>
    </xf>
    <xf numFmtId="3" fontId="22" fillId="0" borderId="61" xfId="59" applyNumberFormat="1" applyFont="1" applyFill="1" applyBorder="1">
      <alignment/>
      <protection/>
    </xf>
    <xf numFmtId="0" fontId="57" fillId="0" borderId="55" xfId="59" applyFont="1" applyBorder="1">
      <alignment/>
      <protection/>
    </xf>
    <xf numFmtId="3" fontId="22" fillId="0" borderId="61" xfId="59" applyNumberFormat="1" applyFont="1" applyBorder="1">
      <alignment/>
      <protection/>
    </xf>
    <xf numFmtId="3" fontId="57" fillId="0" borderId="52" xfId="59" applyNumberFormat="1" applyFont="1" applyBorder="1">
      <alignment/>
      <protection/>
    </xf>
    <xf numFmtId="3" fontId="57" fillId="0" borderId="32" xfId="59" applyNumberFormat="1" applyFont="1" applyBorder="1">
      <alignment/>
      <protection/>
    </xf>
    <xf numFmtId="3" fontId="57" fillId="0" borderId="60" xfId="59" applyNumberFormat="1" applyFont="1" applyBorder="1">
      <alignment/>
      <protection/>
    </xf>
    <xf numFmtId="3" fontId="57" fillId="0" borderId="55" xfId="59" applyNumberFormat="1" applyFont="1" applyBorder="1">
      <alignment/>
      <protection/>
    </xf>
    <xf numFmtId="0" fontId="18" fillId="0" borderId="52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/>
      <protection/>
    </xf>
    <xf numFmtId="0" fontId="18" fillId="0" borderId="54" xfId="59" applyFont="1" applyBorder="1" applyAlignment="1">
      <alignment horizontal="right"/>
      <protection/>
    </xf>
    <xf numFmtId="0" fontId="18" fillId="0" borderId="0" xfId="59" applyFont="1" applyBorder="1">
      <alignment/>
      <protection/>
    </xf>
    <xf numFmtId="0" fontId="18" fillId="0" borderId="55" xfId="59" applyFont="1" applyBorder="1">
      <alignment/>
      <protection/>
    </xf>
    <xf numFmtId="3" fontId="58" fillId="0" borderId="0" xfId="59" applyNumberFormat="1" applyFont="1" applyBorder="1">
      <alignment/>
      <protection/>
    </xf>
    <xf numFmtId="0" fontId="58" fillId="0" borderId="52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0" fontId="58" fillId="0" borderId="58" xfId="59" applyFont="1" applyBorder="1" applyAlignment="1">
      <alignment horizontal="left"/>
      <protection/>
    </xf>
    <xf numFmtId="0" fontId="58" fillId="0" borderId="56" xfId="59" applyFont="1" applyBorder="1" applyAlignment="1">
      <alignment horizontal="left"/>
      <protection/>
    </xf>
    <xf numFmtId="0" fontId="58" fillId="0" borderId="56" xfId="59" applyFont="1" applyBorder="1">
      <alignment/>
      <protection/>
    </xf>
    <xf numFmtId="3" fontId="22" fillId="0" borderId="62" xfId="59" applyNumberFormat="1" applyFont="1" applyBorder="1">
      <alignment/>
      <protection/>
    </xf>
    <xf numFmtId="0" fontId="58" fillId="0" borderId="0" xfId="59" applyFont="1" applyBorder="1">
      <alignment/>
      <protection/>
    </xf>
    <xf numFmtId="0" fontId="18" fillId="0" borderId="49" xfId="59" applyFont="1" applyBorder="1" applyAlignment="1">
      <alignment horizontal="right"/>
      <protection/>
    </xf>
    <xf numFmtId="0" fontId="18" fillId="0" borderId="63" xfId="59" applyFont="1" applyBorder="1" applyAlignment="1">
      <alignment horizontal="right"/>
      <protection/>
    </xf>
    <xf numFmtId="0" fontId="18" fillId="0" borderId="49" xfId="59" applyFont="1" applyBorder="1">
      <alignment/>
      <protection/>
    </xf>
    <xf numFmtId="0" fontId="18" fillId="0" borderId="64" xfId="59" applyFont="1" applyBorder="1">
      <alignment/>
      <protection/>
    </xf>
    <xf numFmtId="0" fontId="22" fillId="0" borderId="49" xfId="59" applyFont="1" applyBorder="1" applyAlignment="1">
      <alignment horizontal="left"/>
      <protection/>
    </xf>
    <xf numFmtId="0" fontId="58" fillId="0" borderId="65" xfId="59" applyFont="1" applyBorder="1" applyAlignment="1">
      <alignment horizontal="left"/>
      <protection/>
    </xf>
    <xf numFmtId="0" fontId="58" fillId="0" borderId="49" xfId="59" applyFont="1" applyBorder="1" applyAlignment="1">
      <alignment horizontal="left"/>
      <protection/>
    </xf>
    <xf numFmtId="3" fontId="58" fillId="0" borderId="49" xfId="59" applyNumberFormat="1" applyFont="1" applyFill="1" applyBorder="1">
      <alignment/>
      <protection/>
    </xf>
    <xf numFmtId="3" fontId="15" fillId="0" borderId="65" xfId="59" applyNumberFormat="1" applyFont="1" applyBorder="1" applyAlignment="1">
      <alignment horizontal="right" vertical="center"/>
      <protection/>
    </xf>
    <xf numFmtId="3" fontId="57" fillId="0" borderId="66" xfId="59" applyNumberFormat="1" applyFont="1" applyBorder="1" applyAlignment="1">
      <alignment horizontal="right" vertical="center"/>
      <protection/>
    </xf>
    <xf numFmtId="3" fontId="57" fillId="0" borderId="67" xfId="59" applyNumberFormat="1" applyFont="1" applyBorder="1" applyAlignment="1">
      <alignment horizontal="right" vertical="center"/>
      <protection/>
    </xf>
    <xf numFmtId="3" fontId="22" fillId="0" borderId="68" xfId="59" applyNumberFormat="1" applyFont="1" applyBorder="1">
      <alignment/>
      <protection/>
    </xf>
    <xf numFmtId="3" fontId="22" fillId="0" borderId="66" xfId="59" applyNumberFormat="1" applyFont="1" applyBorder="1">
      <alignment/>
      <protection/>
    </xf>
    <xf numFmtId="3" fontId="22" fillId="0" borderId="67" xfId="59" applyNumberFormat="1" applyFont="1" applyBorder="1">
      <alignment/>
      <protection/>
    </xf>
    <xf numFmtId="3" fontId="57" fillId="0" borderId="64" xfId="59" applyNumberFormat="1" applyFont="1" applyBorder="1" applyAlignment="1">
      <alignment horizontal="right" vertical="center"/>
      <protection/>
    </xf>
    <xf numFmtId="3" fontId="57" fillId="0" borderId="69" xfId="59" applyNumberFormat="1" applyFont="1" applyBorder="1" applyAlignment="1">
      <alignment horizontal="right" vertical="center"/>
      <protection/>
    </xf>
    <xf numFmtId="0" fontId="18" fillId="0" borderId="57" xfId="59" applyFont="1" applyBorder="1">
      <alignment/>
      <protection/>
    </xf>
    <xf numFmtId="0" fontId="18" fillId="0" borderId="54" xfId="59" applyFont="1" applyBorder="1">
      <alignment/>
      <protection/>
    </xf>
    <xf numFmtId="0" fontId="18" fillId="0" borderId="32" xfId="59" applyFont="1" applyBorder="1">
      <alignment/>
      <protection/>
    </xf>
    <xf numFmtId="3" fontId="58" fillId="0" borderId="61" xfId="59" applyNumberFormat="1" applyFont="1" applyBorder="1" applyAlignment="1">
      <alignment/>
      <protection/>
    </xf>
    <xf numFmtId="0" fontId="18" fillId="0" borderId="70" xfId="59" applyFont="1" applyBorder="1">
      <alignment/>
      <protection/>
    </xf>
    <xf numFmtId="0" fontId="18" fillId="0" borderId="67" xfId="59" applyFont="1" applyBorder="1">
      <alignment/>
      <protection/>
    </xf>
    <xf numFmtId="0" fontId="18" fillId="0" borderId="71" xfId="59" applyFont="1" applyBorder="1">
      <alignment/>
      <protection/>
    </xf>
    <xf numFmtId="3" fontId="19" fillId="0" borderId="32" xfId="59" applyNumberFormat="1" applyFont="1" applyBorder="1" applyAlignment="1">
      <alignment horizontal="right"/>
      <protection/>
    </xf>
    <xf numFmtId="0" fontId="22" fillId="0" borderId="52" xfId="59" applyFont="1" applyBorder="1" applyAlignment="1">
      <alignment horizontal="left"/>
      <protection/>
    </xf>
    <xf numFmtId="3" fontId="57" fillId="0" borderId="72" xfId="59" applyNumberFormat="1" applyFont="1" applyBorder="1" applyAlignment="1">
      <alignment horizontal="right"/>
      <protection/>
    </xf>
    <xf numFmtId="3" fontId="57" fillId="0" borderId="52" xfId="59" applyNumberFormat="1" applyFont="1" applyBorder="1" applyAlignment="1">
      <alignment horizontal="right"/>
      <protection/>
    </xf>
    <xf numFmtId="3" fontId="57" fillId="0" borderId="32" xfId="59" applyNumberFormat="1" applyFont="1" applyBorder="1" applyAlignment="1">
      <alignment horizontal="right"/>
      <protection/>
    </xf>
    <xf numFmtId="0" fontId="18" fillId="34" borderId="73" xfId="59" applyFont="1" applyFill="1" applyBorder="1">
      <alignment/>
      <protection/>
    </xf>
    <xf numFmtId="3" fontId="57" fillId="34" borderId="74" xfId="59" applyNumberFormat="1" applyFont="1" applyFill="1" applyBorder="1" applyAlignment="1">
      <alignment horizontal="right"/>
      <protection/>
    </xf>
    <xf numFmtId="3" fontId="57" fillId="34" borderId="75" xfId="59" applyNumberFormat="1" applyFont="1" applyFill="1" applyBorder="1">
      <alignment/>
      <protection/>
    </xf>
    <xf numFmtId="3" fontId="57" fillId="34" borderId="76" xfId="59" applyNumberFormat="1" applyFont="1" applyFill="1" applyBorder="1">
      <alignment/>
      <protection/>
    </xf>
    <xf numFmtId="3" fontId="57" fillId="34" borderId="74" xfId="59" applyNumberFormat="1" applyFont="1" applyFill="1" applyBorder="1">
      <alignment/>
      <protection/>
    </xf>
    <xf numFmtId="0" fontId="18" fillId="0" borderId="77" xfId="0" applyFont="1" applyBorder="1" applyAlignment="1">
      <alignment/>
    </xf>
    <xf numFmtId="0" fontId="15" fillId="0" borderId="0" xfId="59" applyFont="1" applyBorder="1" applyAlignment="1">
      <alignment horizontal="right" vertical="center"/>
      <protection/>
    </xf>
    <xf numFmtId="0" fontId="15" fillId="0" borderId="78" xfId="59" applyFont="1" applyBorder="1" applyAlignment="1">
      <alignment horizontal="right" vertical="center"/>
      <protection/>
    </xf>
    <xf numFmtId="0" fontId="22" fillId="0" borderId="60" xfId="59" applyFont="1" applyBorder="1">
      <alignment/>
      <protection/>
    </xf>
    <xf numFmtId="0" fontId="18" fillId="0" borderId="52" xfId="59" applyFont="1" applyBorder="1">
      <alignment/>
      <protection/>
    </xf>
    <xf numFmtId="0" fontId="18" fillId="0" borderId="32" xfId="59" applyFont="1" applyBorder="1" applyAlignment="1">
      <alignment horizontal="right"/>
      <protection/>
    </xf>
    <xf numFmtId="3" fontId="57" fillId="0" borderId="0" xfId="59" applyNumberFormat="1" applyFont="1" applyBorder="1" applyAlignment="1">
      <alignment horizontal="right" vertical="center"/>
      <protection/>
    </xf>
    <xf numFmtId="3" fontId="18" fillId="0" borderId="32" xfId="59" applyNumberFormat="1" applyFont="1" applyBorder="1" applyAlignment="1">
      <alignment horizontal="right"/>
      <protection/>
    </xf>
    <xf numFmtId="3" fontId="18" fillId="0" borderId="0" xfId="59" applyNumberFormat="1" applyFont="1" applyBorder="1">
      <alignment/>
      <protection/>
    </xf>
    <xf numFmtId="3" fontId="18" fillId="0" borderId="55" xfId="59" applyNumberFormat="1" applyFont="1" applyBorder="1">
      <alignment/>
      <protection/>
    </xf>
    <xf numFmtId="0" fontId="22" fillId="0" borderId="0" xfId="0" applyFont="1" applyFill="1" applyBorder="1" applyAlignment="1">
      <alignment/>
    </xf>
    <xf numFmtId="0" fontId="18" fillId="0" borderId="79" xfId="59" applyFont="1" applyBorder="1">
      <alignment/>
      <protection/>
    </xf>
    <xf numFmtId="0" fontId="18" fillId="0" borderId="80" xfId="59" applyFont="1" applyBorder="1" applyAlignment="1">
      <alignment horizontal="right"/>
      <protection/>
    </xf>
    <xf numFmtId="0" fontId="18" fillId="0" borderId="81" xfId="59" applyFont="1" applyBorder="1" applyAlignment="1">
      <alignment horizontal="right"/>
      <protection/>
    </xf>
    <xf numFmtId="0" fontId="18" fillId="0" borderId="80" xfId="59" applyFont="1" applyBorder="1">
      <alignment/>
      <protection/>
    </xf>
    <xf numFmtId="0" fontId="18" fillId="0" borderId="69" xfId="59" applyFont="1" applyBorder="1">
      <alignment/>
      <protection/>
    </xf>
    <xf numFmtId="0" fontId="18" fillId="0" borderId="80" xfId="59" applyFont="1" applyBorder="1" applyAlignment="1">
      <alignment/>
      <protection/>
    </xf>
    <xf numFmtId="0" fontId="15" fillId="0" borderId="82" xfId="59" applyFont="1" applyBorder="1" applyAlignment="1">
      <alignment horizontal="right"/>
      <protection/>
    </xf>
    <xf numFmtId="0" fontId="18" fillId="0" borderId="83" xfId="59" applyFont="1" applyBorder="1">
      <alignment/>
      <protection/>
    </xf>
    <xf numFmtId="3" fontId="15" fillId="0" borderId="84" xfId="59" applyNumberFormat="1" applyFont="1" applyBorder="1" applyAlignment="1">
      <alignment horizontal="right"/>
      <protection/>
    </xf>
    <xf numFmtId="0" fontId="15" fillId="0" borderId="80" xfId="59" applyFont="1" applyBorder="1" applyAlignment="1">
      <alignment horizontal="right"/>
      <protection/>
    </xf>
    <xf numFmtId="0" fontId="15" fillId="0" borderId="81" xfId="59" applyFont="1" applyBorder="1" applyAlignment="1">
      <alignment horizontal="right"/>
      <protection/>
    </xf>
    <xf numFmtId="0" fontId="18" fillId="0" borderId="85" xfId="59" applyFont="1" applyBorder="1">
      <alignment/>
      <protection/>
    </xf>
    <xf numFmtId="0" fontId="18" fillId="0" borderId="81" xfId="59" applyFont="1" applyBorder="1">
      <alignment/>
      <protection/>
    </xf>
    <xf numFmtId="0" fontId="57" fillId="0" borderId="86" xfId="59" applyFont="1" applyBorder="1" applyAlignment="1">
      <alignment horizontal="right" vertical="center"/>
      <protection/>
    </xf>
    <xf numFmtId="0" fontId="18" fillId="0" borderId="0" xfId="59" applyFont="1">
      <alignment/>
      <protection/>
    </xf>
    <xf numFmtId="0" fontId="18" fillId="0" borderId="60" xfId="59" applyFont="1" applyBorder="1">
      <alignment/>
      <protection/>
    </xf>
    <xf numFmtId="0" fontId="22" fillId="0" borderId="61" xfId="59" applyFont="1" applyBorder="1">
      <alignment/>
      <protection/>
    </xf>
    <xf numFmtId="3" fontId="57" fillId="0" borderId="0" xfId="59" applyNumberFormat="1" applyFont="1" applyBorder="1">
      <alignment/>
      <protection/>
    </xf>
    <xf numFmtId="3" fontId="57" fillId="0" borderId="72" xfId="59" applyNumberFormat="1" applyFont="1" applyBorder="1">
      <alignment/>
      <protection/>
    </xf>
    <xf numFmtId="0" fontId="18" fillId="0" borderId="0" xfId="0" applyFont="1" applyBorder="1" applyAlignment="1">
      <alignment horizontal="right"/>
    </xf>
    <xf numFmtId="0" fontId="18" fillId="0" borderId="61" xfId="59" applyFont="1" applyBorder="1">
      <alignment/>
      <protection/>
    </xf>
    <xf numFmtId="0" fontId="23" fillId="0" borderId="58" xfId="59" applyFont="1" applyBorder="1" applyAlignment="1">
      <alignment horizontal="right"/>
      <protection/>
    </xf>
    <xf numFmtId="0" fontId="18" fillId="0" borderId="56" xfId="0" applyFont="1" applyBorder="1" applyAlignment="1">
      <alignment horizontal="right"/>
    </xf>
    <xf numFmtId="3" fontId="19" fillId="0" borderId="78" xfId="59" applyNumberFormat="1" applyFont="1" applyBorder="1" applyAlignment="1">
      <alignment horizontal="right"/>
      <protection/>
    </xf>
    <xf numFmtId="3" fontId="19" fillId="0" borderId="56" xfId="59" applyNumberFormat="1" applyFont="1" applyBorder="1">
      <alignment/>
      <protection/>
    </xf>
    <xf numFmtId="3" fontId="19" fillId="0" borderId="59" xfId="59" applyNumberFormat="1" applyFont="1" applyBorder="1">
      <alignment/>
      <protection/>
    </xf>
    <xf numFmtId="3" fontId="22" fillId="0" borderId="62" xfId="59" applyNumberFormat="1" applyFont="1" applyBorder="1" applyAlignment="1">
      <alignment/>
      <protection/>
    </xf>
    <xf numFmtId="0" fontId="18" fillId="0" borderId="87" xfId="59" applyFont="1" applyBorder="1">
      <alignment/>
      <protection/>
    </xf>
    <xf numFmtId="0" fontId="18" fillId="0" borderId="56" xfId="59" applyFont="1" applyBorder="1">
      <alignment/>
      <protection/>
    </xf>
    <xf numFmtId="0" fontId="18" fillId="0" borderId="62" xfId="59" applyFont="1" applyBorder="1">
      <alignment/>
      <protection/>
    </xf>
    <xf numFmtId="3" fontId="57" fillId="0" borderId="78" xfId="59" applyNumberFormat="1" applyFont="1" applyBorder="1" applyAlignment="1">
      <alignment horizontal="right" vertical="center"/>
      <protection/>
    </xf>
    <xf numFmtId="3" fontId="57" fillId="0" borderId="88" xfId="59" applyNumberFormat="1" applyFont="1" applyBorder="1">
      <alignment/>
      <protection/>
    </xf>
    <xf numFmtId="3" fontId="57" fillId="0" borderId="58" xfId="59" applyNumberFormat="1" applyFont="1" applyBorder="1">
      <alignment/>
      <protection/>
    </xf>
    <xf numFmtId="3" fontId="57" fillId="0" borderId="78" xfId="59" applyNumberFormat="1" applyFont="1" applyBorder="1">
      <alignment/>
      <protection/>
    </xf>
    <xf numFmtId="3" fontId="57" fillId="0" borderId="59" xfId="59" applyNumberFormat="1" applyFont="1" applyBorder="1" applyAlignment="1">
      <alignment horizontal="right" vertical="center"/>
      <protection/>
    </xf>
    <xf numFmtId="3" fontId="58" fillId="0" borderId="0" xfId="59" applyNumberFormat="1" applyFont="1" applyBorder="1" applyAlignment="1">
      <alignment/>
      <protection/>
    </xf>
    <xf numFmtId="0" fontId="18" fillId="34" borderId="89" xfId="59" applyFont="1" applyFill="1" applyBorder="1">
      <alignment/>
      <protection/>
    </xf>
    <xf numFmtId="3" fontId="43" fillId="0" borderId="90" xfId="59" applyNumberFormat="1" applyFont="1" applyBorder="1" applyAlignment="1">
      <alignment horizontal="center"/>
      <protection/>
    </xf>
    <xf numFmtId="0" fontId="18" fillId="0" borderId="91" xfId="59" applyFont="1" applyBorder="1">
      <alignment/>
      <protection/>
    </xf>
    <xf numFmtId="3" fontId="15" fillId="0" borderId="92" xfId="59" applyNumberFormat="1" applyFont="1" applyBorder="1">
      <alignment/>
      <protection/>
    </xf>
    <xf numFmtId="0" fontId="18" fillId="0" borderId="77" xfId="59" applyFont="1" applyBorder="1">
      <alignment/>
      <protection/>
    </xf>
    <xf numFmtId="3" fontId="43" fillId="0" borderId="90" xfId="59" applyNumberFormat="1" applyFont="1" applyBorder="1">
      <alignment/>
      <protection/>
    </xf>
    <xf numFmtId="3" fontId="43" fillId="0" borderId="93" xfId="59" applyNumberFormat="1" applyFont="1" applyBorder="1">
      <alignment/>
      <protection/>
    </xf>
    <xf numFmtId="0" fontId="22" fillId="0" borderId="49" xfId="59" applyFont="1" applyBorder="1">
      <alignment/>
      <protection/>
    </xf>
    <xf numFmtId="0" fontId="19" fillId="0" borderId="0" xfId="59" applyFont="1" applyAlignment="1">
      <alignment horizontal="center"/>
      <protection/>
    </xf>
    <xf numFmtId="0" fontId="19" fillId="0" borderId="0" xfId="59" applyFont="1" applyAlignment="1">
      <alignment horizontal="right"/>
      <protection/>
    </xf>
    <xf numFmtId="0" fontId="14" fillId="0" borderId="0" xfId="59" applyFont="1">
      <alignment/>
      <protection/>
    </xf>
    <xf numFmtId="0" fontId="19" fillId="0" borderId="0" xfId="59" applyFont="1" applyAlignment="1">
      <alignment horizontal="left"/>
      <protection/>
    </xf>
    <xf numFmtId="3" fontId="18" fillId="0" borderId="0" xfId="59" applyNumberFormat="1" applyFont="1">
      <alignment/>
      <protection/>
    </xf>
    <xf numFmtId="0" fontId="22" fillId="0" borderId="0" xfId="59" applyFont="1" applyFill="1" applyBorder="1">
      <alignment/>
      <protection/>
    </xf>
    <xf numFmtId="0" fontId="39" fillId="0" borderId="27" xfId="59" applyFont="1" applyBorder="1">
      <alignment/>
      <protection/>
    </xf>
    <xf numFmtId="3" fontId="18" fillId="0" borderId="27" xfId="59" applyNumberFormat="1" applyFont="1" applyBorder="1">
      <alignment/>
      <protection/>
    </xf>
    <xf numFmtId="0" fontId="18" fillId="0" borderId="27" xfId="59" applyFont="1" applyBorder="1">
      <alignment/>
      <protection/>
    </xf>
    <xf numFmtId="0" fontId="18" fillId="0" borderId="0" xfId="59" applyFont="1" applyAlignment="1">
      <alignment horizontal="right"/>
      <protection/>
    </xf>
    <xf numFmtId="0" fontId="18" fillId="0" borderId="0" xfId="59" applyFont="1" applyAlignment="1">
      <alignment/>
      <protection/>
    </xf>
    <xf numFmtId="0" fontId="18" fillId="0" borderId="0" xfId="0" applyFont="1" applyAlignment="1">
      <alignment horizontal="left"/>
    </xf>
    <xf numFmtId="0" fontId="19" fillId="0" borderId="0" xfId="59" applyFont="1">
      <alignment/>
      <protection/>
    </xf>
    <xf numFmtId="3" fontId="19" fillId="0" borderId="0" xfId="59" applyNumberFormat="1" applyFont="1">
      <alignment/>
      <protection/>
    </xf>
    <xf numFmtId="0" fontId="19" fillId="0" borderId="94" xfId="59" applyFont="1" applyBorder="1" applyAlignment="1">
      <alignment horizontal="center"/>
      <protection/>
    </xf>
    <xf numFmtId="0" fontId="19" fillId="0" borderId="95" xfId="59" applyFont="1" applyBorder="1" applyAlignment="1">
      <alignment horizontal="center" vertical="center"/>
      <protection/>
    </xf>
    <xf numFmtId="0" fontId="19" fillId="0" borderId="94" xfId="59" applyFont="1" applyBorder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58" fillId="0" borderId="57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3" fontId="19" fillId="34" borderId="74" xfId="59" applyNumberFormat="1" applyFont="1" applyFill="1" applyBorder="1" applyAlignment="1">
      <alignment horizontal="right"/>
      <protection/>
    </xf>
    <xf numFmtId="3" fontId="19" fillId="34" borderId="89" xfId="59" applyNumberFormat="1" applyFont="1" applyFill="1" applyBorder="1">
      <alignment/>
      <protection/>
    </xf>
    <xf numFmtId="3" fontId="19" fillId="34" borderId="96" xfId="59" applyNumberFormat="1" applyFont="1" applyFill="1" applyBorder="1">
      <alignment/>
      <protection/>
    </xf>
    <xf numFmtId="3" fontId="22" fillId="0" borderId="62" xfId="0" applyNumberFormat="1" applyFont="1" applyBorder="1" applyAlignment="1">
      <alignment/>
    </xf>
    <xf numFmtId="3" fontId="22" fillId="0" borderId="61" xfId="0" applyNumberFormat="1" applyFont="1" applyBorder="1" applyAlignment="1">
      <alignment/>
    </xf>
    <xf numFmtId="0" fontId="22" fillId="34" borderId="76" xfId="59" applyFont="1" applyFill="1" applyBorder="1" applyAlignment="1">
      <alignment horizontal="left"/>
      <protection/>
    </xf>
    <xf numFmtId="3" fontId="15" fillId="34" borderId="97" xfId="59" applyNumberFormat="1" applyFont="1" applyFill="1" applyBorder="1" applyAlignment="1">
      <alignment horizontal="right"/>
      <protection/>
    </xf>
    <xf numFmtId="3" fontId="15" fillId="34" borderId="98" xfId="59" applyNumberFormat="1" applyFont="1" applyFill="1" applyBorder="1" applyAlignment="1">
      <alignment horizontal="right"/>
      <protection/>
    </xf>
    <xf numFmtId="3" fontId="57" fillId="34" borderId="89" xfId="59" applyNumberFormat="1" applyFont="1" applyFill="1" applyBorder="1" applyAlignment="1">
      <alignment horizontal="right"/>
      <protection/>
    </xf>
    <xf numFmtId="3" fontId="57" fillId="34" borderId="96" xfId="59" applyNumberFormat="1" applyFont="1" applyFill="1" applyBorder="1" applyAlignment="1">
      <alignment horizontal="right" vertical="center"/>
      <protection/>
    </xf>
    <xf numFmtId="0" fontId="18" fillId="0" borderId="53" xfId="0" applyFont="1" applyBorder="1" applyAlignment="1">
      <alignment horizontal="right"/>
    </xf>
    <xf numFmtId="0" fontId="18" fillId="34" borderId="73" xfId="59" applyFont="1" applyFill="1" applyBorder="1" applyAlignment="1">
      <alignment vertical="center"/>
      <protection/>
    </xf>
    <xf numFmtId="3" fontId="15" fillId="34" borderId="97" xfId="59" applyNumberFormat="1" applyFont="1" applyFill="1" applyBorder="1" applyAlignment="1">
      <alignment vertical="center"/>
      <protection/>
    </xf>
    <xf numFmtId="0" fontId="18" fillId="34" borderId="89" xfId="59" applyFont="1" applyFill="1" applyBorder="1" applyAlignment="1">
      <alignment vertical="center"/>
      <protection/>
    </xf>
    <xf numFmtId="3" fontId="15" fillId="34" borderId="83" xfId="59" applyNumberFormat="1" applyFont="1" applyFill="1" applyBorder="1" applyAlignment="1">
      <alignment vertical="center"/>
      <protection/>
    </xf>
    <xf numFmtId="3" fontId="57" fillId="34" borderId="99" xfId="59" applyNumberFormat="1" applyFont="1" applyFill="1" applyBorder="1" applyAlignment="1">
      <alignment vertical="center"/>
      <protection/>
    </xf>
    <xf numFmtId="3" fontId="57" fillId="34" borderId="90" xfId="59" applyNumberFormat="1" applyFont="1" applyFill="1" applyBorder="1" applyAlignment="1">
      <alignment vertical="center"/>
      <protection/>
    </xf>
    <xf numFmtId="3" fontId="57" fillId="34" borderId="86" xfId="59" applyNumberFormat="1" applyFont="1" applyFill="1" applyBorder="1" applyAlignment="1">
      <alignment vertical="center"/>
      <protection/>
    </xf>
    <xf numFmtId="3" fontId="57" fillId="34" borderId="100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3" fontId="22" fillId="0" borderId="0" xfId="59" applyNumberFormat="1" applyFont="1" applyBorder="1" applyAlignment="1">
      <alignment horizontal="right" vertical="center"/>
      <protection/>
    </xf>
    <xf numFmtId="3" fontId="22" fillId="0" borderId="61" xfId="59" applyNumberFormat="1" applyFont="1" applyBorder="1" applyAlignment="1">
      <alignment vertical="center"/>
      <protection/>
    </xf>
    <xf numFmtId="3" fontId="22" fillId="0" borderId="101" xfId="59" applyNumberFormat="1" applyFont="1" applyBorder="1">
      <alignment/>
      <protection/>
    </xf>
    <xf numFmtId="3" fontId="22" fillId="0" borderId="48" xfId="59" applyNumberFormat="1" applyFont="1" applyFill="1" applyBorder="1" applyAlignment="1">
      <alignment vertical="center"/>
      <protection/>
    </xf>
    <xf numFmtId="3" fontId="22" fillId="0" borderId="61" xfId="59" applyNumberFormat="1" applyFont="1" applyFill="1" applyBorder="1" applyAlignment="1">
      <alignment vertical="center"/>
      <protection/>
    </xf>
    <xf numFmtId="3" fontId="22" fillId="0" borderId="61" xfId="59" applyNumberFormat="1" applyFont="1" applyFill="1" applyBorder="1" applyAlignment="1">
      <alignment horizontal="right" vertical="center"/>
      <protection/>
    </xf>
    <xf numFmtId="3" fontId="22" fillId="0" borderId="0" xfId="59" applyNumberFormat="1" applyFont="1" applyBorder="1" applyAlignment="1">
      <alignment vertical="center"/>
      <protection/>
    </xf>
    <xf numFmtId="3" fontId="22" fillId="0" borderId="62" xfId="59" applyNumberFormat="1" applyFont="1" applyFill="1" applyBorder="1" applyAlignment="1">
      <alignment vertical="center"/>
      <protection/>
    </xf>
    <xf numFmtId="0" fontId="42" fillId="0" borderId="0" xfId="60" applyFont="1" applyFill="1" applyAlignment="1">
      <alignment vertical="center" wrapText="1"/>
      <protection/>
    </xf>
    <xf numFmtId="0" fontId="42" fillId="0" borderId="80" xfId="60" applyFont="1" applyFill="1" applyBorder="1" applyAlignment="1">
      <alignment vertical="center" wrapText="1"/>
      <protection/>
    </xf>
    <xf numFmtId="0" fontId="18" fillId="0" borderId="79" xfId="59" applyFont="1" applyBorder="1" applyAlignment="1">
      <alignment horizontal="right"/>
      <protection/>
    </xf>
    <xf numFmtId="0" fontId="18" fillId="0" borderId="66" xfId="59" applyFont="1" applyBorder="1" applyAlignment="1">
      <alignment horizontal="right"/>
      <protection/>
    </xf>
    <xf numFmtId="3" fontId="22" fillId="0" borderId="102" xfId="0" applyNumberFormat="1" applyFont="1" applyBorder="1" applyAlignment="1">
      <alignment/>
    </xf>
    <xf numFmtId="3" fontId="23" fillId="0" borderId="103" xfId="60" applyNumberFormat="1" applyFont="1" applyFill="1" applyBorder="1" applyAlignment="1">
      <alignment horizontal="right" vertical="center"/>
      <protection/>
    </xf>
    <xf numFmtId="3" fontId="23" fillId="0" borderId="94" xfId="60" applyNumberFormat="1" applyFont="1" applyFill="1" applyBorder="1" applyAlignment="1">
      <alignment horizontal="right" vertical="center"/>
      <protection/>
    </xf>
    <xf numFmtId="3" fontId="57" fillId="0" borderId="41" xfId="60" applyNumberFormat="1" applyFont="1" applyFill="1" applyBorder="1" applyAlignment="1">
      <alignment vertical="center"/>
      <protection/>
    </xf>
    <xf numFmtId="3" fontId="22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39" fillId="0" borderId="0" xfId="0" applyFont="1" applyFill="1" applyAlignment="1">
      <alignment vertical="center"/>
    </xf>
    <xf numFmtId="49" fontId="39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49" fontId="39" fillId="0" borderId="27" xfId="0" applyNumberFormat="1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49" fontId="39" fillId="0" borderId="37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vertical="center" wrapText="1"/>
    </xf>
    <xf numFmtId="3" fontId="55" fillId="0" borderId="24" xfId="0" applyNumberFormat="1" applyFont="1" applyFill="1" applyBorder="1" applyAlignment="1">
      <alignment vertical="center"/>
    </xf>
    <xf numFmtId="3" fontId="40" fillId="0" borderId="39" xfId="0" applyNumberFormat="1" applyFont="1" applyFill="1" applyBorder="1" applyAlignment="1">
      <alignment vertical="center"/>
    </xf>
    <xf numFmtId="3" fontId="40" fillId="0" borderId="38" xfId="0" applyNumberFormat="1" applyFont="1" applyFill="1" applyBorder="1" applyAlignment="1">
      <alignment vertical="center"/>
    </xf>
    <xf numFmtId="3" fontId="40" fillId="0" borderId="22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49" fontId="39" fillId="0" borderId="2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3" fontId="55" fillId="0" borderId="11" xfId="0" applyNumberFormat="1" applyFont="1" applyFill="1" applyBorder="1" applyAlignment="1">
      <alignment vertical="center"/>
    </xf>
    <xf numFmtId="3" fontId="40" fillId="0" borderId="17" xfId="0" applyNumberFormat="1" applyFont="1" applyFill="1" applyBorder="1" applyAlignment="1">
      <alignment vertical="center"/>
    </xf>
    <xf numFmtId="3" fontId="55" fillId="0" borderId="16" xfId="0" applyNumberFormat="1" applyFont="1" applyFill="1" applyBorder="1" applyAlignment="1">
      <alignment vertical="center"/>
    </xf>
    <xf numFmtId="3" fontId="39" fillId="0" borderId="0" xfId="0" applyNumberFormat="1" applyFont="1" applyFill="1" applyAlignment="1">
      <alignment vertical="center"/>
    </xf>
    <xf numFmtId="3" fontId="55" fillId="0" borderId="22" xfId="0" applyNumberFormat="1" applyFont="1" applyFill="1" applyBorder="1" applyAlignment="1">
      <alignment vertical="center"/>
    </xf>
    <xf numFmtId="3" fontId="55" fillId="0" borderId="22" xfId="0" applyNumberFormat="1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left" vertical="center" wrapText="1"/>
    </xf>
    <xf numFmtId="3" fontId="40" fillId="0" borderId="22" xfId="0" applyNumberFormat="1" applyFont="1" applyFill="1" applyBorder="1" applyAlignment="1">
      <alignment horizontal="right" vertical="center"/>
    </xf>
    <xf numFmtId="49" fontId="39" fillId="0" borderId="45" xfId="0" applyNumberFormat="1" applyFont="1" applyFill="1" applyBorder="1" applyAlignment="1">
      <alignment horizontal="center" vertical="center"/>
    </xf>
    <xf numFmtId="3" fontId="40" fillId="0" borderId="44" xfId="0" applyNumberFormat="1" applyFont="1" applyFill="1" applyBorder="1" applyAlignment="1">
      <alignment vertical="center"/>
    </xf>
    <xf numFmtId="3" fontId="55" fillId="0" borderId="15" xfId="0" applyNumberFormat="1" applyFont="1" applyFill="1" applyBorder="1" applyAlignment="1">
      <alignment vertical="center"/>
    </xf>
    <xf numFmtId="3" fontId="40" fillId="0" borderId="25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44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29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3" fontId="61" fillId="0" borderId="34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56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55" fillId="0" borderId="0" xfId="0" applyNumberFormat="1" applyFont="1" applyFill="1" applyAlignment="1">
      <alignment vertical="center"/>
    </xf>
    <xf numFmtId="0" fontId="18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1" fillId="0" borderId="21" xfId="61" applyNumberFormat="1" applyFont="1" applyBorder="1" applyAlignment="1">
      <alignment vertical="center"/>
      <protection/>
    </xf>
    <xf numFmtId="3" fontId="21" fillId="0" borderId="22" xfId="61" applyNumberFormat="1" applyFont="1" applyBorder="1" applyAlignment="1">
      <alignment vertical="center"/>
      <protection/>
    </xf>
    <xf numFmtId="3" fontId="21" fillId="0" borderId="23" xfId="61" applyNumberFormat="1" applyFont="1" applyBorder="1" applyAlignment="1">
      <alignment vertical="center"/>
      <protection/>
    </xf>
    <xf numFmtId="3" fontId="21" fillId="0" borderId="21" xfId="61" applyNumberFormat="1" applyFont="1" applyBorder="1" applyAlignment="1">
      <alignment vertical="center"/>
      <protection/>
    </xf>
    <xf numFmtId="3" fontId="21" fillId="0" borderId="17" xfId="61" applyNumberFormat="1" applyFont="1" applyBorder="1" applyAlignment="1">
      <alignment vertical="center"/>
      <protection/>
    </xf>
    <xf numFmtId="3" fontId="21" fillId="0" borderId="31" xfId="61" applyNumberFormat="1" applyFont="1" applyBorder="1" applyAlignment="1">
      <alignment vertical="center"/>
      <protection/>
    </xf>
    <xf numFmtId="3" fontId="13" fillId="0" borderId="21" xfId="61" applyNumberFormat="1" applyBorder="1" applyAlignment="1">
      <alignment vertical="center"/>
      <protection/>
    </xf>
    <xf numFmtId="3" fontId="13" fillId="0" borderId="22" xfId="61" applyNumberFormat="1" applyBorder="1" applyAlignment="1">
      <alignment vertical="center"/>
      <protection/>
    </xf>
    <xf numFmtId="3" fontId="13" fillId="0" borderId="23" xfId="61" applyNumberFormat="1" applyBorder="1" applyAlignment="1">
      <alignment vertical="center"/>
      <protection/>
    </xf>
    <xf numFmtId="3" fontId="13" fillId="0" borderId="17" xfId="61" applyNumberFormat="1" applyBorder="1" applyAlignment="1">
      <alignment vertical="center"/>
      <protection/>
    </xf>
    <xf numFmtId="3" fontId="13" fillId="0" borderId="31" xfId="61" applyNumberFormat="1" applyBorder="1" applyAlignment="1">
      <alignment vertical="center"/>
      <protection/>
    </xf>
    <xf numFmtId="3" fontId="13" fillId="32" borderId="21" xfId="61" applyNumberFormat="1" applyFill="1" applyBorder="1" applyAlignment="1">
      <alignment vertical="center"/>
      <protection/>
    </xf>
    <xf numFmtId="3" fontId="13" fillId="32" borderId="22" xfId="61" applyNumberFormat="1" applyFill="1" applyBorder="1" applyAlignment="1">
      <alignment vertical="center"/>
      <protection/>
    </xf>
    <xf numFmtId="3" fontId="13" fillId="32" borderId="17" xfId="61" applyNumberFormat="1" applyFill="1" applyBorder="1" applyAlignment="1">
      <alignment vertical="center"/>
      <protection/>
    </xf>
    <xf numFmtId="169" fontId="13" fillId="0" borderId="21" xfId="61" applyNumberFormat="1" applyBorder="1" applyAlignment="1">
      <alignment vertical="center"/>
      <protection/>
    </xf>
    <xf numFmtId="169" fontId="13" fillId="0" borderId="17" xfId="61" applyNumberForma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vertical="center"/>
      <protection/>
    </xf>
    <xf numFmtId="3" fontId="21" fillId="0" borderId="22" xfId="61" applyNumberFormat="1" applyFont="1" applyFill="1" applyBorder="1" applyAlignment="1">
      <alignment vertical="center"/>
      <protection/>
    </xf>
    <xf numFmtId="169" fontId="21" fillId="0" borderId="21" xfId="61" applyNumberFormat="1" applyFont="1" applyBorder="1" applyAlignment="1">
      <alignment vertical="center"/>
      <protection/>
    </xf>
    <xf numFmtId="169" fontId="21" fillId="0" borderId="17" xfId="61" applyNumberFormat="1" applyFont="1" applyBorder="1" applyAlignment="1">
      <alignment vertical="center"/>
      <protection/>
    </xf>
    <xf numFmtId="3" fontId="21" fillId="0" borderId="21" xfId="61" applyNumberFormat="1" applyFont="1" applyFill="1" applyBorder="1" applyAlignment="1">
      <alignment horizontal="center" vertical="center"/>
      <protection/>
    </xf>
    <xf numFmtId="3" fontId="21" fillId="0" borderId="22" xfId="61" applyNumberFormat="1" applyFont="1" applyFill="1" applyBorder="1" applyAlignment="1">
      <alignment horizontal="center" vertical="center"/>
      <protection/>
    </xf>
    <xf numFmtId="4" fontId="21" fillId="32" borderId="21" xfId="61" applyNumberFormat="1" applyFont="1" applyFill="1" applyBorder="1" applyAlignment="1">
      <alignment vertical="center"/>
      <protection/>
    </xf>
    <xf numFmtId="4" fontId="21" fillId="32" borderId="17" xfId="61" applyNumberFormat="1" applyFont="1" applyFill="1" applyBorder="1" applyAlignment="1">
      <alignment vertical="center"/>
      <protection/>
    </xf>
    <xf numFmtId="2" fontId="13" fillId="0" borderId="21" xfId="61" applyNumberFormat="1" applyBorder="1" applyAlignment="1">
      <alignment vertical="center"/>
      <protection/>
    </xf>
    <xf numFmtId="2" fontId="13" fillId="0" borderId="17" xfId="61" applyNumberFormat="1" applyBorder="1" applyAlignment="1">
      <alignment vertical="center"/>
      <protection/>
    </xf>
    <xf numFmtId="4" fontId="13" fillId="0" borderId="21" xfId="61" applyNumberFormat="1" applyBorder="1" applyAlignment="1">
      <alignment vertical="center"/>
      <protection/>
    </xf>
    <xf numFmtId="3" fontId="13" fillId="0" borderId="22" xfId="61" applyNumberFormat="1" applyFill="1" applyBorder="1" applyAlignment="1">
      <alignment vertical="center"/>
      <protection/>
    </xf>
    <xf numFmtId="3" fontId="13" fillId="0" borderId="31" xfId="61" applyNumberFormat="1" applyFont="1" applyBorder="1" applyAlignment="1">
      <alignment vertical="center"/>
      <protection/>
    </xf>
    <xf numFmtId="4" fontId="13" fillId="0" borderId="21" xfId="61" applyNumberFormat="1" applyFill="1" applyBorder="1" applyAlignment="1">
      <alignment vertical="center"/>
      <protection/>
    </xf>
    <xf numFmtId="3" fontId="13" fillId="0" borderId="17" xfId="61" applyNumberFormat="1" applyFill="1" applyBorder="1" applyAlignment="1">
      <alignment vertical="center"/>
      <protection/>
    </xf>
    <xf numFmtId="3" fontId="2" fillId="32" borderId="21" xfId="61" applyNumberFormat="1" applyFont="1" applyFill="1" applyBorder="1" applyAlignment="1">
      <alignment horizontal="center" vertical="center"/>
      <protection/>
    </xf>
    <xf numFmtId="3" fontId="2" fillId="32" borderId="22" xfId="61" applyNumberFormat="1" applyFont="1" applyFill="1" applyBorder="1" applyAlignment="1">
      <alignment horizontal="center" vertical="center"/>
      <protection/>
    </xf>
    <xf numFmtId="3" fontId="1" fillId="32" borderId="23" xfId="61" applyNumberFormat="1" applyFont="1" applyFill="1" applyBorder="1" applyAlignment="1">
      <alignment vertical="center"/>
      <protection/>
    </xf>
    <xf numFmtId="3" fontId="2" fillId="32" borderId="17" xfId="61" applyNumberFormat="1" applyFont="1" applyFill="1" applyBorder="1" applyAlignment="1">
      <alignment horizontal="center" vertical="center"/>
      <protection/>
    </xf>
    <xf numFmtId="3" fontId="21" fillId="32" borderId="31" xfId="61" applyNumberFormat="1" applyFont="1" applyFill="1" applyBorder="1" applyAlignment="1">
      <alignment vertical="center"/>
      <protection/>
    </xf>
    <xf numFmtId="0" fontId="13" fillId="0" borderId="0" xfId="61" applyAlignment="1">
      <alignment vertical="center"/>
      <protection/>
    </xf>
    <xf numFmtId="3" fontId="36" fillId="32" borderId="21" xfId="61" applyNumberFormat="1" applyFont="1" applyFill="1" applyBorder="1" applyAlignment="1">
      <alignment horizontal="center" vertical="center"/>
      <protection/>
    </xf>
    <xf numFmtId="3" fontId="36" fillId="32" borderId="22" xfId="61" applyNumberFormat="1" applyFont="1" applyFill="1" applyBorder="1" applyAlignment="1">
      <alignment horizontal="center" vertical="center"/>
      <protection/>
    </xf>
    <xf numFmtId="3" fontId="36" fillId="32" borderId="23" xfId="61" applyNumberFormat="1" applyFont="1" applyFill="1" applyBorder="1" applyAlignment="1">
      <alignment vertical="center"/>
      <protection/>
    </xf>
    <xf numFmtId="3" fontId="36" fillId="32" borderId="17" xfId="61" applyNumberFormat="1" applyFont="1" applyFill="1" applyBorder="1" applyAlignment="1">
      <alignment horizontal="center" vertical="center"/>
      <protection/>
    </xf>
    <xf numFmtId="3" fontId="37" fillId="32" borderId="31" xfId="61" applyNumberFormat="1" applyFont="1" applyFill="1" applyBorder="1" applyAlignment="1">
      <alignment vertical="center"/>
      <protection/>
    </xf>
    <xf numFmtId="0" fontId="39" fillId="0" borderId="22" xfId="0" applyFont="1" applyBorder="1" applyAlignment="1">
      <alignment horizontal="left"/>
    </xf>
    <xf numFmtId="0" fontId="16" fillId="0" borderId="0" xfId="0" applyFont="1" applyBorder="1" applyAlignment="1">
      <alignment/>
    </xf>
    <xf numFmtId="3" fontId="46" fillId="0" borderId="105" xfId="0" applyNumberFormat="1" applyFont="1" applyBorder="1" applyAlignment="1">
      <alignment/>
    </xf>
    <xf numFmtId="3" fontId="20" fillId="0" borderId="105" xfId="0" applyNumberFormat="1" applyFont="1" applyBorder="1" applyAlignment="1">
      <alignment/>
    </xf>
    <xf numFmtId="3" fontId="44" fillId="0" borderId="105" xfId="0" applyNumberFormat="1" applyFont="1" applyBorder="1" applyAlignment="1">
      <alignment/>
    </xf>
    <xf numFmtId="3" fontId="49" fillId="0" borderId="105" xfId="0" applyNumberFormat="1" applyFont="1" applyBorder="1" applyAlignment="1">
      <alignment/>
    </xf>
    <xf numFmtId="3" fontId="51" fillId="0" borderId="105" xfId="0" applyNumberFormat="1" applyFont="1" applyBorder="1" applyAlignment="1">
      <alignment/>
    </xf>
    <xf numFmtId="3" fontId="53" fillId="0" borderId="105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15" fillId="0" borderId="105" xfId="0" applyNumberFormat="1" applyFont="1" applyBorder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22" fillId="0" borderId="58" xfId="59" applyFont="1" applyBorder="1" applyAlignment="1">
      <alignment horizontal="left"/>
      <protection/>
    </xf>
    <xf numFmtId="0" fontId="22" fillId="0" borderId="56" xfId="59" applyFont="1" applyBorder="1" applyAlignment="1">
      <alignment horizontal="left"/>
      <protection/>
    </xf>
    <xf numFmtId="0" fontId="18" fillId="0" borderId="54" xfId="0" applyFont="1" applyBorder="1" applyAlignment="1">
      <alignment horizontal="right"/>
    </xf>
    <xf numFmtId="0" fontId="45" fillId="0" borderId="17" xfId="58" applyFont="1" applyBorder="1" applyAlignment="1">
      <alignment horizontal="left" wrapText="1"/>
      <protection/>
    </xf>
    <xf numFmtId="3" fontId="19" fillId="0" borderId="105" xfId="58" applyNumberFormat="1" applyFont="1" applyBorder="1">
      <alignment/>
      <protection/>
    </xf>
    <xf numFmtId="3" fontId="44" fillId="0" borderId="105" xfId="58" applyNumberFormat="1" applyFont="1" applyBorder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/>
    </xf>
    <xf numFmtId="3" fontId="16" fillId="0" borderId="22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vertical="center"/>
    </xf>
    <xf numFmtId="49" fontId="16" fillId="0" borderId="45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vertical="center" wrapText="1"/>
    </xf>
    <xf numFmtId="3" fontId="16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41" xfId="0" applyNumberFormat="1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vertical="center"/>
    </xf>
    <xf numFmtId="3" fontId="17" fillId="0" borderId="106" xfId="0" applyNumberFormat="1" applyFont="1" applyFill="1" applyBorder="1" applyAlignment="1">
      <alignment vertical="center"/>
    </xf>
    <xf numFmtId="3" fontId="17" fillId="0" borderId="107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34" xfId="0" applyNumberFormat="1" applyFont="1" applyFill="1" applyBorder="1" applyAlignment="1">
      <alignment vertical="center"/>
    </xf>
    <xf numFmtId="3" fontId="109" fillId="0" borderId="37" xfId="60" applyNumberFormat="1" applyFont="1" applyFill="1" applyBorder="1" applyAlignment="1">
      <alignment vertical="center" wrapText="1"/>
      <protection/>
    </xf>
    <xf numFmtId="3" fontId="109" fillId="0" borderId="38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 wrapText="1"/>
      <protection/>
    </xf>
    <xf numFmtId="3" fontId="109" fillId="0" borderId="22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/>
      <protection/>
    </xf>
    <xf numFmtId="3" fontId="109" fillId="0" borderId="22" xfId="60" applyNumberFormat="1" applyFont="1" applyFill="1" applyBorder="1" applyAlignment="1">
      <alignment vertical="center"/>
      <protection/>
    </xf>
    <xf numFmtId="3" fontId="109" fillId="0" borderId="39" xfId="60" applyNumberFormat="1" applyFont="1" applyFill="1" applyBorder="1" applyAlignment="1">
      <alignment vertical="center" wrapText="1"/>
      <protection/>
    </xf>
    <xf numFmtId="3" fontId="109" fillId="0" borderId="17" xfId="60" applyNumberFormat="1" applyFont="1" applyFill="1" applyBorder="1" applyAlignment="1">
      <alignment vertical="center" wrapText="1"/>
      <protection/>
    </xf>
    <xf numFmtId="3" fontId="109" fillId="33" borderId="17" xfId="60" applyNumberFormat="1" applyFont="1" applyFill="1" applyBorder="1" applyAlignment="1">
      <alignment horizontal="right" vertical="center" wrapText="1"/>
      <protection/>
    </xf>
    <xf numFmtId="3" fontId="109" fillId="0" borderId="17" xfId="60" applyNumberFormat="1" applyFont="1" applyFill="1" applyBorder="1" applyAlignment="1">
      <alignment vertical="center"/>
      <protection/>
    </xf>
    <xf numFmtId="3" fontId="57" fillId="0" borderId="107" xfId="60" applyNumberFormat="1" applyFont="1" applyFill="1" applyBorder="1" applyAlignment="1">
      <alignment vertical="center"/>
      <protection/>
    </xf>
    <xf numFmtId="3" fontId="57" fillId="0" borderId="106" xfId="60" applyNumberFormat="1" applyFont="1" applyFill="1" applyBorder="1" applyAlignment="1">
      <alignment vertical="center"/>
      <protection/>
    </xf>
    <xf numFmtId="3" fontId="57" fillId="0" borderId="108" xfId="60" applyNumberFormat="1" applyFont="1" applyFill="1" applyBorder="1" applyAlignment="1">
      <alignment vertical="center"/>
      <protection/>
    </xf>
    <xf numFmtId="3" fontId="109" fillId="0" borderId="45" xfId="60" applyNumberFormat="1" applyFont="1" applyFill="1" applyBorder="1" applyAlignment="1">
      <alignment vertical="center"/>
      <protection/>
    </xf>
    <xf numFmtId="3" fontId="109" fillId="0" borderId="44" xfId="60" applyNumberFormat="1" applyFont="1" applyFill="1" applyBorder="1" applyAlignment="1">
      <alignment vertical="center"/>
      <protection/>
    </xf>
    <xf numFmtId="3" fontId="40" fillId="0" borderId="25" xfId="60" applyNumberFormat="1" applyFont="1" applyFill="1" applyBorder="1" applyAlignment="1">
      <alignment vertical="center"/>
      <protection/>
    </xf>
    <xf numFmtId="3" fontId="39" fillId="0" borderId="25" xfId="60" applyNumberFormat="1" applyFont="1" applyFill="1" applyBorder="1" applyAlignment="1">
      <alignment vertical="center"/>
      <protection/>
    </xf>
    <xf numFmtId="3" fontId="20" fillId="0" borderId="109" xfId="60" applyNumberFormat="1" applyFont="1" applyFill="1" applyBorder="1" applyAlignment="1">
      <alignment vertical="center"/>
      <protection/>
    </xf>
    <xf numFmtId="3" fontId="23" fillId="0" borderId="106" xfId="60" applyNumberFormat="1" applyFont="1" applyFill="1" applyBorder="1" applyAlignment="1">
      <alignment vertical="center"/>
      <protection/>
    </xf>
    <xf numFmtId="3" fontId="23" fillId="0" borderId="107" xfId="60" applyNumberFormat="1" applyFont="1" applyFill="1" applyBorder="1" applyAlignment="1">
      <alignment vertical="center"/>
      <protection/>
    </xf>
    <xf numFmtId="3" fontId="22" fillId="0" borderId="48" xfId="59" applyNumberFormat="1" applyFont="1" applyBorder="1" applyAlignment="1">
      <alignment vertical="center"/>
      <protection/>
    </xf>
    <xf numFmtId="0" fontId="58" fillId="0" borderId="95" xfId="59" applyFont="1" applyBorder="1" applyAlignment="1">
      <alignment horizontal="left"/>
      <protection/>
    </xf>
    <xf numFmtId="0" fontId="58" fillId="0" borderId="33" xfId="59" applyFont="1" applyBorder="1" applyAlignment="1">
      <alignment horizontal="left"/>
      <protection/>
    </xf>
    <xf numFmtId="3" fontId="58" fillId="0" borderId="48" xfId="59" applyNumberFormat="1" applyFont="1" applyFill="1" applyBorder="1">
      <alignment/>
      <protection/>
    </xf>
    <xf numFmtId="0" fontId="18" fillId="0" borderId="110" xfId="59" applyFont="1" applyBorder="1" applyAlignment="1">
      <alignment horizontal="right"/>
      <protection/>
    </xf>
    <xf numFmtId="0" fontId="58" fillId="0" borderId="80" xfId="59" applyFont="1" applyBorder="1">
      <alignment/>
      <protection/>
    </xf>
    <xf numFmtId="3" fontId="57" fillId="0" borderId="79" xfId="59" applyNumberFormat="1" applyFont="1" applyBorder="1" applyAlignment="1">
      <alignment horizontal="right" vertical="center"/>
      <protection/>
    </xf>
    <xf numFmtId="3" fontId="57" fillId="0" borderId="81" xfId="59" applyNumberFormat="1" applyFont="1" applyBorder="1" applyAlignment="1">
      <alignment horizontal="right" vertical="center"/>
      <protection/>
    </xf>
    <xf numFmtId="3" fontId="22" fillId="0" borderId="85" xfId="59" applyNumberFormat="1" applyFont="1" applyBorder="1">
      <alignment/>
      <protection/>
    </xf>
    <xf numFmtId="3" fontId="22" fillId="0" borderId="79" xfId="59" applyNumberFormat="1" applyFont="1" applyBorder="1">
      <alignment/>
      <protection/>
    </xf>
    <xf numFmtId="3" fontId="22" fillId="0" borderId="81" xfId="59" applyNumberFormat="1" applyFont="1" applyBorder="1">
      <alignment/>
      <protection/>
    </xf>
    <xf numFmtId="3" fontId="19" fillId="34" borderId="81" xfId="59" applyNumberFormat="1" applyFont="1" applyFill="1" applyBorder="1" applyAlignment="1">
      <alignment vertical="center"/>
      <protection/>
    </xf>
    <xf numFmtId="3" fontId="19" fillId="34" borderId="110" xfId="59" applyNumberFormat="1" applyFont="1" applyFill="1" applyBorder="1" applyAlignment="1">
      <alignment vertical="center"/>
      <protection/>
    </xf>
    <xf numFmtId="3" fontId="43" fillId="0" borderId="86" xfId="59" applyNumberFormat="1" applyFont="1" applyBorder="1">
      <alignment/>
      <protection/>
    </xf>
    <xf numFmtId="164" fontId="6" fillId="0" borderId="40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9" fillId="0" borderId="1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0" fillId="0" borderId="61" xfId="0" applyBorder="1" applyAlignment="1">
      <alignment/>
    </xf>
    <xf numFmtId="0" fontId="18" fillId="0" borderId="31" xfId="0" applyFont="1" applyBorder="1" applyAlignment="1">
      <alignment horizontal="center"/>
    </xf>
    <xf numFmtId="0" fontId="0" fillId="0" borderId="117" xfId="0" applyBorder="1" applyAlignment="1">
      <alignment/>
    </xf>
    <xf numFmtId="3" fontId="21" fillId="4" borderId="117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35" borderId="36" xfId="0" applyNumberFormat="1" applyFill="1" applyBorder="1" applyAlignment="1">
      <alignment/>
    </xf>
    <xf numFmtId="3" fontId="0" fillId="4" borderId="118" xfId="0" applyNumberFormat="1" applyFill="1" applyBorder="1" applyAlignment="1">
      <alignment/>
    </xf>
    <xf numFmtId="0" fontId="0" fillId="0" borderId="119" xfId="0" applyBorder="1" applyAlignment="1">
      <alignment/>
    </xf>
    <xf numFmtId="3" fontId="21" fillId="4" borderId="12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35" borderId="22" xfId="0" applyNumberFormat="1" applyFill="1" applyBorder="1" applyAlignment="1">
      <alignment/>
    </xf>
    <xf numFmtId="3" fontId="0" fillId="4" borderId="31" xfId="0" applyNumberFormat="1" applyFill="1" applyBorder="1" applyAlignment="1">
      <alignment/>
    </xf>
    <xf numFmtId="0" fontId="21" fillId="0" borderId="42" xfId="0" applyFont="1" applyBorder="1" applyAlignment="1">
      <alignment/>
    </xf>
    <xf numFmtId="3" fontId="21" fillId="4" borderId="46" xfId="0" applyNumberFormat="1" applyFont="1" applyFill="1" applyBorder="1" applyAlignment="1">
      <alignment/>
    </xf>
    <xf numFmtId="3" fontId="21" fillId="36" borderId="94" xfId="0" applyNumberFormat="1" applyFont="1" applyFill="1" applyBorder="1" applyAlignment="1">
      <alignment/>
    </xf>
    <xf numFmtId="3" fontId="21" fillId="35" borderId="94" xfId="0" applyNumberFormat="1" applyFont="1" applyFill="1" applyBorder="1" applyAlignment="1">
      <alignment/>
    </xf>
    <xf numFmtId="3" fontId="21" fillId="35" borderId="121" xfId="0" applyNumberFormat="1" applyFont="1" applyFill="1" applyBorder="1" applyAlignment="1">
      <alignment/>
    </xf>
    <xf numFmtId="3" fontId="21" fillId="35" borderId="107" xfId="0" applyNumberFormat="1" applyFont="1" applyFill="1" applyBorder="1" applyAlignment="1">
      <alignment/>
    </xf>
    <xf numFmtId="3" fontId="21" fillId="4" borderId="41" xfId="0" applyNumberFormat="1" applyFont="1" applyFill="1" applyBorder="1" applyAlignment="1">
      <alignment/>
    </xf>
    <xf numFmtId="0" fontId="18" fillId="0" borderId="109" xfId="0" applyFont="1" applyBorder="1" applyAlignment="1">
      <alignment horizontal="center"/>
    </xf>
    <xf numFmtId="0" fontId="0" fillId="0" borderId="37" xfId="0" applyBorder="1" applyAlignment="1">
      <alignment horizontal="left"/>
    </xf>
    <xf numFmtId="3" fontId="0" fillId="4" borderId="35" xfId="0" applyNumberFormat="1" applyFill="1" applyBorder="1" applyAlignment="1">
      <alignment/>
    </xf>
    <xf numFmtId="0" fontId="0" fillId="0" borderId="122" xfId="0" applyBorder="1" applyAlignment="1">
      <alignment horizontal="right"/>
    </xf>
    <xf numFmtId="0" fontId="0" fillId="0" borderId="45" xfId="0" applyBorder="1" applyAlignment="1">
      <alignment horizontal="left"/>
    </xf>
    <xf numFmtId="3" fontId="0" fillId="4" borderId="21" xfId="0" applyNumberFormat="1" applyFill="1" applyBorder="1" applyAlignment="1">
      <alignment/>
    </xf>
    <xf numFmtId="0" fontId="18" fillId="0" borderId="115" xfId="0" applyFont="1" applyBorder="1" applyAlignment="1">
      <alignment horizontal="center" vertical="center"/>
    </xf>
    <xf numFmtId="0" fontId="21" fillId="0" borderId="73" xfId="0" applyFont="1" applyBorder="1" applyAlignment="1">
      <alignment/>
    </xf>
    <xf numFmtId="3" fontId="21" fillId="4" borderId="73" xfId="0" applyNumberFormat="1" applyFont="1" applyFill="1" applyBorder="1" applyAlignment="1">
      <alignment/>
    </xf>
    <xf numFmtId="3" fontId="21" fillId="36" borderId="123" xfId="0" applyNumberFormat="1" applyFont="1" applyFill="1" applyBorder="1" applyAlignment="1">
      <alignment horizontal="right"/>
    </xf>
    <xf numFmtId="3" fontId="21" fillId="4" borderId="97" xfId="0" applyNumberFormat="1" applyFont="1" applyFill="1" applyBorder="1" applyAlignment="1">
      <alignment/>
    </xf>
    <xf numFmtId="0" fontId="18" fillId="0" borderId="111" xfId="0" applyFont="1" applyBorder="1" applyAlignment="1">
      <alignment horizontal="center" vertical="center"/>
    </xf>
    <xf numFmtId="3" fontId="13" fillId="4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3" fontId="13" fillId="4" borderId="45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8" fillId="0" borderId="21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18" fillId="0" borderId="115" xfId="0" applyFont="1" applyBorder="1" applyAlignment="1">
      <alignment horizontal="center"/>
    </xf>
    <xf numFmtId="0" fontId="21" fillId="0" borderId="97" xfId="0" applyFont="1" applyBorder="1" applyAlignment="1">
      <alignment/>
    </xf>
    <xf numFmtId="3" fontId="21" fillId="36" borderId="74" xfId="0" applyNumberFormat="1" applyFont="1" applyFill="1" applyBorder="1" applyAlignment="1">
      <alignment/>
    </xf>
    <xf numFmtId="3" fontId="0" fillId="0" borderId="122" xfId="0" applyNumberFormat="1" applyBorder="1" applyAlignment="1">
      <alignment/>
    </xf>
    <xf numFmtId="3" fontId="0" fillId="35" borderId="78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0" fontId="0" fillId="0" borderId="36" xfId="0" applyBorder="1" applyAlignment="1">
      <alignment horizontal="right"/>
    </xf>
    <xf numFmtId="0" fontId="0" fillId="0" borderId="1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125" xfId="0" applyBorder="1" applyAlignment="1">
      <alignment/>
    </xf>
    <xf numFmtId="3" fontId="0" fillId="4" borderId="29" xfId="0" applyNumberFormat="1" applyFill="1" applyBorder="1" applyAlignment="1">
      <alignment/>
    </xf>
    <xf numFmtId="3" fontId="0" fillId="35" borderId="94" xfId="0" applyNumberFormat="1" applyFill="1" applyBorder="1" applyAlignment="1">
      <alignment/>
    </xf>
    <xf numFmtId="3" fontId="0" fillId="35" borderId="107" xfId="0" applyNumberFormat="1" applyFill="1" applyBorder="1" applyAlignment="1">
      <alignment/>
    </xf>
    <xf numFmtId="3" fontId="0" fillId="35" borderId="74" xfId="0" applyNumberFormat="1" applyFill="1" applyBorder="1" applyAlignment="1">
      <alignment/>
    </xf>
    <xf numFmtId="3" fontId="0" fillId="35" borderId="126" xfId="0" applyNumberFormat="1" applyFill="1" applyBorder="1" applyAlignment="1">
      <alignment/>
    </xf>
    <xf numFmtId="0" fontId="14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18" xfId="0" applyBorder="1" applyAlignment="1">
      <alignment/>
    </xf>
    <xf numFmtId="3" fontId="22" fillId="0" borderId="62" xfId="59" applyNumberFormat="1" applyFont="1" applyBorder="1" applyAlignment="1">
      <alignment vertical="center"/>
      <protection/>
    </xf>
    <xf numFmtId="3" fontId="22" fillId="0" borderId="102" xfId="59" applyNumberFormat="1" applyFont="1" applyBorder="1" applyAlignment="1">
      <alignment vertical="center"/>
      <protection/>
    </xf>
    <xf numFmtId="3" fontId="22" fillId="0" borderId="101" xfId="59" applyNumberFormat="1" applyFont="1" applyBorder="1" applyAlignment="1">
      <alignment vertical="center"/>
      <protection/>
    </xf>
    <xf numFmtId="3" fontId="22" fillId="0" borderId="0" xfId="59" applyNumberFormat="1" applyFont="1" applyFill="1" applyBorder="1" applyAlignment="1">
      <alignment vertical="center"/>
      <protection/>
    </xf>
    <xf numFmtId="3" fontId="19" fillId="34" borderId="74" xfId="59" applyNumberFormat="1" applyFont="1" applyFill="1" applyBorder="1" applyAlignment="1">
      <alignment horizontal="right" vertical="center"/>
      <protection/>
    </xf>
    <xf numFmtId="3" fontId="19" fillId="34" borderId="89" xfId="59" applyNumberFormat="1" applyFont="1" applyFill="1" applyBorder="1" applyAlignment="1">
      <alignment vertical="center"/>
      <protection/>
    </xf>
    <xf numFmtId="3" fontId="19" fillId="34" borderId="96" xfId="59" applyNumberFormat="1" applyFont="1" applyFill="1" applyBorder="1" applyAlignment="1">
      <alignment vertical="center"/>
      <protection/>
    </xf>
    <xf numFmtId="0" fontId="22" fillId="34" borderId="76" xfId="59" applyFont="1" applyFill="1" applyBorder="1" applyAlignment="1">
      <alignment horizontal="left" vertical="center"/>
      <protection/>
    </xf>
    <xf numFmtId="3" fontId="15" fillId="34" borderId="97" xfId="59" applyNumberFormat="1" applyFont="1" applyFill="1" applyBorder="1" applyAlignment="1">
      <alignment horizontal="right" vertical="center"/>
      <protection/>
    </xf>
    <xf numFmtId="3" fontId="15" fillId="34" borderId="98" xfId="59" applyNumberFormat="1" applyFont="1" applyFill="1" applyBorder="1" applyAlignment="1">
      <alignment horizontal="right" vertical="center"/>
      <protection/>
    </xf>
    <xf numFmtId="3" fontId="57" fillId="34" borderId="89" xfId="59" applyNumberFormat="1" applyFont="1" applyFill="1" applyBorder="1" applyAlignment="1">
      <alignment horizontal="right" vertical="center"/>
      <protection/>
    </xf>
    <xf numFmtId="3" fontId="57" fillId="34" borderId="74" xfId="59" applyNumberFormat="1" applyFont="1" applyFill="1" applyBorder="1" applyAlignment="1">
      <alignment horizontal="right" vertical="center"/>
      <protection/>
    </xf>
    <xf numFmtId="3" fontId="57" fillId="34" borderId="75" xfId="59" applyNumberFormat="1" applyFont="1" applyFill="1" applyBorder="1" applyAlignment="1">
      <alignment vertical="center"/>
      <protection/>
    </xf>
    <xf numFmtId="3" fontId="57" fillId="34" borderId="76" xfId="59" applyNumberFormat="1" applyFont="1" applyFill="1" applyBorder="1" applyAlignment="1">
      <alignment vertical="center"/>
      <protection/>
    </xf>
    <xf numFmtId="3" fontId="57" fillId="34" borderId="74" xfId="59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horizontal="center"/>
    </xf>
    <xf numFmtId="0" fontId="19" fillId="0" borderId="127" xfId="59" applyFont="1" applyBorder="1" applyAlignment="1">
      <alignment horizontal="center" vertical="center"/>
      <protection/>
    </xf>
    <xf numFmtId="3" fontId="15" fillId="0" borderId="91" xfId="59" applyNumberFormat="1" applyFont="1" applyBorder="1">
      <alignment/>
      <protection/>
    </xf>
    <xf numFmtId="3" fontId="43" fillId="0" borderId="99" xfId="59" applyNumberFormat="1" applyFont="1" applyBorder="1">
      <alignment/>
      <protection/>
    </xf>
    <xf numFmtId="3" fontId="57" fillId="0" borderId="72" xfId="59" applyNumberFormat="1" applyFont="1" applyBorder="1" applyAlignment="1">
      <alignment horizontal="right" vertical="center"/>
      <protection/>
    </xf>
    <xf numFmtId="0" fontId="15" fillId="0" borderId="128" xfId="59" applyFont="1" applyBorder="1" applyAlignment="1">
      <alignment horizontal="right" vertical="center"/>
      <protection/>
    </xf>
    <xf numFmtId="0" fontId="19" fillId="0" borderId="50" xfId="59" applyFont="1" applyBorder="1" applyAlignment="1">
      <alignment horizontal="center" vertical="center"/>
      <protection/>
    </xf>
    <xf numFmtId="0" fontId="19" fillId="0" borderId="129" xfId="60" applyFont="1" applyFill="1" applyBorder="1" applyAlignment="1">
      <alignment horizontal="center" vertical="center" wrapText="1"/>
      <protection/>
    </xf>
    <xf numFmtId="0" fontId="19" fillId="0" borderId="46" xfId="59" applyFont="1" applyBorder="1" applyAlignment="1">
      <alignment horizontal="center" vertical="center"/>
      <protection/>
    </xf>
    <xf numFmtId="0" fontId="19" fillId="0" borderId="121" xfId="59" applyFont="1" applyBorder="1" applyAlignment="1">
      <alignment horizontal="center" vertical="center"/>
      <protection/>
    </xf>
    <xf numFmtId="0" fontId="23" fillId="0" borderId="79" xfId="59" applyFont="1" applyBorder="1" applyAlignment="1">
      <alignment horizontal="right" vertical="center"/>
      <protection/>
    </xf>
    <xf numFmtId="3" fontId="19" fillId="0" borderId="81" xfId="59" applyNumberFormat="1" applyFont="1" applyBorder="1" applyAlignment="1">
      <alignment horizontal="right" vertical="center"/>
      <protection/>
    </xf>
    <xf numFmtId="3" fontId="19" fillId="0" borderId="80" xfId="59" applyNumberFormat="1" applyFont="1" applyBorder="1" applyAlignment="1">
      <alignment vertical="center"/>
      <protection/>
    </xf>
    <xf numFmtId="3" fontId="19" fillId="0" borderId="69" xfId="59" applyNumberFormat="1" applyFont="1" applyBorder="1" applyAlignment="1">
      <alignment vertical="center"/>
      <protection/>
    </xf>
    <xf numFmtId="3" fontId="58" fillId="0" borderId="80" xfId="59" applyNumberFormat="1" applyFont="1" applyBorder="1" applyAlignment="1">
      <alignment vertical="center"/>
      <protection/>
    </xf>
    <xf numFmtId="3" fontId="23" fillId="0" borderId="80" xfId="59" applyNumberFormat="1" applyFont="1" applyFill="1" applyBorder="1" applyAlignment="1">
      <alignment vertical="center"/>
      <protection/>
    </xf>
    <xf numFmtId="3" fontId="15" fillId="0" borderId="83" xfId="59" applyNumberFormat="1" applyFont="1" applyBorder="1" applyAlignment="1">
      <alignment vertical="center"/>
      <protection/>
    </xf>
    <xf numFmtId="3" fontId="57" fillId="0" borderId="79" xfId="59" applyNumberFormat="1" applyFont="1" applyBorder="1" applyAlignment="1">
      <alignment vertical="center"/>
      <protection/>
    </xf>
    <xf numFmtId="3" fontId="57" fillId="0" borderId="81" xfId="59" applyNumberFormat="1" applyFont="1" applyBorder="1" applyAlignment="1">
      <alignment vertical="center"/>
      <protection/>
    </xf>
    <xf numFmtId="3" fontId="57" fillId="0" borderId="85" xfId="59" applyNumberFormat="1" applyFont="1" applyBorder="1" applyAlignment="1">
      <alignment vertical="center"/>
      <protection/>
    </xf>
    <xf numFmtId="0" fontId="19" fillId="0" borderId="103" xfId="59" applyFont="1" applyBorder="1" applyAlignment="1">
      <alignment horizontal="center"/>
      <protection/>
    </xf>
    <xf numFmtId="0" fontId="19" fillId="0" borderId="103" xfId="59" applyFont="1" applyBorder="1" applyAlignment="1">
      <alignment horizontal="center" vertical="center"/>
      <protection/>
    </xf>
    <xf numFmtId="3" fontId="19" fillId="34" borderId="97" xfId="59" applyNumberFormat="1" applyFont="1" applyFill="1" applyBorder="1" applyAlignment="1">
      <alignment horizontal="right" vertical="center"/>
      <protection/>
    </xf>
    <xf numFmtId="3" fontId="57" fillId="34" borderId="76" xfId="59" applyNumberFormat="1" applyFont="1" applyFill="1" applyBorder="1" applyAlignment="1">
      <alignment horizontal="right" vertical="center"/>
      <protection/>
    </xf>
    <xf numFmtId="3" fontId="57" fillId="34" borderId="96" xfId="59" applyNumberFormat="1" applyFont="1" applyFill="1" applyBorder="1" applyAlignment="1">
      <alignment vertical="center"/>
      <protection/>
    </xf>
    <xf numFmtId="0" fontId="22" fillId="0" borderId="57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57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3" fillId="0" borderId="95" xfId="59" applyFont="1" applyBorder="1" applyAlignment="1">
      <alignment horizontal="right" vertical="center"/>
      <protection/>
    </xf>
    <xf numFmtId="0" fontId="23" fillId="0" borderId="33" xfId="59" applyFont="1" applyBorder="1" applyAlignment="1">
      <alignment horizontal="right" vertical="center"/>
      <protection/>
    </xf>
    <xf numFmtId="0" fontId="23" fillId="0" borderId="26" xfId="59" applyFont="1" applyBorder="1" applyAlignment="1">
      <alignment horizontal="right" vertical="center"/>
      <protection/>
    </xf>
    <xf numFmtId="3" fontId="19" fillId="0" borderId="130" xfId="59" applyNumberFormat="1" applyFont="1" applyBorder="1" applyAlignment="1">
      <alignment horizontal="right" vertical="center"/>
      <protection/>
    </xf>
    <xf numFmtId="3" fontId="19" fillId="0" borderId="131" xfId="59" applyNumberFormat="1" applyFont="1" applyBorder="1" applyAlignment="1">
      <alignment horizontal="right" vertical="center"/>
      <protection/>
    </xf>
    <xf numFmtId="3" fontId="40" fillId="0" borderId="124" xfId="60" applyNumberFormat="1" applyFont="1" applyFill="1" applyBorder="1" applyAlignment="1">
      <alignment vertical="center" wrapText="1"/>
      <protection/>
    </xf>
    <xf numFmtId="3" fontId="40" fillId="0" borderId="54" xfId="60" applyNumberFormat="1" applyFont="1" applyFill="1" applyBorder="1" applyAlignment="1">
      <alignment vertical="center" wrapText="1"/>
      <protection/>
    </xf>
    <xf numFmtId="49" fontId="39" fillId="0" borderId="29" xfId="60" applyNumberFormat="1" applyFont="1" applyFill="1" applyBorder="1" applyAlignment="1">
      <alignment horizontal="center" vertical="center"/>
      <protection/>
    </xf>
    <xf numFmtId="0" fontId="20" fillId="0" borderId="18" xfId="60" applyFont="1" applyFill="1" applyBorder="1" applyAlignment="1">
      <alignment vertical="center" wrapText="1"/>
      <protection/>
    </xf>
    <xf numFmtId="3" fontId="40" fillId="0" borderId="34" xfId="60" applyNumberFormat="1" applyFont="1" applyFill="1" applyBorder="1" applyAlignment="1">
      <alignment vertical="center" wrapText="1"/>
      <protection/>
    </xf>
    <xf numFmtId="0" fontId="18" fillId="0" borderId="72" xfId="59" applyFont="1" applyBorder="1">
      <alignment/>
      <protection/>
    </xf>
    <xf numFmtId="3" fontId="19" fillId="0" borderId="26" xfId="59" applyNumberFormat="1" applyFont="1" applyBorder="1" applyAlignment="1">
      <alignment horizontal="right" vertical="center"/>
      <protection/>
    </xf>
    <xf numFmtId="0" fontId="22" fillId="34" borderId="89" xfId="59" applyFont="1" applyFill="1" applyBorder="1" applyAlignment="1">
      <alignment horizontal="left" vertical="center" wrapText="1"/>
      <protection/>
    </xf>
    <xf numFmtId="0" fontId="22" fillId="0" borderId="77" xfId="59" applyFont="1" applyBorder="1" applyAlignment="1">
      <alignment horizontal="left"/>
      <protection/>
    </xf>
    <xf numFmtId="3" fontId="22" fillId="0" borderId="0" xfId="59" applyNumberFormat="1" applyFont="1" applyBorder="1" applyAlignment="1">
      <alignment/>
      <protection/>
    </xf>
    <xf numFmtId="3" fontId="57" fillId="0" borderId="128" xfId="59" applyNumberFormat="1" applyFont="1" applyBorder="1" applyAlignment="1">
      <alignment vertical="center"/>
      <protection/>
    </xf>
    <xf numFmtId="3" fontId="57" fillId="0" borderId="132" xfId="59" applyNumberFormat="1" applyFont="1" applyBorder="1" applyAlignment="1">
      <alignment vertical="center"/>
      <protection/>
    </xf>
    <xf numFmtId="0" fontId="2" fillId="33" borderId="0" xfId="61" applyFont="1" applyFill="1" applyBorder="1" applyAlignment="1">
      <alignment horizontal="right"/>
      <protection/>
    </xf>
    <xf numFmtId="3" fontId="2" fillId="33" borderId="0" xfId="61" applyNumberFormat="1" applyFont="1" applyFill="1" applyBorder="1" applyAlignment="1">
      <alignment horizontal="center" vertical="center"/>
      <protection/>
    </xf>
    <xf numFmtId="3" fontId="1" fillId="33" borderId="0" xfId="61" applyNumberFormat="1" applyFont="1" applyFill="1" applyBorder="1" applyAlignment="1">
      <alignment vertical="center"/>
      <protection/>
    </xf>
    <xf numFmtId="3" fontId="21" fillId="33" borderId="0" xfId="61" applyNumberFormat="1" applyFont="1" applyFill="1" applyBorder="1" applyAlignment="1">
      <alignment vertical="center"/>
      <protection/>
    </xf>
    <xf numFmtId="3" fontId="2" fillId="33" borderId="0" xfId="61" applyNumberFormat="1" applyFont="1" applyFill="1">
      <alignment/>
      <protection/>
    </xf>
    <xf numFmtId="3" fontId="1" fillId="33" borderId="0" xfId="61" applyNumberFormat="1" applyFont="1" applyFill="1">
      <alignment/>
      <protection/>
    </xf>
    <xf numFmtId="0" fontId="2" fillId="33" borderId="0" xfId="61" applyFont="1" applyFill="1">
      <alignment/>
      <protection/>
    </xf>
    <xf numFmtId="0" fontId="13" fillId="33" borderId="0" xfId="61" applyFill="1">
      <alignment/>
      <protection/>
    </xf>
    <xf numFmtId="3" fontId="0" fillId="4" borderId="37" xfId="0" applyNumberFormat="1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133" xfId="0" applyBorder="1" applyAlignment="1">
      <alignment horizontal="left"/>
    </xf>
    <xf numFmtId="3" fontId="0" fillId="35" borderId="36" xfId="0" applyNumberFormat="1" applyFill="1" applyBorder="1" applyAlignment="1">
      <alignment horizontal="right" vertical="center"/>
    </xf>
    <xf numFmtId="3" fontId="0" fillId="35" borderId="17" xfId="0" applyNumberFormat="1" applyFill="1" applyBorder="1" applyAlignment="1">
      <alignment/>
    </xf>
    <xf numFmtId="3" fontId="0" fillId="4" borderId="119" xfId="0" applyNumberFormat="1" applyFill="1" applyBorder="1" applyAlignment="1">
      <alignment/>
    </xf>
    <xf numFmtId="3" fontId="0" fillId="4" borderId="125" xfId="0" applyNumberFormat="1" applyFill="1" applyBorder="1" applyAlignment="1">
      <alignment/>
    </xf>
    <xf numFmtId="3" fontId="0" fillId="35" borderId="134" xfId="0" applyNumberFormat="1" applyFill="1" applyBorder="1" applyAlignment="1">
      <alignment horizontal="right" vertical="center"/>
    </xf>
    <xf numFmtId="3" fontId="0" fillId="35" borderId="14" xfId="0" applyNumberFormat="1" applyFill="1" applyBorder="1" applyAlignment="1">
      <alignment/>
    </xf>
    <xf numFmtId="3" fontId="21" fillId="35" borderId="14" xfId="0" applyNumberFormat="1" applyFont="1" applyFill="1" applyBorder="1" applyAlignment="1">
      <alignment/>
    </xf>
    <xf numFmtId="3" fontId="0" fillId="35" borderId="135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/>
    </xf>
    <xf numFmtId="3" fontId="0" fillId="4" borderId="133" xfId="0" applyNumberFormat="1" applyFill="1" applyBorder="1" applyAlignment="1">
      <alignment/>
    </xf>
    <xf numFmtId="3" fontId="0" fillId="4" borderId="136" xfId="0" applyNumberFormat="1" applyFill="1" applyBorder="1" applyAlignment="1">
      <alignment/>
    </xf>
    <xf numFmtId="0" fontId="20" fillId="0" borderId="22" xfId="57" applyFont="1" applyBorder="1" applyAlignment="1">
      <alignment horizontal="center" vertical="center"/>
      <protection/>
    </xf>
    <xf numFmtId="3" fontId="40" fillId="0" borderId="22" xfId="58" applyNumberFormat="1" applyFont="1" applyBorder="1" applyAlignment="1">
      <alignment vertical="center"/>
      <protection/>
    </xf>
    <xf numFmtId="3" fontId="19" fillId="0" borderId="22" xfId="58" applyNumberFormat="1" applyFont="1" applyBorder="1" applyAlignment="1">
      <alignment vertical="center"/>
      <protection/>
    </xf>
    <xf numFmtId="3" fontId="45" fillId="0" borderId="22" xfId="58" applyNumberFormat="1" applyFont="1" applyBorder="1" applyAlignment="1">
      <alignment vertical="center"/>
      <protection/>
    </xf>
    <xf numFmtId="3" fontId="44" fillId="0" borderId="22" xfId="58" applyNumberFormat="1" applyFont="1" applyBorder="1" applyAlignment="1">
      <alignment vertical="center"/>
      <protection/>
    </xf>
    <xf numFmtId="0" fontId="45" fillId="0" borderId="17" xfId="58" applyFont="1" applyBorder="1" applyAlignment="1">
      <alignment horizontal="left" vertical="center" wrapText="1"/>
      <protection/>
    </xf>
    <xf numFmtId="3" fontId="26" fillId="0" borderId="22" xfId="42" applyNumberFormat="1" applyFont="1" applyBorder="1" applyAlignment="1">
      <alignment horizontal="right" vertical="center"/>
    </xf>
    <xf numFmtId="0" fontId="26" fillId="0" borderId="22" xfId="57" applyFont="1" applyBorder="1" applyAlignment="1">
      <alignment vertical="center"/>
      <protection/>
    </xf>
    <xf numFmtId="0" fontId="27" fillId="0" borderId="0" xfId="57" applyFont="1" applyAlignment="1">
      <alignment vertical="center"/>
      <protection/>
    </xf>
    <xf numFmtId="3" fontId="13" fillId="0" borderId="0" xfId="61" applyNumberFormat="1" applyFont="1" applyAlignment="1">
      <alignment vertical="center"/>
      <protection/>
    </xf>
    <xf numFmtId="0" fontId="0" fillId="0" borderId="10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18" fillId="0" borderId="92" xfId="0" applyFont="1" applyBorder="1" applyAlignment="1">
      <alignment horizontal="center" vertical="center"/>
    </xf>
    <xf numFmtId="0" fontId="18" fillId="37" borderId="92" xfId="0" applyFont="1" applyFill="1" applyBorder="1" applyAlignment="1">
      <alignment horizontal="center" vertical="center"/>
    </xf>
    <xf numFmtId="3" fontId="13" fillId="4" borderId="37" xfId="0" applyNumberFormat="1" applyFont="1" applyFill="1" applyBorder="1" applyAlignment="1">
      <alignment horizontal="right"/>
    </xf>
    <xf numFmtId="3" fontId="0" fillId="35" borderId="38" xfId="0" applyNumberFormat="1" applyFill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4" borderId="30" xfId="0" applyNumberFormat="1" applyFill="1" applyBorder="1" applyAlignment="1">
      <alignment/>
    </xf>
    <xf numFmtId="0" fontId="18" fillId="0" borderId="137" xfId="0" applyFont="1" applyBorder="1" applyAlignment="1">
      <alignment horizontal="center" vertical="center"/>
    </xf>
    <xf numFmtId="0" fontId="0" fillId="0" borderId="138" xfId="0" applyBorder="1" applyAlignment="1">
      <alignment vertical="center"/>
    </xf>
    <xf numFmtId="0" fontId="18" fillId="37" borderId="92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22" xfId="0" applyFont="1" applyBorder="1" applyAlignment="1">
      <alignment horizontal="right" vertical="center"/>
    </xf>
    <xf numFmtId="164" fontId="16" fillId="0" borderId="22" xfId="0" applyNumberFormat="1" applyFont="1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22" xfId="0" applyFont="1" applyBorder="1" applyAlignment="1">
      <alignment horizontal="left" vertical="center"/>
    </xf>
    <xf numFmtId="3" fontId="16" fillId="0" borderId="22" xfId="0" applyNumberFormat="1" applyFont="1" applyBorder="1" applyAlignment="1">
      <alignment vertical="center"/>
    </xf>
    <xf numFmtId="0" fontId="20" fillId="0" borderId="0" xfId="62" applyFont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6" fillId="0" borderId="0" xfId="62" applyFont="1" applyAlignment="1">
      <alignment horizontal="right" vertical="center"/>
      <protection/>
    </xf>
    <xf numFmtId="0" fontId="15" fillId="0" borderId="0" xfId="62" applyFont="1" applyAlignment="1">
      <alignment horizontal="center" vertical="center" wrapText="1"/>
      <protection/>
    </xf>
    <xf numFmtId="0" fontId="20" fillId="0" borderId="21" xfId="62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 wrapText="1"/>
      <protection/>
    </xf>
    <xf numFmtId="0" fontId="20" fillId="0" borderId="22" xfId="62" applyFont="1" applyBorder="1" applyAlignment="1">
      <alignment horizontal="center" vertical="center"/>
      <protection/>
    </xf>
    <xf numFmtId="3" fontId="20" fillId="0" borderId="22" xfId="62" applyNumberFormat="1" applyFont="1" applyBorder="1" applyAlignment="1">
      <alignment horizontal="center" vertical="center" wrapText="1"/>
      <protection/>
    </xf>
    <xf numFmtId="3" fontId="20" fillId="0" borderId="23" xfId="62" applyNumberFormat="1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/>
      <protection/>
    </xf>
    <xf numFmtId="164" fontId="14" fillId="0" borderId="22" xfId="62" applyNumberFormat="1" applyFont="1" applyFill="1" applyBorder="1" applyAlignment="1">
      <alignment horizontal="right" vertical="center"/>
      <protection/>
    </xf>
    <xf numFmtId="164" fontId="14" fillId="0" borderId="22" xfId="62" applyNumberFormat="1" applyFont="1" applyFill="1" applyBorder="1" applyAlignment="1">
      <alignment horizontal="right" vertical="center" wrapText="1"/>
      <protection/>
    </xf>
    <xf numFmtId="164" fontId="15" fillId="0" borderId="23" xfId="62" applyNumberFormat="1" applyFont="1" applyBorder="1" applyAlignment="1">
      <alignment horizontal="right" vertical="center" wrapText="1"/>
      <protection/>
    </xf>
    <xf numFmtId="164" fontId="14" fillId="33" borderId="22" xfId="62" applyNumberFormat="1" applyFont="1" applyFill="1" applyBorder="1" applyAlignment="1">
      <alignment horizontal="right" vertical="center"/>
      <protection/>
    </xf>
    <xf numFmtId="164" fontId="14" fillId="33" borderId="22" xfId="62" applyNumberFormat="1" applyFont="1" applyFill="1" applyBorder="1" applyAlignment="1">
      <alignment horizontal="right" vertical="center" wrapText="1"/>
      <protection/>
    </xf>
    <xf numFmtId="0" fontId="20" fillId="0" borderId="29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  <xf numFmtId="164" fontId="14" fillId="33" borderId="18" xfId="62" applyNumberFormat="1" applyFont="1" applyFill="1" applyBorder="1" applyAlignment="1">
      <alignment horizontal="right" vertical="center"/>
      <protection/>
    </xf>
    <xf numFmtId="164" fontId="14" fillId="33" borderId="18" xfId="62" applyNumberFormat="1" applyFont="1" applyFill="1" applyBorder="1" applyAlignment="1">
      <alignment horizontal="right" vertical="center" wrapText="1"/>
      <protection/>
    </xf>
    <xf numFmtId="164" fontId="14" fillId="0" borderId="18" xfId="62" applyNumberFormat="1" applyFont="1" applyFill="1" applyBorder="1" applyAlignment="1">
      <alignment horizontal="right" vertical="center" wrapText="1"/>
      <protection/>
    </xf>
    <xf numFmtId="164" fontId="15" fillId="0" borderId="34" xfId="62" applyNumberFormat="1" applyFont="1" applyBorder="1" applyAlignment="1">
      <alignment horizontal="right" vertical="center" wrapText="1"/>
      <protection/>
    </xf>
    <xf numFmtId="0" fontId="14" fillId="33" borderId="0" xfId="62" applyFont="1" applyFill="1" applyAlignment="1">
      <alignment vertical="center"/>
      <protection/>
    </xf>
    <xf numFmtId="164" fontId="110" fillId="0" borderId="22" xfId="0" applyNumberFormat="1" applyFont="1" applyBorder="1" applyAlignment="1">
      <alignment vertical="center"/>
    </xf>
    <xf numFmtId="0" fontId="67" fillId="0" borderId="22" xfId="0" applyFont="1" applyBorder="1" applyAlignment="1">
      <alignment horizontal="right" vertical="center"/>
    </xf>
    <xf numFmtId="0" fontId="67" fillId="0" borderId="22" xfId="0" applyFont="1" applyBorder="1" applyAlignment="1">
      <alignment horizontal="right" vertical="center" wrapText="1"/>
    </xf>
    <xf numFmtId="164" fontId="67" fillId="0" borderId="22" xfId="0" applyNumberFormat="1" applyFont="1" applyBorder="1" applyAlignment="1">
      <alignment vertical="center"/>
    </xf>
    <xf numFmtId="0" fontId="68" fillId="0" borderId="0" xfId="0" applyFont="1" applyAlignment="1">
      <alignment/>
    </xf>
    <xf numFmtId="0" fontId="22" fillId="0" borderId="52" xfId="59" applyFont="1" applyBorder="1" applyAlignment="1">
      <alignment horizontal="left" vertical="center"/>
      <protection/>
    </xf>
    <xf numFmtId="3" fontId="15" fillId="0" borderId="82" xfId="59" applyNumberFormat="1" applyFont="1" applyBorder="1" applyAlignment="1">
      <alignment horizontal="right" vertical="center"/>
      <protection/>
    </xf>
    <xf numFmtId="3" fontId="15" fillId="0" borderId="83" xfId="59" applyNumberFormat="1" applyFont="1" applyBorder="1" applyAlignment="1">
      <alignment horizontal="right" vertical="center"/>
      <protection/>
    </xf>
    <xf numFmtId="0" fontId="58" fillId="0" borderId="79" xfId="59" applyFont="1" applyBorder="1" applyAlignment="1">
      <alignment horizontal="left"/>
      <protection/>
    </xf>
    <xf numFmtId="0" fontId="58" fillId="0" borderId="80" xfId="59" applyFont="1" applyBorder="1" applyAlignment="1">
      <alignment horizontal="left"/>
      <protection/>
    </xf>
    <xf numFmtId="0" fontId="22" fillId="0" borderId="83" xfId="59" applyFont="1" applyBorder="1" applyAlignment="1">
      <alignment horizontal="left" vertical="center" wrapText="1"/>
      <protection/>
    </xf>
    <xf numFmtId="0" fontId="22" fillId="0" borderId="80" xfId="59" applyFont="1" applyBorder="1" applyAlignment="1">
      <alignment horizontal="left" vertical="center" wrapText="1"/>
      <protection/>
    </xf>
    <xf numFmtId="0" fontId="23" fillId="0" borderId="52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4" xfId="59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 vertical="center"/>
      <protection/>
    </xf>
    <xf numFmtId="3" fontId="19" fillId="0" borderId="55" xfId="59" applyNumberFormat="1" applyFont="1" applyBorder="1" applyAlignment="1">
      <alignment horizontal="right" vertical="center"/>
      <protection/>
    </xf>
    <xf numFmtId="3" fontId="22" fillId="0" borderId="80" xfId="59" applyNumberFormat="1" applyFont="1" applyFill="1" applyBorder="1" applyAlignment="1">
      <alignment vertical="center"/>
      <protection/>
    </xf>
    <xf numFmtId="3" fontId="19" fillId="0" borderId="54" xfId="59" applyNumberFormat="1" applyFont="1" applyBorder="1" applyAlignment="1">
      <alignment horizontal="right" vertical="center"/>
      <protection/>
    </xf>
    <xf numFmtId="3" fontId="16" fillId="33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horizontal="right" vertical="center"/>
    </xf>
    <xf numFmtId="3" fontId="15" fillId="0" borderId="111" xfId="59" applyNumberFormat="1" applyFont="1" applyBorder="1" applyAlignment="1">
      <alignment horizontal="right" vertical="center"/>
      <protection/>
    </xf>
    <xf numFmtId="3" fontId="15" fillId="0" borderId="57" xfId="59" applyNumberFormat="1" applyFont="1" applyBorder="1" applyAlignment="1">
      <alignment horizontal="right" vertical="center"/>
      <protection/>
    </xf>
    <xf numFmtId="3" fontId="16" fillId="0" borderId="44" xfId="0" applyNumberFormat="1" applyFont="1" applyFill="1" applyBorder="1" applyAlignment="1">
      <alignment vertical="center"/>
    </xf>
    <xf numFmtId="3" fontId="17" fillId="0" borderId="43" xfId="0" applyNumberFormat="1" applyFont="1" applyFill="1" applyBorder="1" applyAlignment="1">
      <alignment vertical="center"/>
    </xf>
    <xf numFmtId="0" fontId="7" fillId="0" borderId="13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38" borderId="21" xfId="0" applyFont="1" applyFill="1" applyBorder="1" applyAlignment="1">
      <alignment vertical="center"/>
    </xf>
    <xf numFmtId="0" fontId="21" fillId="38" borderId="22" xfId="0" applyFont="1" applyFill="1" applyBorder="1" applyAlignment="1">
      <alignment/>
    </xf>
    <xf numFmtId="49" fontId="62" fillId="39" borderId="21" xfId="0" applyNumberFormat="1" applyFont="1" applyFill="1" applyBorder="1" applyAlignment="1">
      <alignment vertical="center" wrapText="1"/>
    </xf>
    <xf numFmtId="0" fontId="62" fillId="39" borderId="22" xfId="0" applyFont="1" applyFill="1" applyBorder="1" applyAlignment="1">
      <alignment/>
    </xf>
    <xf numFmtId="49" fontId="69" fillId="0" borderId="21" xfId="0" applyNumberFormat="1" applyFont="1" applyBorder="1" applyAlignment="1">
      <alignment wrapText="1"/>
    </xf>
    <xf numFmtId="0" fontId="69" fillId="0" borderId="22" xfId="0" applyFont="1" applyBorder="1" applyAlignment="1">
      <alignment/>
    </xf>
    <xf numFmtId="49" fontId="69" fillId="0" borderId="21" xfId="0" applyNumberFormat="1" applyFont="1" applyBorder="1" applyAlignment="1">
      <alignment/>
    </xf>
    <xf numFmtId="0" fontId="69" fillId="33" borderId="22" xfId="0" applyFont="1" applyFill="1" applyBorder="1" applyAlignment="1">
      <alignment/>
    </xf>
    <xf numFmtId="49" fontId="13" fillId="39" borderId="21" xfId="0" applyNumberFormat="1" applyFont="1" applyFill="1" applyBorder="1" applyAlignment="1">
      <alignment vertical="center" wrapText="1"/>
    </xf>
    <xf numFmtId="0" fontId="13" fillId="39" borderId="22" xfId="0" applyFont="1" applyFill="1" applyBorder="1" applyAlignment="1">
      <alignment/>
    </xf>
    <xf numFmtId="0" fontId="21" fillId="38" borderId="21" xfId="0" applyFont="1" applyFill="1" applyBorder="1" applyAlignment="1">
      <alignment vertical="center" wrapText="1"/>
    </xf>
    <xf numFmtId="0" fontId="21" fillId="38" borderId="22" xfId="0" applyFont="1" applyFill="1" applyBorder="1" applyAlignment="1">
      <alignment vertical="center"/>
    </xf>
    <xf numFmtId="0" fontId="69" fillId="0" borderId="21" xfId="0" applyFont="1" applyBorder="1" applyAlignment="1">
      <alignment wrapText="1"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49" fontId="70" fillId="0" borderId="21" xfId="0" applyNumberFormat="1" applyFont="1" applyBorder="1" applyAlignment="1">
      <alignment/>
    </xf>
    <xf numFmtId="49" fontId="69" fillId="0" borderId="21" xfId="0" applyNumberFormat="1" applyFont="1" applyBorder="1" applyAlignment="1">
      <alignment/>
    </xf>
    <xf numFmtId="0" fontId="69" fillId="0" borderId="22" xfId="0" applyFont="1" applyFill="1" applyBorder="1" applyAlignment="1">
      <alignment/>
    </xf>
    <xf numFmtId="0" fontId="21" fillId="5" borderId="21" xfId="0" applyFont="1" applyFill="1" applyBorder="1" applyAlignment="1">
      <alignment vertical="center" wrapText="1"/>
    </xf>
    <xf numFmtId="0" fontId="21" fillId="5" borderId="22" xfId="0" applyFont="1" applyFill="1" applyBorder="1" applyAlignment="1">
      <alignment vertical="center"/>
    </xf>
    <xf numFmtId="49" fontId="69" fillId="0" borderId="21" xfId="0" applyNumberFormat="1" applyFont="1" applyBorder="1" applyAlignment="1">
      <alignment vertical="center" wrapText="1"/>
    </xf>
    <xf numFmtId="0" fontId="69" fillId="0" borderId="22" xfId="0" applyFont="1" applyBorder="1" applyAlignment="1">
      <alignment vertical="center"/>
    </xf>
    <xf numFmtId="0" fontId="39" fillId="0" borderId="22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39" fillId="0" borderId="22" xfId="0" applyFont="1" applyBorder="1" applyAlignment="1">
      <alignment horizontal="left" wrapText="1"/>
    </xf>
    <xf numFmtId="0" fontId="40" fillId="0" borderId="22" xfId="0" applyFont="1" applyBorder="1" applyAlignment="1">
      <alignment horizontal="left" wrapText="1"/>
    </xf>
    <xf numFmtId="0" fontId="40" fillId="0" borderId="14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3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9" fillId="0" borderId="14" xfId="58" applyFont="1" applyBorder="1" applyAlignment="1">
      <alignment horizontal="left" wrapText="1"/>
      <protection/>
    </xf>
    <xf numFmtId="0" fontId="39" fillId="0" borderId="17" xfId="58" applyFont="1" applyBorder="1" applyAlignment="1">
      <alignment horizontal="left" wrapText="1"/>
      <protection/>
    </xf>
    <xf numFmtId="0" fontId="39" fillId="0" borderId="14" xfId="58" applyFont="1" applyBorder="1" applyAlignment="1">
      <alignment horizontal="left"/>
      <protection/>
    </xf>
    <xf numFmtId="0" fontId="39" fillId="0" borderId="17" xfId="58" applyFont="1" applyBorder="1" applyAlignment="1">
      <alignment horizontal="left"/>
      <protection/>
    </xf>
    <xf numFmtId="0" fontId="39" fillId="0" borderId="16" xfId="58" applyFont="1" applyBorder="1" applyAlignment="1">
      <alignment horizontal="left"/>
      <protection/>
    </xf>
    <xf numFmtId="0" fontId="39" fillId="0" borderId="22" xfId="58" applyFont="1" applyBorder="1" applyAlignment="1">
      <alignment horizontal="left"/>
      <protection/>
    </xf>
    <xf numFmtId="0" fontId="19" fillId="0" borderId="14" xfId="58" applyFont="1" applyBorder="1" applyAlignment="1">
      <alignment horizontal="left"/>
      <protection/>
    </xf>
    <xf numFmtId="0" fontId="19" fillId="0" borderId="16" xfId="58" applyFont="1" applyBorder="1" applyAlignment="1">
      <alignment horizontal="left"/>
      <protection/>
    </xf>
    <xf numFmtId="0" fontId="19" fillId="0" borderId="17" xfId="58" applyFont="1" applyBorder="1" applyAlignment="1">
      <alignment horizontal="left"/>
      <protection/>
    </xf>
    <xf numFmtId="0" fontId="40" fillId="0" borderId="14" xfId="58" applyFont="1" applyBorder="1" applyAlignment="1">
      <alignment horizontal="left" wrapText="1"/>
      <protection/>
    </xf>
    <xf numFmtId="0" fontId="40" fillId="0" borderId="17" xfId="58" applyFont="1" applyBorder="1" applyAlignment="1">
      <alignment horizontal="left" wrapText="1"/>
      <protection/>
    </xf>
    <xf numFmtId="0" fontId="18" fillId="0" borderId="0" xfId="58" applyFont="1" applyAlignment="1">
      <alignment horizontal="right" vertical="center"/>
      <protection/>
    </xf>
    <xf numFmtId="0" fontId="42" fillId="0" borderId="0" xfId="58" applyFont="1" applyFill="1" applyAlignment="1">
      <alignment horizontal="center" vertical="center"/>
      <protection/>
    </xf>
    <xf numFmtId="0" fontId="43" fillId="0" borderId="14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0" fontId="16" fillId="0" borderId="14" xfId="58" applyFont="1" applyFill="1" applyBorder="1" applyAlignment="1">
      <alignment horizontal="center" vertical="center" wrapText="1"/>
      <protection/>
    </xf>
    <xf numFmtId="0" fontId="16" fillId="0" borderId="16" xfId="58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center" vertical="center" wrapText="1"/>
      <protection/>
    </xf>
    <xf numFmtId="0" fontId="19" fillId="0" borderId="22" xfId="58" applyFont="1" applyBorder="1" applyAlignment="1">
      <alignment horizontal="left"/>
      <protection/>
    </xf>
    <xf numFmtId="0" fontId="39" fillId="0" borderId="14" xfId="58" applyFont="1" applyBorder="1" applyAlignment="1">
      <alignment horizontal="left" vertical="center" wrapText="1"/>
      <protection/>
    </xf>
    <xf numFmtId="0" fontId="39" fillId="0" borderId="17" xfId="58" applyFont="1" applyBorder="1" applyAlignment="1">
      <alignment horizontal="left" vertical="center" wrapText="1"/>
      <protection/>
    </xf>
    <xf numFmtId="0" fontId="15" fillId="0" borderId="14" xfId="58" applyFont="1" applyBorder="1" applyAlignment="1">
      <alignment horizontal="left"/>
      <protection/>
    </xf>
    <xf numFmtId="0" fontId="15" fillId="0" borderId="16" xfId="58" applyFont="1" applyBorder="1" applyAlignment="1">
      <alignment horizontal="left"/>
      <protection/>
    </xf>
    <xf numFmtId="0" fontId="15" fillId="0" borderId="17" xfId="58" applyFont="1" applyBorder="1" applyAlignment="1">
      <alignment horizontal="left"/>
      <protection/>
    </xf>
    <xf numFmtId="0" fontId="20" fillId="0" borderId="14" xfId="57" applyFont="1" applyBorder="1" applyAlignment="1">
      <alignment horizontal="center" vertical="center" wrapText="1"/>
      <protection/>
    </xf>
    <xf numFmtId="0" fontId="20" fillId="0" borderId="16" xfId="57" applyFont="1" applyBorder="1" applyAlignment="1">
      <alignment horizontal="center" vertical="center" wrapText="1"/>
      <protection/>
    </xf>
    <xf numFmtId="0" fontId="20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38" fillId="0" borderId="0" xfId="0" applyFont="1" applyAlignment="1">
      <alignment horizontal="right"/>
    </xf>
    <xf numFmtId="0" fontId="15" fillId="0" borderId="0" xfId="57" applyFont="1" applyAlignment="1">
      <alignment horizontal="center"/>
      <protection/>
    </xf>
    <xf numFmtId="0" fontId="15" fillId="0" borderId="22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17" fillId="0" borderId="14" xfId="57" applyFont="1" applyBorder="1" applyAlignment="1">
      <alignment horizontal="right" vertical="center"/>
      <protection/>
    </xf>
    <xf numFmtId="0" fontId="17" fillId="0" borderId="16" xfId="57" applyFont="1" applyBorder="1" applyAlignment="1">
      <alignment horizontal="right" vertical="center"/>
      <protection/>
    </xf>
    <xf numFmtId="49" fontId="40" fillId="0" borderId="21" xfId="0" applyNumberFormat="1" applyFont="1" applyFill="1" applyBorder="1" applyAlignment="1">
      <alignment horizontal="center" vertical="center" textRotation="90" wrapText="1"/>
    </xf>
    <xf numFmtId="49" fontId="40" fillId="0" borderId="21" xfId="0" applyNumberFormat="1" applyFont="1" applyFill="1" applyBorder="1" applyAlignment="1">
      <alignment horizontal="center" textRotation="90"/>
    </xf>
    <xf numFmtId="0" fontId="4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 horizontal="center" vertical="center"/>
    </xf>
    <xf numFmtId="49" fontId="20" fillId="0" borderId="136" xfId="0" applyNumberFormat="1" applyFont="1" applyFill="1" applyBorder="1" applyAlignment="1">
      <alignment horizontal="center" vertical="center"/>
    </xf>
    <xf numFmtId="49" fontId="20" fillId="0" borderId="124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60" fillId="0" borderId="134" xfId="0" applyFont="1" applyFill="1" applyBorder="1" applyAlignment="1">
      <alignment horizontal="center" vertical="center" wrapText="1"/>
    </xf>
    <xf numFmtId="0" fontId="60" fillId="0" borderId="105" xfId="0" applyFont="1" applyFill="1" applyBorder="1" applyAlignment="1">
      <alignment horizontal="center" vertical="center" wrapText="1"/>
    </xf>
    <xf numFmtId="0" fontId="60" fillId="0" borderId="10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20" fillId="0" borderId="139" xfId="0" applyFont="1" applyFill="1" applyBorder="1" applyAlignment="1">
      <alignment horizontal="center" vertical="center"/>
    </xf>
    <xf numFmtId="0" fontId="20" fillId="0" borderId="140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 wrapText="1"/>
    </xf>
    <xf numFmtId="0" fontId="20" fillId="0" borderId="142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43" fillId="0" borderId="119" xfId="0" applyNumberFormat="1" applyFont="1" applyFill="1" applyBorder="1" applyAlignment="1">
      <alignment horizontal="left" vertical="center"/>
    </xf>
    <xf numFmtId="49" fontId="43" fillId="0" borderId="16" xfId="0" applyNumberFormat="1" applyFont="1" applyFill="1" applyBorder="1" applyAlignment="1">
      <alignment horizontal="left" vertical="center"/>
    </xf>
    <xf numFmtId="49" fontId="43" fillId="0" borderId="11" xfId="0" applyNumberFormat="1" applyFont="1" applyFill="1" applyBorder="1" applyAlignment="1">
      <alignment horizontal="left" vertical="center"/>
    </xf>
    <xf numFmtId="49" fontId="43" fillId="0" borderId="125" xfId="0" applyNumberFormat="1" applyFont="1" applyFill="1" applyBorder="1" applyAlignment="1">
      <alignment horizontal="left" vertical="center"/>
    </xf>
    <xf numFmtId="49" fontId="43" fillId="0" borderId="27" xfId="0" applyNumberFormat="1" applyFont="1" applyFill="1" applyBorder="1" applyAlignment="1">
      <alignment horizontal="left" vertical="center"/>
    </xf>
    <xf numFmtId="49" fontId="43" fillId="0" borderId="24" xfId="0" applyNumberFormat="1" applyFont="1" applyFill="1" applyBorder="1" applyAlignment="1">
      <alignment horizontal="left" vertical="center"/>
    </xf>
    <xf numFmtId="49" fontId="43" fillId="0" borderId="117" xfId="0" applyNumberFormat="1" applyFont="1" applyFill="1" applyBorder="1" applyAlignment="1">
      <alignment horizontal="left" vertical="center"/>
    </xf>
    <xf numFmtId="49" fontId="43" fillId="0" borderId="140" xfId="0" applyNumberFormat="1" applyFont="1" applyFill="1" applyBorder="1" applyAlignment="1">
      <alignment horizontal="left" vertical="center"/>
    </xf>
    <xf numFmtId="49" fontId="43" fillId="0" borderId="143" xfId="0" applyNumberFormat="1" applyFont="1" applyFill="1" applyBorder="1" applyAlignment="1">
      <alignment horizontal="left" vertical="center"/>
    </xf>
    <xf numFmtId="0" fontId="57" fillId="0" borderId="120" xfId="60" applyFont="1" applyFill="1" applyBorder="1" applyAlignment="1">
      <alignment horizontal="left" vertical="center"/>
      <protection/>
    </xf>
    <xf numFmtId="0" fontId="57" fillId="0" borderId="28" xfId="60" applyFont="1" applyFill="1" applyBorder="1" applyAlignment="1">
      <alignment horizontal="left" vertical="center"/>
      <protection/>
    </xf>
    <xf numFmtId="0" fontId="57" fillId="0" borderId="13" xfId="60" applyFont="1" applyFill="1" applyBorder="1" applyAlignment="1">
      <alignment horizontal="left" vertical="center"/>
      <protection/>
    </xf>
    <xf numFmtId="0" fontId="23" fillId="0" borderId="46" xfId="60" applyFont="1" applyFill="1" applyBorder="1" applyAlignment="1">
      <alignment horizontal="left" vertical="center"/>
      <protection/>
    </xf>
    <xf numFmtId="0" fontId="23" fillId="0" borderId="103" xfId="60" applyFont="1" applyFill="1" applyBorder="1" applyAlignment="1">
      <alignment horizontal="left" vertical="center"/>
      <protection/>
    </xf>
    <xf numFmtId="0" fontId="23" fillId="0" borderId="108" xfId="60" applyFont="1" applyFill="1" applyBorder="1" applyAlignment="1">
      <alignment horizontal="left" vertical="center"/>
      <protection/>
    </xf>
    <xf numFmtId="0" fontId="20" fillId="0" borderId="39" xfId="60" applyFont="1" applyFill="1" applyBorder="1" applyAlignment="1">
      <alignment horizontal="center" vertical="center" wrapText="1"/>
      <protection/>
    </xf>
    <xf numFmtId="0" fontId="20" fillId="0" borderId="38" xfId="60" applyFont="1" applyFill="1" applyBorder="1" applyAlignment="1">
      <alignment horizontal="center" vertical="center" wrapText="1"/>
      <protection/>
    </xf>
    <xf numFmtId="0" fontId="20" fillId="0" borderId="40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horizontal="center" vertical="center" wrapText="1"/>
      <protection/>
    </xf>
    <xf numFmtId="0" fontId="20" fillId="0" borderId="23" xfId="60" applyFont="1" applyFill="1" applyBorder="1" applyAlignment="1">
      <alignment horizontal="center" vertical="center" wrapText="1"/>
      <protection/>
    </xf>
    <xf numFmtId="0" fontId="23" fillId="0" borderId="46" xfId="60" applyFont="1" applyFill="1" applyBorder="1" applyAlignment="1">
      <alignment horizontal="left" vertical="center" wrapText="1"/>
      <protection/>
    </xf>
    <xf numFmtId="0" fontId="23" fillId="0" borderId="103" xfId="60" applyFont="1" applyFill="1" applyBorder="1" applyAlignment="1">
      <alignment horizontal="left" vertical="center" wrapText="1"/>
      <protection/>
    </xf>
    <xf numFmtId="0" fontId="23" fillId="0" borderId="108" xfId="60" applyFont="1" applyFill="1" applyBorder="1" applyAlignment="1">
      <alignment horizontal="left" vertical="center" wrapText="1"/>
      <protection/>
    </xf>
    <xf numFmtId="0" fontId="20" fillId="0" borderId="78" xfId="60" applyFont="1" applyFill="1" applyBorder="1" applyAlignment="1">
      <alignment horizontal="center" vertical="center"/>
      <protection/>
    </xf>
    <xf numFmtId="0" fontId="20" fillId="0" borderId="32" xfId="60" applyFont="1" applyFill="1" applyBorder="1" applyAlignment="1">
      <alignment horizontal="center" vertical="center"/>
      <protection/>
    </xf>
    <xf numFmtId="0" fontId="20" fillId="0" borderId="130" xfId="60" applyFont="1" applyFill="1" applyBorder="1" applyAlignment="1">
      <alignment horizontal="center" vertical="center"/>
      <protection/>
    </xf>
    <xf numFmtId="49" fontId="20" fillId="0" borderId="136" xfId="60" applyNumberFormat="1" applyFont="1" applyFill="1" applyBorder="1" applyAlignment="1">
      <alignment horizontal="center" vertical="center"/>
      <protection/>
    </xf>
    <xf numFmtId="49" fontId="20" fillId="0" borderId="124" xfId="60" applyNumberFormat="1" applyFont="1" applyFill="1" applyBorder="1" applyAlignment="1">
      <alignment horizontal="center" vertical="center"/>
      <protection/>
    </xf>
    <xf numFmtId="49" fontId="20" fillId="0" borderId="144" xfId="60" applyNumberFormat="1" applyFont="1" applyFill="1" applyBorder="1" applyAlignment="1">
      <alignment horizontal="center" vertical="center"/>
      <protection/>
    </xf>
    <xf numFmtId="0" fontId="15" fillId="0" borderId="103" xfId="60" applyFont="1" applyFill="1" applyBorder="1" applyAlignment="1">
      <alignment horizontal="center" vertical="center"/>
      <protection/>
    </xf>
    <xf numFmtId="0" fontId="15" fillId="0" borderId="108" xfId="60" applyFont="1" applyFill="1" applyBorder="1" applyAlignment="1">
      <alignment horizontal="center" vertical="center"/>
      <protection/>
    </xf>
    <xf numFmtId="0" fontId="17" fillId="0" borderId="145" xfId="60" applyFont="1" applyFill="1" applyBorder="1" applyAlignment="1">
      <alignment horizontal="center" vertical="center" wrapText="1"/>
      <protection/>
    </xf>
    <xf numFmtId="0" fontId="17" fillId="0" borderId="111" xfId="60" applyFont="1" applyFill="1" applyBorder="1" applyAlignment="1">
      <alignment horizontal="center" vertical="center" wrapText="1"/>
      <protection/>
    </xf>
    <xf numFmtId="0" fontId="17" fillId="0" borderId="146" xfId="60" applyFont="1" applyFill="1" applyBorder="1" applyAlignment="1">
      <alignment horizontal="center" vertical="center" wrapText="1"/>
      <protection/>
    </xf>
    <xf numFmtId="0" fontId="15" fillId="0" borderId="0" xfId="60" applyFont="1" applyFill="1" applyAlignment="1">
      <alignment horizontal="center" vertical="center" wrapText="1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20" fillId="0" borderId="61" xfId="60" applyFont="1" applyFill="1" applyBorder="1" applyAlignment="1">
      <alignment horizontal="center" vertical="center" wrapText="1"/>
      <protection/>
    </xf>
    <xf numFmtId="0" fontId="20" fillId="0" borderId="48" xfId="60" applyFont="1" applyFill="1" applyBorder="1" applyAlignment="1">
      <alignment horizontal="center" vertical="center" wrapText="1"/>
      <protection/>
    </xf>
    <xf numFmtId="3" fontId="57" fillId="0" borderId="78" xfId="59" applyNumberFormat="1" applyFont="1" applyBorder="1" applyAlignment="1">
      <alignment horizontal="right" vertical="center"/>
      <protection/>
    </xf>
    <xf numFmtId="3" fontId="57" fillId="0" borderId="32" xfId="59" applyNumberFormat="1" applyFont="1" applyBorder="1" applyAlignment="1">
      <alignment horizontal="right" vertical="center"/>
      <protection/>
    </xf>
    <xf numFmtId="3" fontId="57" fillId="0" borderId="81" xfId="59" applyNumberFormat="1" applyFont="1" applyBorder="1" applyAlignment="1">
      <alignment horizontal="right" vertical="center"/>
      <protection/>
    </xf>
    <xf numFmtId="3" fontId="57" fillId="0" borderId="59" xfId="59" applyNumberFormat="1" applyFont="1" applyBorder="1" applyAlignment="1">
      <alignment horizontal="right" vertical="center"/>
      <protection/>
    </xf>
    <xf numFmtId="3" fontId="57" fillId="0" borderId="55" xfId="59" applyNumberFormat="1" applyFont="1" applyBorder="1" applyAlignment="1">
      <alignment horizontal="right" vertical="center"/>
      <protection/>
    </xf>
    <xf numFmtId="3" fontId="57" fillId="0" borderId="69" xfId="59" applyNumberFormat="1" applyFont="1" applyBorder="1" applyAlignment="1">
      <alignment horizontal="right" vertical="center"/>
      <protection/>
    </xf>
    <xf numFmtId="0" fontId="22" fillId="0" borderId="147" xfId="59" applyFont="1" applyBorder="1" applyAlignment="1">
      <alignment horizontal="left" vertical="center" wrapText="1"/>
      <protection/>
    </xf>
    <xf numFmtId="0" fontId="22" fillId="0" borderId="33" xfId="59" applyFont="1" applyBorder="1" applyAlignment="1">
      <alignment horizontal="left" vertical="center" wrapText="1"/>
      <protection/>
    </xf>
    <xf numFmtId="0" fontId="22" fillId="0" borderId="87" xfId="59" applyFont="1" applyBorder="1" applyAlignment="1">
      <alignment horizontal="left" vertical="center" wrapText="1"/>
      <protection/>
    </xf>
    <xf numFmtId="0" fontId="22" fillId="0" borderId="56" xfId="59" applyFont="1" applyBorder="1" applyAlignment="1">
      <alignment horizontal="left" vertical="center" wrapText="1"/>
      <protection/>
    </xf>
    <xf numFmtId="3" fontId="22" fillId="0" borderId="62" xfId="59" applyNumberFormat="1" applyFont="1" applyBorder="1" applyAlignment="1">
      <alignment horizontal="right" vertical="center"/>
      <protection/>
    </xf>
    <xf numFmtId="3" fontId="22" fillId="0" borderId="48" xfId="59" applyNumberFormat="1" applyFont="1" applyBorder="1" applyAlignment="1">
      <alignment horizontal="right" vertical="center"/>
      <protection/>
    </xf>
    <xf numFmtId="3" fontId="15" fillId="0" borderId="148" xfId="59" applyNumberFormat="1" applyFont="1" applyBorder="1" applyAlignment="1">
      <alignment horizontal="right" vertical="center"/>
      <protection/>
    </xf>
    <xf numFmtId="3" fontId="15" fillId="0" borderId="149" xfId="59" applyNumberFormat="1" applyFont="1" applyBorder="1" applyAlignment="1">
      <alignment horizontal="right" vertical="center"/>
      <protection/>
    </xf>
    <xf numFmtId="3" fontId="57" fillId="0" borderId="128" xfId="59" applyNumberFormat="1" applyFont="1" applyBorder="1" applyAlignment="1">
      <alignment horizontal="right" vertical="center"/>
      <protection/>
    </xf>
    <xf numFmtId="3" fontId="57" fillId="0" borderId="72" xfId="59" applyNumberFormat="1" applyFont="1" applyBorder="1" applyAlignment="1">
      <alignment horizontal="right" vertical="center"/>
      <protection/>
    </xf>
    <xf numFmtId="3" fontId="57" fillId="0" borderId="150" xfId="59" applyNumberFormat="1" applyFont="1" applyBorder="1" applyAlignment="1">
      <alignment horizontal="right" vertical="center"/>
      <protection/>
    </xf>
    <xf numFmtId="3" fontId="15" fillId="0" borderId="151" xfId="59" applyNumberFormat="1" applyFont="1" applyBorder="1" applyAlignment="1">
      <alignment horizontal="right" vertical="center"/>
      <protection/>
    </xf>
    <xf numFmtId="0" fontId="58" fillId="0" borderId="57" xfId="59" applyFont="1" applyBorder="1" applyAlignment="1">
      <alignment horizontal="left" wrapText="1"/>
      <protection/>
    </xf>
    <xf numFmtId="0" fontId="58" fillId="0" borderId="0" xfId="59" applyFont="1" applyBorder="1" applyAlignment="1">
      <alignment horizontal="left" wrapText="1"/>
      <protection/>
    </xf>
    <xf numFmtId="0" fontId="57" fillId="0" borderId="65" xfId="60" applyFont="1" applyFill="1" applyBorder="1" applyAlignment="1">
      <alignment horizontal="center" vertical="center" wrapText="1"/>
      <protection/>
    </xf>
    <xf numFmtId="0" fontId="57" fillId="0" borderId="49" xfId="60" applyFont="1" applyFill="1" applyBorder="1" applyAlignment="1">
      <alignment horizontal="center" vertical="center" wrapText="1"/>
      <protection/>
    </xf>
    <xf numFmtId="0" fontId="57" fillId="0" borderId="68" xfId="60" applyFont="1" applyFill="1" applyBorder="1" applyAlignment="1">
      <alignment horizontal="center" vertical="center" wrapText="1"/>
      <protection/>
    </xf>
    <xf numFmtId="0" fontId="57" fillId="0" borderId="147" xfId="60" applyFont="1" applyFill="1" applyBorder="1" applyAlignment="1">
      <alignment horizontal="center" vertical="center" wrapText="1"/>
      <protection/>
    </xf>
    <xf numFmtId="0" fontId="57" fillId="0" borderId="33" xfId="60" applyFont="1" applyFill="1" applyBorder="1" applyAlignment="1">
      <alignment horizontal="center" vertical="center" wrapText="1"/>
      <protection/>
    </xf>
    <xf numFmtId="0" fontId="57" fillId="0" borderId="152" xfId="60" applyFont="1" applyFill="1" applyBorder="1" applyAlignment="1">
      <alignment horizontal="center" vertical="center" wrapText="1"/>
      <protection/>
    </xf>
    <xf numFmtId="3" fontId="15" fillId="0" borderId="145" xfId="59" applyNumberFormat="1" applyFont="1" applyBorder="1" applyAlignment="1">
      <alignment horizontal="right" vertical="center"/>
      <protection/>
    </xf>
    <xf numFmtId="3" fontId="15" fillId="0" borderId="111" xfId="59" applyNumberFormat="1" applyFont="1" applyBorder="1" applyAlignment="1">
      <alignment horizontal="right" vertical="center"/>
      <protection/>
    </xf>
    <xf numFmtId="3" fontId="22" fillId="0" borderId="62" xfId="59" applyNumberFormat="1" applyFont="1" applyBorder="1" applyAlignment="1">
      <alignment horizontal="center" vertical="center"/>
      <protection/>
    </xf>
    <xf numFmtId="3" fontId="22" fillId="0" borderId="61" xfId="59" applyNumberFormat="1" applyFont="1" applyBorder="1" applyAlignment="1">
      <alignment horizontal="center" vertical="center"/>
      <protection/>
    </xf>
    <xf numFmtId="3" fontId="22" fillId="0" borderId="48" xfId="59" applyNumberFormat="1" applyFont="1" applyBorder="1" applyAlignment="1">
      <alignment horizontal="center" vertical="center"/>
      <protection/>
    </xf>
    <xf numFmtId="0" fontId="22" fillId="0" borderId="87" xfId="59" applyFont="1" applyBorder="1" applyAlignment="1">
      <alignment horizontal="left" wrapText="1"/>
      <protection/>
    </xf>
    <xf numFmtId="0" fontId="22" fillId="0" borderId="56" xfId="59" applyFont="1" applyBorder="1" applyAlignment="1">
      <alignment horizontal="left" wrapText="1"/>
      <protection/>
    </xf>
    <xf numFmtId="0" fontId="22" fillId="0" borderId="57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/>
      <protection/>
    </xf>
    <xf numFmtId="3" fontId="15" fillId="0" borderId="146" xfId="59" applyNumberFormat="1" applyFont="1" applyBorder="1" applyAlignment="1">
      <alignment horizontal="right" vertical="center"/>
      <protection/>
    </xf>
    <xf numFmtId="0" fontId="22" fillId="0" borderId="58" xfId="59" applyFont="1" applyBorder="1" applyAlignment="1">
      <alignment horizontal="left"/>
      <protection/>
    </xf>
    <xf numFmtId="0" fontId="22" fillId="0" borderId="56" xfId="59" applyFont="1" applyBorder="1" applyAlignment="1">
      <alignment horizontal="left"/>
      <protection/>
    </xf>
    <xf numFmtId="0" fontId="22" fillId="0" borderId="57" xfId="59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3" fontId="22" fillId="0" borderId="61" xfId="59" applyNumberFormat="1" applyFont="1" applyBorder="1" applyAlignment="1">
      <alignment horizontal="right" vertical="center"/>
      <protection/>
    </xf>
    <xf numFmtId="0" fontId="57" fillId="34" borderId="89" xfId="59" applyFont="1" applyFill="1" applyBorder="1" applyAlignment="1">
      <alignment vertical="center"/>
      <protection/>
    </xf>
    <xf numFmtId="0" fontId="57" fillId="34" borderId="153" xfId="59" applyFont="1" applyFill="1" applyBorder="1" applyAlignment="1">
      <alignment vertical="center"/>
      <protection/>
    </xf>
    <xf numFmtId="0" fontId="15" fillId="0" borderId="65" xfId="60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 vertical="center" wrapText="1"/>
    </xf>
    <xf numFmtId="0" fontId="57" fillId="0" borderId="102" xfId="60" applyFont="1" applyFill="1" applyBorder="1" applyAlignment="1">
      <alignment horizontal="center" vertical="center" wrapText="1"/>
      <protection/>
    </xf>
    <xf numFmtId="0" fontId="57" fillId="0" borderId="48" xfId="60" applyFont="1" applyFill="1" applyBorder="1" applyAlignment="1">
      <alignment horizontal="center" vertical="center" wrapText="1"/>
      <protection/>
    </xf>
    <xf numFmtId="3" fontId="15" fillId="0" borderId="145" xfId="59" applyNumberFormat="1" applyFont="1" applyBorder="1" applyAlignment="1">
      <alignment horizontal="center" vertical="center"/>
      <protection/>
    </xf>
    <xf numFmtId="3" fontId="15" fillId="0" borderId="111" xfId="59" applyNumberFormat="1" applyFont="1" applyBorder="1" applyAlignment="1">
      <alignment horizontal="center" vertical="center"/>
      <protection/>
    </xf>
    <xf numFmtId="3" fontId="15" fillId="0" borderId="82" xfId="59" applyNumberFormat="1" applyFont="1" applyBorder="1" applyAlignment="1">
      <alignment horizontal="center" vertical="center"/>
      <protection/>
    </xf>
    <xf numFmtId="3" fontId="22" fillId="0" borderId="62" xfId="0" applyNumberFormat="1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0" fontId="22" fillId="0" borderId="57" xfId="59" applyFont="1" applyBorder="1" applyAlignment="1">
      <alignment horizontal="left" wrapText="1"/>
      <protection/>
    </xf>
    <xf numFmtId="0" fontId="22" fillId="0" borderId="0" xfId="59" applyFont="1" applyBorder="1" applyAlignment="1">
      <alignment horizontal="left" wrapText="1"/>
      <protection/>
    </xf>
    <xf numFmtId="0" fontId="18" fillId="0" borderId="49" xfId="0" applyFont="1" applyBorder="1" applyAlignment="1">
      <alignment/>
    </xf>
    <xf numFmtId="0" fontId="18" fillId="0" borderId="102" xfId="0" applyFont="1" applyBorder="1" applyAlignment="1">
      <alignment/>
    </xf>
    <xf numFmtId="0" fontId="18" fillId="0" borderId="147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48" xfId="0" applyFont="1" applyBorder="1" applyAlignment="1">
      <alignment/>
    </xf>
    <xf numFmtId="3" fontId="15" fillId="0" borderId="154" xfId="59" applyNumberFormat="1" applyFont="1" applyBorder="1" applyAlignment="1">
      <alignment horizontal="right" vertical="center"/>
      <protection/>
    </xf>
    <xf numFmtId="3" fontId="15" fillId="0" borderId="82" xfId="59" applyNumberFormat="1" applyFont="1" applyBorder="1" applyAlignment="1">
      <alignment horizontal="right" vertical="center"/>
      <protection/>
    </xf>
    <xf numFmtId="0" fontId="22" fillId="0" borderId="83" xfId="59" applyFont="1" applyBorder="1" applyAlignment="1">
      <alignment horizontal="left" vertical="center"/>
      <protection/>
    </xf>
    <xf numFmtId="0" fontId="22" fillId="0" borderId="80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/>
      <protection/>
    </xf>
    <xf numFmtId="0" fontId="58" fillId="0" borderId="79" xfId="59" applyFont="1" applyBorder="1" applyAlignment="1">
      <alignment horizontal="left" vertical="center"/>
      <protection/>
    </xf>
    <xf numFmtId="0" fontId="58" fillId="0" borderId="80" xfId="59" applyFont="1" applyBorder="1" applyAlignment="1">
      <alignment horizontal="left" vertical="center"/>
      <protection/>
    </xf>
    <xf numFmtId="0" fontId="22" fillId="0" borderId="57" xfId="59" applyFont="1" applyBorder="1" applyAlignment="1">
      <alignment horizontal="left"/>
      <protection/>
    </xf>
    <xf numFmtId="0" fontId="58" fillId="0" borderId="52" xfId="59" applyFont="1" applyBorder="1" applyAlignment="1">
      <alignment horizontal="left"/>
      <protection/>
    </xf>
    <xf numFmtId="0" fontId="58" fillId="0" borderId="0" xfId="59" applyFont="1" applyBorder="1" applyAlignment="1">
      <alignment horizontal="left"/>
      <protection/>
    </xf>
    <xf numFmtId="0" fontId="22" fillId="0" borderId="66" xfId="59" applyFont="1" applyBorder="1" applyAlignment="1">
      <alignment horizontal="left"/>
      <protection/>
    </xf>
    <xf numFmtId="0" fontId="22" fillId="0" borderId="49" xfId="59" applyFont="1" applyBorder="1" applyAlignment="1">
      <alignment horizontal="left"/>
      <protection/>
    </xf>
    <xf numFmtId="0" fontId="22" fillId="0" borderId="52" xfId="59" applyFont="1" applyBorder="1" applyAlignment="1">
      <alignment horizontal="left" wrapText="1"/>
      <protection/>
    </xf>
    <xf numFmtId="0" fontId="22" fillId="0" borderId="87" xfId="59" applyFont="1" applyBorder="1" applyAlignment="1">
      <alignment horizontal="left" vertical="center"/>
      <protection/>
    </xf>
    <xf numFmtId="0" fontId="22" fillId="0" borderId="56" xfId="59" applyFont="1" applyBorder="1" applyAlignment="1">
      <alignment horizontal="left" vertical="center"/>
      <protection/>
    </xf>
    <xf numFmtId="3" fontId="15" fillId="0" borderId="145" xfId="59" applyNumberFormat="1" applyFont="1" applyBorder="1" applyAlignment="1">
      <alignment horizontal="right" vertical="center" wrapText="1"/>
      <protection/>
    </xf>
    <xf numFmtId="3" fontId="15" fillId="0" borderId="111" xfId="59" applyNumberFormat="1" applyFont="1" applyBorder="1" applyAlignment="1">
      <alignment horizontal="right" vertical="center" wrapText="1"/>
      <protection/>
    </xf>
    <xf numFmtId="0" fontId="57" fillId="0" borderId="66" xfId="59" applyFont="1" applyBorder="1" applyAlignment="1">
      <alignment horizontal="center" vertical="center"/>
      <protection/>
    </xf>
    <xf numFmtId="0" fontId="18" fillId="0" borderId="49" xfId="59" applyFont="1" applyBorder="1" applyAlignment="1">
      <alignment horizontal="center" vertical="center"/>
      <protection/>
    </xf>
    <xf numFmtId="0" fontId="18" fillId="0" borderId="102" xfId="59" applyFont="1" applyBorder="1" applyAlignment="1">
      <alignment horizontal="center" vertical="center"/>
      <protection/>
    </xf>
    <xf numFmtId="0" fontId="18" fillId="0" borderId="95" xfId="59" applyFont="1" applyBorder="1" applyAlignment="1">
      <alignment horizontal="center" vertical="center"/>
      <protection/>
    </xf>
    <xf numFmtId="0" fontId="18" fillId="0" borderId="33" xfId="59" applyFont="1" applyBorder="1" applyAlignment="1">
      <alignment horizontal="center" vertical="center"/>
      <protection/>
    </xf>
    <xf numFmtId="0" fontId="18" fillId="0" borderId="48" xfId="59" applyFont="1" applyBorder="1" applyAlignment="1">
      <alignment horizontal="center" vertical="center"/>
      <protection/>
    </xf>
    <xf numFmtId="0" fontId="42" fillId="0" borderId="0" xfId="60" applyFont="1" applyFill="1" applyAlignment="1">
      <alignment horizontal="center" vertical="center" wrapText="1"/>
      <protection/>
    </xf>
    <xf numFmtId="0" fontId="22" fillId="0" borderId="58" xfId="59" applyFont="1" applyBorder="1" applyAlignment="1">
      <alignment horizontal="left" vertical="center" wrapText="1"/>
      <protection/>
    </xf>
    <xf numFmtId="0" fontId="22" fillId="0" borderId="52" xfId="59" applyFont="1" applyBorder="1" applyAlignment="1">
      <alignment horizontal="left" vertical="center" wrapText="1"/>
      <protection/>
    </xf>
    <xf numFmtId="0" fontId="22" fillId="0" borderId="87" xfId="59" applyFont="1" applyBorder="1" applyAlignment="1">
      <alignment horizontal="left"/>
      <protection/>
    </xf>
    <xf numFmtId="3" fontId="15" fillId="0" borderId="65" xfId="59" applyNumberFormat="1" applyFont="1" applyBorder="1" applyAlignment="1">
      <alignment horizontal="right" vertical="center"/>
      <protection/>
    </xf>
    <xf numFmtId="3" fontId="15" fillId="0" borderId="57" xfId="59" applyNumberFormat="1" applyFont="1" applyBorder="1" applyAlignment="1">
      <alignment horizontal="right" vertical="center"/>
      <protection/>
    </xf>
    <xf numFmtId="3" fontId="15" fillId="0" borderId="147" xfId="59" applyNumberFormat="1" applyFont="1" applyBorder="1" applyAlignment="1">
      <alignment horizontal="right" vertical="center"/>
      <protection/>
    </xf>
    <xf numFmtId="0" fontId="22" fillId="0" borderId="147" xfId="59" applyFont="1" applyBorder="1" applyAlignment="1">
      <alignment horizontal="left" wrapText="1"/>
      <protection/>
    </xf>
    <xf numFmtId="0" fontId="22" fillId="0" borderId="33" xfId="59" applyFont="1" applyBorder="1" applyAlignment="1">
      <alignment horizontal="left" wrapText="1"/>
      <protection/>
    </xf>
    <xf numFmtId="0" fontId="23" fillId="0" borderId="80" xfId="59" applyFont="1" applyBorder="1" applyAlignment="1">
      <alignment horizontal="right" vertical="center"/>
      <protection/>
    </xf>
    <xf numFmtId="0" fontId="23" fillId="0" borderId="110" xfId="59" applyFont="1" applyBorder="1" applyAlignment="1">
      <alignment horizontal="right" vertical="center"/>
      <protection/>
    </xf>
    <xf numFmtId="0" fontId="16" fillId="0" borderId="0" xfId="60" applyFont="1" applyFill="1" applyAlignment="1">
      <alignment horizontal="right" vertical="center"/>
      <protection/>
    </xf>
    <xf numFmtId="0" fontId="16" fillId="0" borderId="0" xfId="60" applyFont="1" applyAlignment="1">
      <alignment horizontal="right"/>
      <protection/>
    </xf>
    <xf numFmtId="0" fontId="16" fillId="0" borderId="0" xfId="0" applyFont="1" applyAlignment="1">
      <alignment/>
    </xf>
    <xf numFmtId="0" fontId="15" fillId="0" borderId="66" xfId="60" applyFont="1" applyFill="1" applyBorder="1" applyAlignment="1">
      <alignment horizontal="center" vertical="center" wrapText="1"/>
      <protection/>
    </xf>
    <xf numFmtId="0" fontId="15" fillId="0" borderId="155" xfId="60" applyFont="1" applyFill="1" applyBorder="1" applyAlignment="1">
      <alignment horizontal="center" vertical="center" wrapText="1"/>
      <protection/>
    </xf>
    <xf numFmtId="0" fontId="18" fillId="0" borderId="156" xfId="0" applyFont="1" applyBorder="1" applyAlignment="1">
      <alignment horizontal="center" vertical="center" wrapText="1"/>
    </xf>
    <xf numFmtId="0" fontId="18" fillId="0" borderId="157" xfId="0" applyFont="1" applyBorder="1" applyAlignment="1">
      <alignment horizontal="center" vertical="center" wrapText="1"/>
    </xf>
    <xf numFmtId="0" fontId="57" fillId="0" borderId="66" xfId="59" applyFont="1" applyBorder="1" applyAlignment="1">
      <alignment horizontal="center" vertical="center" wrapText="1"/>
      <protection/>
    </xf>
    <xf numFmtId="0" fontId="57" fillId="0" borderId="49" xfId="59" applyFont="1" applyBorder="1" applyAlignment="1">
      <alignment horizontal="center" vertical="center" wrapText="1"/>
      <protection/>
    </xf>
    <xf numFmtId="0" fontId="57" fillId="0" borderId="95" xfId="59" applyFont="1" applyBorder="1" applyAlignment="1">
      <alignment horizontal="center" vertical="center" wrapText="1"/>
      <protection/>
    </xf>
    <xf numFmtId="0" fontId="57" fillId="0" borderId="33" xfId="59" applyFont="1" applyBorder="1" applyAlignment="1">
      <alignment horizontal="center" vertical="center" wrapText="1"/>
      <protection/>
    </xf>
    <xf numFmtId="0" fontId="15" fillId="0" borderId="71" xfId="60" applyFont="1" applyFill="1" applyBorder="1" applyAlignment="1">
      <alignment horizontal="center" vertical="center" wrapText="1"/>
      <protection/>
    </xf>
    <xf numFmtId="0" fontId="18" fillId="0" borderId="68" xfId="0" applyFont="1" applyBorder="1" applyAlignment="1">
      <alignment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0" fontId="22" fillId="0" borderId="65" xfId="59" applyFont="1" applyBorder="1" applyAlignment="1">
      <alignment horizontal="left" vertical="center"/>
      <protection/>
    </xf>
    <xf numFmtId="0" fontId="22" fillId="0" borderId="49" xfId="59" applyFont="1" applyBorder="1" applyAlignment="1">
      <alignment horizontal="left" vertical="center"/>
      <protection/>
    </xf>
    <xf numFmtId="0" fontId="18" fillId="0" borderId="152" xfId="0" applyFont="1" applyBorder="1" applyAlignment="1">
      <alignment/>
    </xf>
    <xf numFmtId="0" fontId="15" fillId="34" borderId="76" xfId="59" applyFont="1" applyFill="1" applyBorder="1" applyAlignment="1">
      <alignment horizontal="right" vertical="center"/>
      <protection/>
    </xf>
    <xf numFmtId="0" fontId="18" fillId="34" borderId="89" xfId="0" applyFont="1" applyFill="1" applyBorder="1" applyAlignment="1">
      <alignment horizontal="right" vertical="center"/>
    </xf>
    <xf numFmtId="0" fontId="18" fillId="34" borderId="158" xfId="0" applyFont="1" applyFill="1" applyBorder="1" applyAlignment="1">
      <alignment horizontal="right" vertical="center"/>
    </xf>
    <xf numFmtId="0" fontId="15" fillId="34" borderId="89" xfId="59" applyFont="1" applyFill="1" applyBorder="1" applyAlignment="1">
      <alignment vertical="center"/>
      <protection/>
    </xf>
    <xf numFmtId="0" fontId="15" fillId="34" borderId="89" xfId="0" applyFont="1" applyFill="1" applyBorder="1" applyAlignment="1">
      <alignment vertical="center"/>
    </xf>
    <xf numFmtId="0" fontId="15" fillId="34" borderId="153" xfId="0" applyFont="1" applyFill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95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95" xfId="0" applyFont="1" applyBorder="1" applyAlignment="1">
      <alignment/>
    </xf>
    <xf numFmtId="0" fontId="18" fillId="0" borderId="0" xfId="0" applyFont="1" applyBorder="1" applyAlignment="1">
      <alignment/>
    </xf>
    <xf numFmtId="3" fontId="15" fillId="0" borderId="62" xfId="59" applyNumberFormat="1" applyFont="1" applyBorder="1" applyAlignment="1">
      <alignment horizontal="right" vertical="center"/>
      <protection/>
    </xf>
    <xf numFmtId="0" fontId="57" fillId="34" borderId="89" xfId="59" applyFont="1" applyFill="1" applyBorder="1" applyAlignment="1">
      <alignment/>
      <protection/>
    </xf>
    <xf numFmtId="0" fontId="57" fillId="34" borderId="153" xfId="59" applyFont="1" applyFill="1" applyBorder="1" applyAlignment="1">
      <alignment/>
      <protection/>
    </xf>
    <xf numFmtId="0" fontId="58" fillId="0" borderId="57" xfId="59" applyFont="1" applyBorder="1" applyAlignment="1">
      <alignment horizontal="left"/>
      <protection/>
    </xf>
    <xf numFmtId="0" fontId="18" fillId="0" borderId="0" xfId="0" applyFont="1" applyBorder="1" applyAlignment="1">
      <alignment horizontal="right"/>
    </xf>
    <xf numFmtId="0" fontId="18" fillId="0" borderId="54" xfId="0" applyFont="1" applyBorder="1" applyAlignment="1">
      <alignment horizontal="right"/>
    </xf>
    <xf numFmtId="0" fontId="57" fillId="34" borderId="79" xfId="59" applyFont="1" applyFill="1" applyBorder="1" applyAlignment="1">
      <alignment vertical="center" wrapText="1"/>
      <protection/>
    </xf>
    <xf numFmtId="0" fontId="14" fillId="34" borderId="80" xfId="0" applyFont="1" applyFill="1" applyBorder="1" applyAlignment="1">
      <alignment vertical="center" wrapText="1"/>
    </xf>
    <xf numFmtId="0" fontId="14" fillId="34" borderId="110" xfId="0" applyFont="1" applyFill="1" applyBorder="1" applyAlignment="1">
      <alignment vertical="center" wrapText="1"/>
    </xf>
    <xf numFmtId="0" fontId="22" fillId="0" borderId="58" xfId="59" applyFont="1" applyBorder="1" applyAlignment="1">
      <alignment horizontal="left" wrapText="1"/>
      <protection/>
    </xf>
    <xf numFmtId="0" fontId="22" fillId="0" borderId="52" xfId="59" applyFont="1" applyBorder="1" applyAlignment="1">
      <alignment horizontal="left" vertical="center"/>
      <protection/>
    </xf>
    <xf numFmtId="0" fontId="43" fillId="0" borderId="49" xfId="59" applyFont="1" applyBorder="1" applyAlignment="1">
      <alignment horizontal="center"/>
      <protection/>
    </xf>
    <xf numFmtId="0" fontId="18" fillId="0" borderId="49" xfId="0" applyFont="1" applyBorder="1" applyAlignment="1">
      <alignment horizontal="center"/>
    </xf>
    <xf numFmtId="3" fontId="19" fillId="0" borderId="78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 vertical="center"/>
      <protection/>
    </xf>
    <xf numFmtId="3" fontId="19" fillId="0" borderId="59" xfId="59" applyNumberFormat="1" applyFont="1" applyBorder="1" applyAlignment="1">
      <alignment horizontal="right" vertical="center"/>
      <protection/>
    </xf>
    <xf numFmtId="3" fontId="19" fillId="0" borderId="55" xfId="59" applyNumberFormat="1" applyFont="1" applyBorder="1" applyAlignment="1">
      <alignment horizontal="right" vertical="center"/>
      <protection/>
    </xf>
    <xf numFmtId="0" fontId="57" fillId="0" borderId="80" xfId="59" applyFont="1" applyBorder="1" applyAlignment="1">
      <alignment/>
      <protection/>
    </xf>
    <xf numFmtId="0" fontId="57" fillId="0" borderId="101" xfId="59" applyFont="1" applyBorder="1" applyAlignment="1">
      <alignment/>
      <protection/>
    </xf>
    <xf numFmtId="0" fontId="19" fillId="0" borderId="0" xfId="59" applyFont="1" applyAlignment="1">
      <alignment horizontal="center"/>
      <protection/>
    </xf>
    <xf numFmtId="0" fontId="18" fillId="0" borderId="0" xfId="0" applyFont="1" applyAlignment="1">
      <alignment/>
    </xf>
    <xf numFmtId="0" fontId="15" fillId="34" borderId="76" xfId="59" applyFont="1" applyFill="1" applyBorder="1" applyAlignment="1">
      <alignment horizontal="right" vertical="center" wrapText="1"/>
      <protection/>
    </xf>
    <xf numFmtId="0" fontId="18" fillId="34" borderId="89" xfId="0" applyFont="1" applyFill="1" applyBorder="1" applyAlignment="1">
      <alignment horizontal="right" vertical="center" wrapText="1"/>
    </xf>
    <xf numFmtId="0" fontId="18" fillId="34" borderId="158" xfId="0" applyFont="1" applyFill="1" applyBorder="1" applyAlignment="1">
      <alignment horizontal="right" vertical="center" wrapText="1"/>
    </xf>
    <xf numFmtId="0" fontId="43" fillId="0" borderId="159" xfId="59" applyFont="1" applyBorder="1" applyAlignment="1">
      <alignment horizontal="center"/>
      <protection/>
    </xf>
    <xf numFmtId="0" fontId="18" fillId="0" borderId="77" xfId="0" applyFont="1" applyBorder="1" applyAlignment="1">
      <alignment horizontal="center"/>
    </xf>
    <xf numFmtId="0" fontId="18" fillId="0" borderId="100" xfId="0" applyFont="1" applyBorder="1" applyAlignment="1">
      <alignment horizontal="center"/>
    </xf>
    <xf numFmtId="0" fontId="23" fillId="0" borderId="58" xfId="59" applyFont="1" applyBorder="1" applyAlignment="1">
      <alignment horizontal="right" vertical="center"/>
      <protection/>
    </xf>
    <xf numFmtId="0" fontId="23" fillId="0" borderId="56" xfId="59" applyFont="1" applyBorder="1" applyAlignment="1">
      <alignment horizontal="right" vertical="center"/>
      <protection/>
    </xf>
    <xf numFmtId="0" fontId="23" fillId="0" borderId="53" xfId="59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54" xfId="59" applyFont="1" applyBorder="1" applyAlignment="1">
      <alignment horizontal="right" vertical="center"/>
      <protection/>
    </xf>
    <xf numFmtId="0" fontId="57" fillId="0" borderId="49" xfId="59" applyFont="1" applyBorder="1" applyAlignment="1">
      <alignment horizontal="center" vertical="center"/>
      <protection/>
    </xf>
    <xf numFmtId="0" fontId="57" fillId="0" borderId="102" xfId="59" applyFont="1" applyBorder="1" applyAlignment="1">
      <alignment horizontal="center" vertical="center"/>
      <protection/>
    </xf>
    <xf numFmtId="0" fontId="57" fillId="0" borderId="95" xfId="59" applyFont="1" applyBorder="1" applyAlignment="1">
      <alignment horizontal="center" vertical="center"/>
      <protection/>
    </xf>
    <xf numFmtId="0" fontId="57" fillId="0" borderId="33" xfId="59" applyFont="1" applyBorder="1" applyAlignment="1">
      <alignment horizontal="center" vertical="center"/>
      <protection/>
    </xf>
    <xf numFmtId="0" fontId="57" fillId="0" borderId="48" xfId="59" applyFont="1" applyBorder="1" applyAlignment="1">
      <alignment horizontal="center" vertical="center"/>
      <protection/>
    </xf>
    <xf numFmtId="0" fontId="15" fillId="0" borderId="80" xfId="59" applyFont="1" applyBorder="1" applyAlignment="1">
      <alignment/>
      <protection/>
    </xf>
    <xf numFmtId="0" fontId="15" fillId="0" borderId="80" xfId="0" applyFont="1" applyBorder="1" applyAlignment="1">
      <alignment/>
    </xf>
    <xf numFmtId="0" fontId="15" fillId="0" borderId="101" xfId="0" applyFont="1" applyBorder="1" applyAlignment="1">
      <alignment/>
    </xf>
    <xf numFmtId="0" fontId="18" fillId="0" borderId="0" xfId="59" applyFont="1" applyAlignment="1">
      <alignment horizontal="center"/>
      <protection/>
    </xf>
    <xf numFmtId="3" fontId="15" fillId="0" borderId="87" xfId="59" applyNumberFormat="1" applyFont="1" applyBorder="1" applyAlignment="1">
      <alignment horizontal="right" vertical="center"/>
      <protection/>
    </xf>
    <xf numFmtId="0" fontId="15" fillId="34" borderId="89" xfId="59" applyFont="1" applyFill="1" applyBorder="1" applyAlignment="1">
      <alignment/>
      <protection/>
    </xf>
    <xf numFmtId="0" fontId="15" fillId="34" borderId="89" xfId="0" applyFont="1" applyFill="1" applyBorder="1" applyAlignment="1">
      <alignment/>
    </xf>
    <xf numFmtId="0" fontId="15" fillId="34" borderId="153" xfId="0" applyFont="1" applyFill="1" applyBorder="1" applyAlignment="1">
      <alignment/>
    </xf>
    <xf numFmtId="0" fontId="22" fillId="0" borderId="52" xfId="59" applyFont="1" applyBorder="1" applyAlignment="1">
      <alignment horizontal="left"/>
      <protection/>
    </xf>
    <xf numFmtId="0" fontId="22" fillId="0" borderId="58" xfId="59" applyFont="1" applyBorder="1" applyAlignment="1">
      <alignment horizontal="center" vertical="center"/>
      <protection/>
    </xf>
    <xf numFmtId="0" fontId="22" fillId="0" borderId="56" xfId="59" applyFont="1" applyBorder="1" applyAlignment="1">
      <alignment horizontal="center" vertical="center"/>
      <protection/>
    </xf>
    <xf numFmtId="0" fontId="22" fillId="0" borderId="52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0" fontId="15" fillId="34" borderId="76" xfId="59" applyFont="1" applyFill="1" applyBorder="1" applyAlignment="1">
      <alignment horizontal="right"/>
      <protection/>
    </xf>
    <xf numFmtId="0" fontId="18" fillId="34" borderId="89" xfId="0" applyFont="1" applyFill="1" applyBorder="1" applyAlignment="1">
      <alignment horizontal="right"/>
    </xf>
    <xf numFmtId="0" fontId="18" fillId="34" borderId="158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59" fillId="0" borderId="0" xfId="0" applyFont="1" applyFill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5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35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center" vertical="center"/>
      <protection/>
    </xf>
    <xf numFmtId="0" fontId="15" fillId="0" borderId="36" xfId="62" applyFont="1" applyBorder="1" applyAlignment="1">
      <alignment horizontal="center" vertical="center" wrapText="1"/>
      <protection/>
    </xf>
    <xf numFmtId="0" fontId="15" fillId="0" borderId="22" xfId="62" applyFont="1" applyBorder="1" applyAlignment="1">
      <alignment horizontal="center" vertical="center" wrapText="1"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5" fillId="0" borderId="23" xfId="62" applyFont="1" applyBorder="1" applyAlignment="1">
      <alignment horizontal="center" vertical="center" wrapText="1"/>
      <protection/>
    </xf>
    <xf numFmtId="0" fontId="36" fillId="32" borderId="22" xfId="61" applyFont="1" applyFill="1" applyBorder="1" applyAlignment="1">
      <alignment horizontal="left"/>
      <protection/>
    </xf>
    <xf numFmtId="0" fontId="36" fillId="32" borderId="14" xfId="61" applyFont="1" applyFill="1" applyBorder="1" applyAlignment="1">
      <alignment horizontal="left"/>
      <protection/>
    </xf>
    <xf numFmtId="0" fontId="1" fillId="0" borderId="145" xfId="61" applyFont="1" applyBorder="1" applyAlignment="1">
      <alignment horizontal="center" vertical="center" wrapText="1"/>
      <protection/>
    </xf>
    <xf numFmtId="0" fontId="13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39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22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" fillId="32" borderId="22" xfId="61" applyFont="1" applyFill="1" applyBorder="1" applyAlignment="1">
      <alignment horizontal="right"/>
      <protection/>
    </xf>
    <xf numFmtId="0" fontId="2" fillId="32" borderId="14" xfId="61" applyFont="1" applyFill="1" applyBorder="1" applyAlignment="1">
      <alignment horizontal="right"/>
      <protection/>
    </xf>
    <xf numFmtId="0" fontId="21" fillId="0" borderId="6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102" xfId="0" applyFont="1" applyBorder="1" applyAlignment="1">
      <alignment horizontal="center"/>
    </xf>
    <xf numFmtId="0" fontId="65" fillId="0" borderId="160" xfId="0" applyFont="1" applyBorder="1" applyAlignment="1">
      <alignment horizontal="left" vertical="center" wrapText="1"/>
    </xf>
    <xf numFmtId="0" fontId="65" fillId="0" borderId="161" xfId="0" applyFont="1" applyBorder="1" applyAlignment="1">
      <alignment horizontal="left" vertical="center" wrapText="1"/>
    </xf>
    <xf numFmtId="0" fontId="65" fillId="0" borderId="162" xfId="0" applyFont="1" applyBorder="1" applyAlignment="1">
      <alignment horizontal="left" vertical="center" wrapText="1"/>
    </xf>
    <xf numFmtId="3" fontId="0" fillId="35" borderId="145" xfId="0" applyNumberFormat="1" applyFill="1" applyBorder="1" applyAlignment="1">
      <alignment horizontal="center"/>
    </xf>
    <xf numFmtId="3" fontId="0" fillId="35" borderId="111" xfId="0" applyNumberFormat="1" applyFill="1" applyBorder="1" applyAlignment="1">
      <alignment horizontal="center"/>
    </xf>
    <xf numFmtId="3" fontId="0" fillId="35" borderId="146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center"/>
    </xf>
    <xf numFmtId="3" fontId="0" fillId="35" borderId="82" xfId="0" applyNumberFormat="1" applyFill="1" applyBorder="1" applyAlignment="1">
      <alignment horizontal="center"/>
    </xf>
    <xf numFmtId="0" fontId="65" fillId="0" borderId="160" xfId="0" applyFont="1" applyBorder="1" applyAlignment="1">
      <alignment horizontal="left" vertical="center"/>
    </xf>
    <xf numFmtId="0" fontId="65" fillId="0" borderId="161" xfId="0" applyFont="1" applyBorder="1" applyAlignment="1">
      <alignment horizontal="left" vertical="center"/>
    </xf>
    <xf numFmtId="0" fontId="65" fillId="0" borderId="162" xfId="0" applyFont="1" applyBorder="1" applyAlignment="1">
      <alignment horizontal="left" vertical="center"/>
    </xf>
    <xf numFmtId="0" fontId="64" fillId="40" borderId="91" xfId="0" applyFont="1" applyFill="1" applyBorder="1" applyAlignment="1">
      <alignment horizontal="center" vertical="center"/>
    </xf>
    <xf numFmtId="0" fontId="64" fillId="40" borderId="77" xfId="0" applyFont="1" applyFill="1" applyBorder="1" applyAlignment="1">
      <alignment horizontal="center" vertical="center"/>
    </xf>
    <xf numFmtId="0" fontId="64" fillId="40" borderId="16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62" xfId="0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center" wrapText="1"/>
    </xf>
    <xf numFmtId="0" fontId="19" fillId="0" borderId="145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62" fillId="0" borderId="87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125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139" xfId="0" applyFont="1" applyBorder="1" applyAlignment="1">
      <alignment horizontal="center" vertical="center" wrapText="1"/>
    </xf>
    <xf numFmtId="0" fontId="63" fillId="0" borderId="145" xfId="0" applyFont="1" applyBorder="1" applyAlignment="1">
      <alignment horizontal="center" vertical="center" wrapText="1"/>
    </xf>
    <xf numFmtId="0" fontId="63" fillId="0" borderId="111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163" xfId="0" applyFont="1" applyBorder="1" applyAlignment="1">
      <alignment horizontal="center"/>
    </xf>
    <xf numFmtId="0" fontId="65" fillId="0" borderId="164" xfId="0" applyFont="1" applyBorder="1" applyAlignment="1">
      <alignment horizontal="left" vertical="center" wrapText="1"/>
    </xf>
    <xf numFmtId="0" fontId="65" fillId="0" borderId="156" xfId="0" applyFont="1" applyBorder="1" applyAlignment="1">
      <alignment horizontal="left" vertical="center" wrapText="1"/>
    </xf>
    <xf numFmtId="0" fontId="65" fillId="0" borderId="65" xfId="0" applyFont="1" applyBorder="1" applyAlignment="1">
      <alignment horizontal="left" vertical="center" wrapText="1"/>
    </xf>
    <xf numFmtId="0" fontId="65" fillId="0" borderId="49" xfId="0" applyFont="1" applyBorder="1" applyAlignment="1">
      <alignment horizontal="left" vertical="center" wrapText="1"/>
    </xf>
    <xf numFmtId="0" fontId="65" fillId="0" borderId="102" xfId="0" applyFont="1" applyBorder="1" applyAlignment="1">
      <alignment horizontal="left" vertical="center" wrapText="1"/>
    </xf>
    <xf numFmtId="3" fontId="21" fillId="33" borderId="159" xfId="0" applyNumberFormat="1" applyFont="1" applyFill="1" applyBorder="1" applyAlignment="1">
      <alignment horizontal="center"/>
    </xf>
    <xf numFmtId="3" fontId="21" fillId="33" borderId="77" xfId="0" applyNumberFormat="1" applyFont="1" applyFill="1" applyBorder="1" applyAlignment="1">
      <alignment horizontal="center"/>
    </xf>
    <xf numFmtId="3" fontId="21" fillId="33" borderId="93" xfId="0" applyNumberFormat="1" applyFont="1" applyFill="1" applyBorder="1" applyAlignment="1">
      <alignment horizontal="center"/>
    </xf>
    <xf numFmtId="0" fontId="65" fillId="33" borderId="164" xfId="0" applyFont="1" applyFill="1" applyBorder="1" applyAlignment="1">
      <alignment horizontal="left" vertical="center"/>
    </xf>
    <xf numFmtId="0" fontId="65" fillId="33" borderId="156" xfId="0" applyFont="1" applyFill="1" applyBorder="1" applyAlignment="1">
      <alignment horizontal="left" vertical="center"/>
    </xf>
    <xf numFmtId="0" fontId="65" fillId="33" borderId="138" xfId="0" applyFont="1" applyFill="1" applyBorder="1" applyAlignment="1">
      <alignment horizontal="left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0"/>
  <sheetViews>
    <sheetView zoomScalePageLayoutView="0" workbookViewId="0" topLeftCell="A1">
      <selection activeCell="F1" sqref="F1:J1"/>
    </sheetView>
  </sheetViews>
  <sheetFormatPr defaultColWidth="9.00390625" defaultRowHeight="12.75"/>
  <cols>
    <col min="1" max="1" width="5.125" style="142" customWidth="1"/>
    <col min="2" max="3" width="9.125" style="142" customWidth="1"/>
    <col min="4" max="4" width="5.875" style="142" customWidth="1"/>
    <col min="5" max="5" width="49.875" style="142" customWidth="1"/>
    <col min="6" max="6" width="16.125" style="142" bestFit="1" customWidth="1"/>
    <col min="7" max="7" width="13.625" style="142" customWidth="1"/>
    <col min="8" max="9" width="15.125" style="142" customWidth="1"/>
    <col min="10" max="10" width="15.875" style="142" bestFit="1" customWidth="1"/>
    <col min="11" max="11" width="9.125" style="277" customWidth="1"/>
    <col min="12" max="16384" width="9.125" style="142" customWidth="1"/>
  </cols>
  <sheetData>
    <row r="1" spans="1:10" ht="12.75">
      <c r="A1" s="82"/>
      <c r="B1" s="169"/>
      <c r="C1" s="169"/>
      <c r="D1" s="169"/>
      <c r="E1" s="170"/>
      <c r="F1" s="934" t="s">
        <v>1134</v>
      </c>
      <c r="G1" s="935"/>
      <c r="H1" s="935"/>
      <c r="I1" s="935"/>
      <c r="J1" s="935"/>
    </row>
    <row r="2" spans="1:10" ht="15.75">
      <c r="A2" s="939" t="s">
        <v>772</v>
      </c>
      <c r="B2" s="939"/>
      <c r="C2" s="939"/>
      <c r="D2" s="939"/>
      <c r="E2" s="939"/>
      <c r="F2" s="939"/>
      <c r="G2" s="939"/>
      <c r="H2" s="939"/>
      <c r="I2" s="939"/>
      <c r="J2" s="939"/>
    </row>
    <row r="3" spans="1:10" ht="12.75">
      <c r="A3" s="82"/>
      <c r="B3" s="82"/>
      <c r="C3" s="82"/>
      <c r="D3" s="82"/>
      <c r="E3" s="82"/>
      <c r="F3" s="169"/>
      <c r="G3" s="169"/>
      <c r="H3" s="169"/>
      <c r="I3" s="169"/>
      <c r="J3" s="169"/>
    </row>
    <row r="4" spans="1:10" ht="12.75">
      <c r="A4" s="82"/>
      <c r="B4" s="169"/>
      <c r="C4" s="169"/>
      <c r="D4" s="169"/>
      <c r="E4" s="169"/>
      <c r="F4" s="169"/>
      <c r="G4" s="169"/>
      <c r="H4" s="169"/>
      <c r="I4" s="169"/>
      <c r="J4" s="170" t="s">
        <v>629</v>
      </c>
    </row>
    <row r="5" spans="1:10" ht="60">
      <c r="A5" s="946" t="s">
        <v>0</v>
      </c>
      <c r="B5" s="947"/>
      <c r="C5" s="947"/>
      <c r="D5" s="947"/>
      <c r="E5" s="948"/>
      <c r="F5" s="149" t="s">
        <v>89</v>
      </c>
      <c r="G5" s="149" t="s">
        <v>367</v>
      </c>
      <c r="H5" s="149" t="s">
        <v>771</v>
      </c>
      <c r="I5" s="149" t="s">
        <v>862</v>
      </c>
      <c r="J5" s="149" t="s">
        <v>361</v>
      </c>
    </row>
    <row r="6" spans="1:11" s="153" customFormat="1" ht="15">
      <c r="A6" s="171" t="s">
        <v>420</v>
      </c>
      <c r="B6" s="936" t="s">
        <v>421</v>
      </c>
      <c r="C6" s="937"/>
      <c r="D6" s="937"/>
      <c r="E6" s="938"/>
      <c r="F6" s="172" t="s">
        <v>422</v>
      </c>
      <c r="G6" s="172" t="s">
        <v>423</v>
      </c>
      <c r="H6" s="172" t="s">
        <v>424</v>
      </c>
      <c r="I6" s="172" t="s">
        <v>425</v>
      </c>
      <c r="J6" s="172" t="s">
        <v>427</v>
      </c>
      <c r="K6" s="586"/>
    </row>
    <row r="7" spans="1:11" s="175" customFormat="1" ht="12.75">
      <c r="A7" s="173" t="s">
        <v>219</v>
      </c>
      <c r="B7" s="941" t="s">
        <v>220</v>
      </c>
      <c r="C7" s="941"/>
      <c r="D7" s="941"/>
      <c r="E7" s="941"/>
      <c r="F7" s="174">
        <f>SUM(F8+F15+F16+F17+F28+F29)</f>
        <v>941386959</v>
      </c>
      <c r="G7" s="174">
        <f>SUM(G8+G15+G16+G17+G28+G29)</f>
        <v>3882312</v>
      </c>
      <c r="H7" s="174">
        <f>SUM(H8+H15+H16+H17+H28+H29)</f>
        <v>43407259</v>
      </c>
      <c r="I7" s="174">
        <f>SUM(I8+I15+I16+I17+I28+I29)</f>
        <v>0</v>
      </c>
      <c r="J7" s="174">
        <f>SUM(F7:I7)</f>
        <v>988676530</v>
      </c>
      <c r="K7" s="587"/>
    </row>
    <row r="8" spans="1:11" ht="12.75">
      <c r="A8" s="176"/>
      <c r="B8" s="176" t="s">
        <v>221</v>
      </c>
      <c r="C8" s="933" t="s">
        <v>222</v>
      </c>
      <c r="D8" s="933"/>
      <c r="E8" s="933"/>
      <c r="F8" s="177">
        <f>SUM(F9:F14)</f>
        <v>539569213</v>
      </c>
      <c r="G8" s="177">
        <f>SUM(G9:G14)</f>
        <v>0</v>
      </c>
      <c r="H8" s="177">
        <f>SUM(H9:H14)</f>
        <v>0</v>
      </c>
      <c r="I8" s="177">
        <f>SUM(I9:I14)</f>
        <v>0</v>
      </c>
      <c r="J8" s="178">
        <f aca="true" t="shared" si="0" ref="J8:J72">SUM(F8:I8)</f>
        <v>539569213</v>
      </c>
      <c r="K8" s="588"/>
    </row>
    <row r="9" spans="1:11" ht="12.75">
      <c r="A9" s="179"/>
      <c r="B9" s="179"/>
      <c r="C9" s="179" t="s">
        <v>223</v>
      </c>
      <c r="D9" s="179"/>
      <c r="E9" s="179" t="s">
        <v>651</v>
      </c>
      <c r="F9" s="180">
        <f>200053809+140422</f>
        <v>200194231</v>
      </c>
      <c r="G9" s="180">
        <v>0</v>
      </c>
      <c r="H9" s="180">
        <v>0</v>
      </c>
      <c r="I9" s="180">
        <v>0</v>
      </c>
      <c r="J9" s="181">
        <f t="shared" si="0"/>
        <v>200194231</v>
      </c>
      <c r="K9" s="589"/>
    </row>
    <row r="10" spans="1:11" ht="12.75">
      <c r="A10" s="179"/>
      <c r="B10" s="182"/>
      <c r="C10" s="179" t="s">
        <v>224</v>
      </c>
      <c r="D10" s="179"/>
      <c r="E10" s="179" t="s">
        <v>657</v>
      </c>
      <c r="F10" s="180">
        <f>112608900+367584+1341084</f>
        <v>114317568</v>
      </c>
      <c r="G10" s="180">
        <v>0</v>
      </c>
      <c r="H10" s="180">
        <v>0</v>
      </c>
      <c r="I10" s="180">
        <v>0</v>
      </c>
      <c r="J10" s="181">
        <f t="shared" si="0"/>
        <v>114317568</v>
      </c>
      <c r="K10" s="589"/>
    </row>
    <row r="11" spans="1:11" ht="12.75">
      <c r="A11" s="179"/>
      <c r="B11" s="179"/>
      <c r="C11" s="179" t="s">
        <v>225</v>
      </c>
      <c r="D11" s="179"/>
      <c r="E11" s="179" t="s">
        <v>630</v>
      </c>
      <c r="F11" s="180">
        <f>165550125+9189220+195364</f>
        <v>174934709</v>
      </c>
      <c r="G11" s="180">
        <v>0</v>
      </c>
      <c r="H11" s="180">
        <v>0</v>
      </c>
      <c r="I11" s="180">
        <v>0</v>
      </c>
      <c r="J11" s="181">
        <f t="shared" si="0"/>
        <v>174934709</v>
      </c>
      <c r="K11" s="589"/>
    </row>
    <row r="12" spans="1:11" ht="12.75">
      <c r="A12" s="179"/>
      <c r="B12" s="179"/>
      <c r="C12" s="179" t="s">
        <v>226</v>
      </c>
      <c r="D12" s="179"/>
      <c r="E12" s="179" t="s">
        <v>658</v>
      </c>
      <c r="F12" s="180">
        <f>10661310+1004278+95585</f>
        <v>11761173</v>
      </c>
      <c r="G12" s="180">
        <v>0</v>
      </c>
      <c r="H12" s="180">
        <v>0</v>
      </c>
      <c r="I12" s="180">
        <v>0</v>
      </c>
      <c r="J12" s="181">
        <f t="shared" si="0"/>
        <v>11761173</v>
      </c>
      <c r="K12" s="589"/>
    </row>
    <row r="13" spans="1:11" ht="12.75">
      <c r="A13" s="179"/>
      <c r="B13" s="179"/>
      <c r="C13" s="179" t="s">
        <v>227</v>
      </c>
      <c r="D13" s="179"/>
      <c r="E13" s="179" t="s">
        <v>652</v>
      </c>
      <c r="F13" s="180">
        <f>1096532+7265000+30000000</f>
        <v>38361532</v>
      </c>
      <c r="G13" s="180">
        <v>0</v>
      </c>
      <c r="H13" s="180">
        <v>0</v>
      </c>
      <c r="I13" s="180">
        <v>0</v>
      </c>
      <c r="J13" s="181">
        <f t="shared" si="0"/>
        <v>38361532</v>
      </c>
      <c r="K13" s="589"/>
    </row>
    <row r="14" spans="1:11" ht="12.75">
      <c r="A14" s="183"/>
      <c r="B14" s="183"/>
      <c r="C14" s="179" t="s">
        <v>228</v>
      </c>
      <c r="D14" s="183"/>
      <c r="E14" s="179" t="s">
        <v>546</v>
      </c>
      <c r="F14" s="180">
        <v>0</v>
      </c>
      <c r="G14" s="180">
        <v>0</v>
      </c>
      <c r="H14" s="180">
        <v>0</v>
      </c>
      <c r="I14" s="180">
        <v>0</v>
      </c>
      <c r="J14" s="181">
        <f t="shared" si="0"/>
        <v>0</v>
      </c>
      <c r="K14" s="589"/>
    </row>
    <row r="15" spans="1:11" ht="12.75">
      <c r="A15" s="176"/>
      <c r="B15" s="176" t="s">
        <v>229</v>
      </c>
      <c r="C15" s="933" t="s">
        <v>230</v>
      </c>
      <c r="D15" s="933"/>
      <c r="E15" s="933"/>
      <c r="F15" s="177">
        <v>0</v>
      </c>
      <c r="G15" s="177">
        <v>0</v>
      </c>
      <c r="H15" s="177">
        <v>0</v>
      </c>
      <c r="I15" s="177">
        <v>0</v>
      </c>
      <c r="J15" s="178">
        <f t="shared" si="0"/>
        <v>0</v>
      </c>
      <c r="K15" s="588"/>
    </row>
    <row r="16" spans="1:11" ht="12.75">
      <c r="A16" s="176"/>
      <c r="B16" s="176" t="s">
        <v>231</v>
      </c>
      <c r="C16" s="933" t="s">
        <v>653</v>
      </c>
      <c r="D16" s="933"/>
      <c r="E16" s="933"/>
      <c r="F16" s="177">
        <v>0</v>
      </c>
      <c r="G16" s="177">
        <v>0</v>
      </c>
      <c r="H16" s="177">
        <v>0</v>
      </c>
      <c r="I16" s="177">
        <v>0</v>
      </c>
      <c r="J16" s="178">
        <f t="shared" si="0"/>
        <v>0</v>
      </c>
      <c r="K16" s="588"/>
    </row>
    <row r="17" spans="1:11" ht="12.75">
      <c r="A17" s="176"/>
      <c r="B17" s="176" t="s">
        <v>232</v>
      </c>
      <c r="C17" s="933" t="s">
        <v>654</v>
      </c>
      <c r="D17" s="933"/>
      <c r="E17" s="933"/>
      <c r="F17" s="177">
        <f>SUM(F18:F27)</f>
        <v>0</v>
      </c>
      <c r="G17" s="177">
        <f>SUM(G18:G27)</f>
        <v>0</v>
      </c>
      <c r="H17" s="177">
        <f>SUM(H18:H27)</f>
        <v>0</v>
      </c>
      <c r="I17" s="177">
        <f>SUM(I18:I27)</f>
        <v>0</v>
      </c>
      <c r="J17" s="178">
        <f t="shared" si="0"/>
        <v>0</v>
      </c>
      <c r="K17" s="588"/>
    </row>
    <row r="18" spans="1:11" ht="12.75" hidden="1">
      <c r="A18" s="184"/>
      <c r="B18" s="184"/>
      <c r="C18" s="185" t="s">
        <v>2</v>
      </c>
      <c r="D18" s="185" t="s">
        <v>157</v>
      </c>
      <c r="E18" s="185" t="s">
        <v>158</v>
      </c>
      <c r="F18" s="186">
        <v>0</v>
      </c>
      <c r="G18" s="186">
        <v>0</v>
      </c>
      <c r="H18" s="186">
        <v>0</v>
      </c>
      <c r="I18" s="186">
        <v>0</v>
      </c>
      <c r="J18" s="187">
        <f t="shared" si="0"/>
        <v>0</v>
      </c>
      <c r="K18" s="590"/>
    </row>
    <row r="19" spans="1:11" ht="12.75" hidden="1">
      <c r="A19" s="184"/>
      <c r="B19" s="184"/>
      <c r="C19" s="185"/>
      <c r="D19" s="185" t="s">
        <v>159</v>
      </c>
      <c r="E19" s="185" t="s">
        <v>160</v>
      </c>
      <c r="F19" s="186">
        <v>0</v>
      </c>
      <c r="G19" s="186">
        <v>0</v>
      </c>
      <c r="H19" s="186">
        <v>0</v>
      </c>
      <c r="I19" s="186">
        <v>0</v>
      </c>
      <c r="J19" s="187">
        <f t="shared" si="0"/>
        <v>0</v>
      </c>
      <c r="K19" s="590"/>
    </row>
    <row r="20" spans="1:11" ht="12.75" hidden="1">
      <c r="A20" s="184"/>
      <c r="B20" s="184"/>
      <c r="C20" s="185"/>
      <c r="D20" s="185" t="s">
        <v>161</v>
      </c>
      <c r="E20" s="185" t="s">
        <v>233</v>
      </c>
      <c r="F20" s="186">
        <v>0</v>
      </c>
      <c r="G20" s="186">
        <v>0</v>
      </c>
      <c r="H20" s="186">
        <v>0</v>
      </c>
      <c r="I20" s="186">
        <v>0</v>
      </c>
      <c r="J20" s="187">
        <f t="shared" si="0"/>
        <v>0</v>
      </c>
      <c r="K20" s="590"/>
    </row>
    <row r="21" spans="1:11" ht="12.75" hidden="1">
      <c r="A21" s="184"/>
      <c r="B21" s="184"/>
      <c r="C21" s="185"/>
      <c r="D21" s="185" t="s">
        <v>163</v>
      </c>
      <c r="E21" s="185" t="s">
        <v>164</v>
      </c>
      <c r="F21" s="186">
        <v>0</v>
      </c>
      <c r="G21" s="186">
        <v>0</v>
      </c>
      <c r="H21" s="186">
        <v>0</v>
      </c>
      <c r="I21" s="186">
        <v>0</v>
      </c>
      <c r="J21" s="187">
        <f t="shared" si="0"/>
        <v>0</v>
      </c>
      <c r="K21" s="590"/>
    </row>
    <row r="22" spans="1:11" ht="12.75" hidden="1">
      <c r="A22" s="184"/>
      <c r="B22" s="184"/>
      <c r="C22" s="185"/>
      <c r="D22" s="185" t="s">
        <v>165</v>
      </c>
      <c r="E22" s="185" t="s">
        <v>166</v>
      </c>
      <c r="F22" s="186">
        <v>0</v>
      </c>
      <c r="G22" s="186">
        <v>0</v>
      </c>
      <c r="H22" s="186">
        <v>0</v>
      </c>
      <c r="I22" s="186">
        <v>0</v>
      </c>
      <c r="J22" s="187">
        <f t="shared" si="0"/>
        <v>0</v>
      </c>
      <c r="K22" s="590"/>
    </row>
    <row r="23" spans="1:11" ht="12.75" hidden="1">
      <c r="A23" s="184"/>
      <c r="B23" s="184"/>
      <c r="C23" s="185"/>
      <c r="D23" s="185" t="s">
        <v>167</v>
      </c>
      <c r="E23" s="185" t="s">
        <v>168</v>
      </c>
      <c r="F23" s="186">
        <v>0</v>
      </c>
      <c r="G23" s="186">
        <v>0</v>
      </c>
      <c r="H23" s="186">
        <v>0</v>
      </c>
      <c r="I23" s="186">
        <v>0</v>
      </c>
      <c r="J23" s="187">
        <f t="shared" si="0"/>
        <v>0</v>
      </c>
      <c r="K23" s="590"/>
    </row>
    <row r="24" spans="1:11" ht="12.75" hidden="1">
      <c r="A24" s="184"/>
      <c r="B24" s="184"/>
      <c r="C24" s="185"/>
      <c r="D24" s="185" t="s">
        <v>169</v>
      </c>
      <c r="E24" s="185" t="s">
        <v>170</v>
      </c>
      <c r="F24" s="186">
        <v>0</v>
      </c>
      <c r="G24" s="186">
        <v>0</v>
      </c>
      <c r="H24" s="186">
        <v>0</v>
      </c>
      <c r="I24" s="186">
        <v>0</v>
      </c>
      <c r="J24" s="187">
        <f t="shared" si="0"/>
        <v>0</v>
      </c>
      <c r="K24" s="590"/>
    </row>
    <row r="25" spans="1:11" ht="12.75" hidden="1">
      <c r="A25" s="184"/>
      <c r="B25" s="184"/>
      <c r="C25" s="185"/>
      <c r="D25" s="185" t="s">
        <v>171</v>
      </c>
      <c r="E25" s="185" t="s">
        <v>172</v>
      </c>
      <c r="F25" s="186"/>
      <c r="G25" s="186">
        <v>0</v>
      </c>
      <c r="H25" s="186">
        <v>0</v>
      </c>
      <c r="I25" s="186">
        <v>0</v>
      </c>
      <c r="J25" s="187">
        <f t="shared" si="0"/>
        <v>0</v>
      </c>
      <c r="K25" s="590"/>
    </row>
    <row r="26" spans="1:11" ht="12.75" hidden="1">
      <c r="A26" s="184"/>
      <c r="B26" s="184"/>
      <c r="C26" s="185"/>
      <c r="D26" s="185" t="s">
        <v>173</v>
      </c>
      <c r="E26" s="185" t="s">
        <v>174</v>
      </c>
      <c r="F26" s="186">
        <v>0</v>
      </c>
      <c r="G26" s="186">
        <v>0</v>
      </c>
      <c r="H26" s="186">
        <v>0</v>
      </c>
      <c r="I26" s="186">
        <v>0</v>
      </c>
      <c r="J26" s="187">
        <f t="shared" si="0"/>
        <v>0</v>
      </c>
      <c r="K26" s="590"/>
    </row>
    <row r="27" spans="1:11" ht="12.75" hidden="1">
      <c r="A27" s="184"/>
      <c r="B27" s="184"/>
      <c r="C27" s="185"/>
      <c r="D27" s="185" t="s">
        <v>175</v>
      </c>
      <c r="E27" s="185" t="s">
        <v>176</v>
      </c>
      <c r="F27" s="186">
        <v>0</v>
      </c>
      <c r="G27" s="186">
        <v>0</v>
      </c>
      <c r="H27" s="186">
        <v>0</v>
      </c>
      <c r="I27" s="186">
        <v>0</v>
      </c>
      <c r="J27" s="187">
        <f t="shared" si="0"/>
        <v>0</v>
      </c>
      <c r="K27" s="590"/>
    </row>
    <row r="28" spans="1:11" ht="13.5" customHeight="1">
      <c r="A28" s="176"/>
      <c r="B28" s="176" t="s">
        <v>234</v>
      </c>
      <c r="C28" s="933" t="s">
        <v>655</v>
      </c>
      <c r="D28" s="933"/>
      <c r="E28" s="933"/>
      <c r="F28" s="177">
        <v>0</v>
      </c>
      <c r="G28" s="177">
        <v>0</v>
      </c>
      <c r="H28" s="177">
        <v>0</v>
      </c>
      <c r="I28" s="177">
        <v>0</v>
      </c>
      <c r="J28" s="178">
        <f t="shared" si="0"/>
        <v>0</v>
      </c>
      <c r="K28" s="588"/>
    </row>
    <row r="29" spans="1:11" ht="13.5" customHeight="1">
      <c r="A29" s="176"/>
      <c r="B29" s="176" t="s">
        <v>235</v>
      </c>
      <c r="C29" s="933" t="s">
        <v>656</v>
      </c>
      <c r="D29" s="933"/>
      <c r="E29" s="933"/>
      <c r="F29" s="177">
        <f>SUM(F30:F39)</f>
        <v>401817746</v>
      </c>
      <c r="G29" s="177">
        <f>SUM(G30:G39)</f>
        <v>3882312</v>
      </c>
      <c r="H29" s="177">
        <f>SUM(H30:H39)</f>
        <v>43407259</v>
      </c>
      <c r="I29" s="177">
        <f>SUM(I30:I39)</f>
        <v>0</v>
      </c>
      <c r="J29" s="178">
        <f t="shared" si="0"/>
        <v>449107317</v>
      </c>
      <c r="K29" s="588"/>
    </row>
    <row r="30" spans="1:11" ht="12.75" hidden="1">
      <c r="A30" s="184"/>
      <c r="B30" s="184"/>
      <c r="C30" s="185" t="s">
        <v>2</v>
      </c>
      <c r="D30" s="185" t="s">
        <v>157</v>
      </c>
      <c r="E30" s="185" t="s">
        <v>158</v>
      </c>
      <c r="F30" s="186">
        <v>0</v>
      </c>
      <c r="G30" s="186">
        <v>0</v>
      </c>
      <c r="H30" s="186">
        <v>0</v>
      </c>
      <c r="I30" s="186">
        <v>0</v>
      </c>
      <c r="J30" s="187">
        <f t="shared" si="0"/>
        <v>0</v>
      </c>
      <c r="K30" s="590"/>
    </row>
    <row r="31" spans="1:11" ht="12.75" hidden="1">
      <c r="A31" s="184"/>
      <c r="B31" s="184"/>
      <c r="C31" s="185"/>
      <c r="D31" s="185" t="s">
        <v>159</v>
      </c>
      <c r="E31" s="185" t="s">
        <v>160</v>
      </c>
      <c r="F31" s="186">
        <v>0</v>
      </c>
      <c r="G31" s="186">
        <v>0</v>
      </c>
      <c r="H31" s="186">
        <v>0</v>
      </c>
      <c r="I31" s="186">
        <v>0</v>
      </c>
      <c r="J31" s="187">
        <f t="shared" si="0"/>
        <v>0</v>
      </c>
      <c r="K31" s="590"/>
    </row>
    <row r="32" spans="1:11" ht="12.75">
      <c r="A32" s="188"/>
      <c r="B32" s="188"/>
      <c r="C32" s="185" t="s">
        <v>2</v>
      </c>
      <c r="D32" s="189"/>
      <c r="E32" s="189" t="s">
        <v>659</v>
      </c>
      <c r="F32" s="186">
        <f>63035474+88971424+32379432+17772766+10976885</f>
        <v>213135981</v>
      </c>
      <c r="G32" s="186">
        <v>0</v>
      </c>
      <c r="H32" s="186">
        <v>43407259</v>
      </c>
      <c r="I32" s="186">
        <v>0</v>
      </c>
      <c r="J32" s="187">
        <f t="shared" si="0"/>
        <v>256543240</v>
      </c>
      <c r="K32" s="590"/>
    </row>
    <row r="33" spans="1:11" ht="12.75">
      <c r="A33" s="184"/>
      <c r="B33" s="184"/>
      <c r="C33" s="185"/>
      <c r="D33" s="185"/>
      <c r="E33" s="185" t="s">
        <v>164</v>
      </c>
      <c r="F33" s="186">
        <f>29503396+6245115+6018160+2000000</f>
        <v>43766671</v>
      </c>
      <c r="G33" s="186">
        <f>1969798+37116</f>
        <v>2006914</v>
      </c>
      <c r="H33" s="186">
        <v>0</v>
      </c>
      <c r="I33" s="186">
        <v>0</v>
      </c>
      <c r="J33" s="187">
        <f t="shared" si="0"/>
        <v>45773585</v>
      </c>
      <c r="K33" s="590"/>
    </row>
    <row r="34" spans="1:11" ht="12.75">
      <c r="A34" s="184"/>
      <c r="B34" s="184"/>
      <c r="C34" s="185"/>
      <c r="D34" s="185"/>
      <c r="E34" s="185" t="s">
        <v>166</v>
      </c>
      <c r="F34" s="186">
        <f>21588000</f>
        <v>21588000</v>
      </c>
      <c r="G34" s="186">
        <v>0</v>
      </c>
      <c r="H34" s="186">
        <v>0</v>
      </c>
      <c r="I34" s="186">
        <v>0</v>
      </c>
      <c r="J34" s="187">
        <f t="shared" si="0"/>
        <v>21588000</v>
      </c>
      <c r="K34" s="590"/>
    </row>
    <row r="35" spans="1:11" ht="12.75">
      <c r="A35" s="184"/>
      <c r="B35" s="184"/>
      <c r="C35" s="185"/>
      <c r="D35" s="185"/>
      <c r="E35" s="185" t="s">
        <v>168</v>
      </c>
      <c r="F35" s="186">
        <f>11977188+23626850+46614899+38901777-8045171-7935168+1100000</f>
        <v>106240375</v>
      </c>
      <c r="G35" s="186">
        <f>581210+1294188</f>
        <v>1875398</v>
      </c>
      <c r="H35" s="186">
        <v>0</v>
      </c>
      <c r="I35" s="186">
        <v>0</v>
      </c>
      <c r="J35" s="187">
        <f t="shared" si="0"/>
        <v>108115773</v>
      </c>
      <c r="K35" s="590"/>
    </row>
    <row r="36" spans="1:11" ht="11.25" customHeight="1">
      <c r="A36" s="184"/>
      <c r="B36" s="184"/>
      <c r="C36" s="185"/>
      <c r="D36" s="185"/>
      <c r="E36" s="185" t="s">
        <v>170</v>
      </c>
      <c r="F36" s="186">
        <f>9462661+3652363+3971695</f>
        <v>17086719</v>
      </c>
      <c r="G36" s="186">
        <v>0</v>
      </c>
      <c r="H36" s="186">
        <v>0</v>
      </c>
      <c r="I36" s="186">
        <v>0</v>
      </c>
      <c r="J36" s="187">
        <f t="shared" si="0"/>
        <v>17086719</v>
      </c>
      <c r="K36" s="590"/>
    </row>
    <row r="37" spans="1:11" ht="12.75" hidden="1">
      <c r="A37" s="184"/>
      <c r="B37" s="184"/>
      <c r="C37" s="185"/>
      <c r="D37" s="185"/>
      <c r="E37" s="185" t="s">
        <v>172</v>
      </c>
      <c r="F37" s="186">
        <v>0</v>
      </c>
      <c r="G37" s="186">
        <v>0</v>
      </c>
      <c r="H37" s="186">
        <v>0</v>
      </c>
      <c r="I37" s="186">
        <v>0</v>
      </c>
      <c r="J37" s="187">
        <f t="shared" si="0"/>
        <v>0</v>
      </c>
      <c r="K37" s="590"/>
    </row>
    <row r="38" spans="1:11" ht="12.75" hidden="1">
      <c r="A38" s="184"/>
      <c r="B38" s="184"/>
      <c r="C38" s="185"/>
      <c r="D38" s="185"/>
      <c r="E38" s="185" t="s">
        <v>660</v>
      </c>
      <c r="F38" s="186">
        <v>0</v>
      </c>
      <c r="G38" s="186">
        <v>0</v>
      </c>
      <c r="H38" s="186">
        <v>0</v>
      </c>
      <c r="I38" s="186">
        <v>0</v>
      </c>
      <c r="J38" s="187">
        <f t="shared" si="0"/>
        <v>0</v>
      </c>
      <c r="K38" s="590"/>
    </row>
    <row r="39" spans="1:11" ht="12.75" hidden="1">
      <c r="A39" s="184"/>
      <c r="B39" s="184"/>
      <c r="C39" s="185"/>
      <c r="D39" s="185"/>
      <c r="E39" s="185" t="s">
        <v>661</v>
      </c>
      <c r="F39" s="186">
        <v>0</v>
      </c>
      <c r="G39" s="186">
        <v>0</v>
      </c>
      <c r="H39" s="186">
        <v>0</v>
      </c>
      <c r="I39" s="186">
        <v>0</v>
      </c>
      <c r="J39" s="187">
        <f t="shared" si="0"/>
        <v>0</v>
      </c>
      <c r="K39" s="590"/>
    </row>
    <row r="40" spans="1:11" s="175" customFormat="1" ht="12.75">
      <c r="A40" s="173" t="s">
        <v>236</v>
      </c>
      <c r="B40" s="941" t="s">
        <v>667</v>
      </c>
      <c r="C40" s="941"/>
      <c r="D40" s="941"/>
      <c r="E40" s="941"/>
      <c r="F40" s="174">
        <f>SUM(F41:F45)</f>
        <v>68020158</v>
      </c>
      <c r="G40" s="174">
        <f>SUM(G41:G45)</f>
        <v>0</v>
      </c>
      <c r="H40" s="174">
        <f>SUM(H41:H45)</f>
        <v>1687190</v>
      </c>
      <c r="I40" s="174">
        <f>SUM(I41:I45)</f>
        <v>0</v>
      </c>
      <c r="J40" s="174">
        <f t="shared" si="0"/>
        <v>69707348</v>
      </c>
      <c r="K40" s="587"/>
    </row>
    <row r="41" spans="1:11" ht="11.25" customHeight="1">
      <c r="A41" s="176"/>
      <c r="B41" s="176" t="s">
        <v>237</v>
      </c>
      <c r="C41" s="933" t="s">
        <v>662</v>
      </c>
      <c r="D41" s="933"/>
      <c r="E41" s="933"/>
      <c r="F41" s="177">
        <v>0</v>
      </c>
      <c r="G41" s="177">
        <v>0</v>
      </c>
      <c r="H41" s="177">
        <v>0</v>
      </c>
      <c r="I41" s="177">
        <v>0</v>
      </c>
      <c r="J41" s="178">
        <f t="shared" si="0"/>
        <v>0</v>
      </c>
      <c r="K41" s="588"/>
    </row>
    <row r="42" spans="1:11" ht="12.75" hidden="1">
      <c r="A42" s="176"/>
      <c r="B42" s="176" t="s">
        <v>238</v>
      </c>
      <c r="C42" s="933" t="s">
        <v>663</v>
      </c>
      <c r="D42" s="933"/>
      <c r="E42" s="933"/>
      <c r="F42" s="177">
        <v>0</v>
      </c>
      <c r="G42" s="177">
        <v>0</v>
      </c>
      <c r="H42" s="177">
        <v>0</v>
      </c>
      <c r="I42" s="177">
        <v>0</v>
      </c>
      <c r="J42" s="178">
        <f t="shared" si="0"/>
        <v>0</v>
      </c>
      <c r="K42" s="588"/>
    </row>
    <row r="43" spans="1:11" ht="12.75" hidden="1">
      <c r="A43" s="176"/>
      <c r="B43" s="176" t="s">
        <v>239</v>
      </c>
      <c r="C43" s="933" t="s">
        <v>664</v>
      </c>
      <c r="D43" s="933"/>
      <c r="E43" s="933"/>
      <c r="F43" s="177">
        <v>0</v>
      </c>
      <c r="G43" s="177">
        <v>0</v>
      </c>
      <c r="H43" s="177">
        <v>0</v>
      </c>
      <c r="I43" s="177">
        <v>0</v>
      </c>
      <c r="J43" s="178">
        <f t="shared" si="0"/>
        <v>0</v>
      </c>
      <c r="K43" s="588"/>
    </row>
    <row r="44" spans="1:11" ht="12.75" hidden="1">
      <c r="A44" s="176"/>
      <c r="B44" s="176" t="s">
        <v>240</v>
      </c>
      <c r="C44" s="933" t="s">
        <v>665</v>
      </c>
      <c r="D44" s="933"/>
      <c r="E44" s="933"/>
      <c r="F44" s="177">
        <v>0</v>
      </c>
      <c r="G44" s="177">
        <v>0</v>
      </c>
      <c r="H44" s="177">
        <v>0</v>
      </c>
      <c r="I44" s="177">
        <v>0</v>
      </c>
      <c r="J44" s="178">
        <f t="shared" si="0"/>
        <v>0</v>
      </c>
      <c r="K44" s="588"/>
    </row>
    <row r="45" spans="1:11" ht="12" customHeight="1">
      <c r="A45" s="176"/>
      <c r="B45" s="176" t="s">
        <v>241</v>
      </c>
      <c r="C45" s="933" t="s">
        <v>666</v>
      </c>
      <c r="D45" s="933"/>
      <c r="E45" s="933"/>
      <c r="F45" s="177">
        <f>SUM(F46:F56)</f>
        <v>68020158</v>
      </c>
      <c r="G45" s="177">
        <f>SUM(G46:G55)</f>
        <v>0</v>
      </c>
      <c r="H45" s="177">
        <f>SUM(H46:H55)</f>
        <v>1687190</v>
      </c>
      <c r="I45" s="177">
        <f>SUM(I46:I55)</f>
        <v>0</v>
      </c>
      <c r="J45" s="178">
        <f t="shared" si="0"/>
        <v>69707348</v>
      </c>
      <c r="K45" s="588"/>
    </row>
    <row r="46" spans="1:11" ht="12.75" hidden="1">
      <c r="A46" s="184"/>
      <c r="B46" s="184"/>
      <c r="C46" s="185" t="s">
        <v>2</v>
      </c>
      <c r="D46" s="185" t="s">
        <v>157</v>
      </c>
      <c r="E46" s="185" t="s">
        <v>158</v>
      </c>
      <c r="F46" s="186">
        <v>0</v>
      </c>
      <c r="G46" s="186">
        <v>0</v>
      </c>
      <c r="H46" s="186">
        <v>0</v>
      </c>
      <c r="I46" s="186">
        <v>0</v>
      </c>
      <c r="J46" s="187">
        <f t="shared" si="0"/>
        <v>0</v>
      </c>
      <c r="K46" s="590"/>
    </row>
    <row r="47" spans="1:11" ht="12.75" hidden="1">
      <c r="A47" s="184"/>
      <c r="B47" s="184"/>
      <c r="C47" s="185"/>
      <c r="D47" s="185" t="s">
        <v>159</v>
      </c>
      <c r="E47" s="185" t="s">
        <v>160</v>
      </c>
      <c r="F47" s="186">
        <v>0</v>
      </c>
      <c r="G47" s="186">
        <v>0</v>
      </c>
      <c r="H47" s="186">
        <v>0</v>
      </c>
      <c r="I47" s="186">
        <v>0</v>
      </c>
      <c r="J47" s="187">
        <f t="shared" si="0"/>
        <v>0</v>
      </c>
      <c r="K47" s="590"/>
    </row>
    <row r="48" spans="1:11" ht="12.75">
      <c r="A48" s="188"/>
      <c r="B48" s="188"/>
      <c r="C48" s="185" t="s">
        <v>2</v>
      </c>
      <c r="D48" s="189"/>
      <c r="E48" s="189" t="s">
        <v>233</v>
      </c>
      <c r="F48" s="186">
        <f>2500000+21694288+6019000+5000000+9889960+15511691+2497100+1920000</f>
        <v>65032039</v>
      </c>
      <c r="G48" s="186">
        <v>0</v>
      </c>
      <c r="H48" s="186">
        <v>1687190</v>
      </c>
      <c r="I48" s="186">
        <v>0</v>
      </c>
      <c r="J48" s="187">
        <f t="shared" si="0"/>
        <v>66719229</v>
      </c>
      <c r="K48" s="590"/>
    </row>
    <row r="49" spans="1:11" ht="12.75" hidden="1">
      <c r="A49" s="184"/>
      <c r="B49" s="184"/>
      <c r="C49" s="185"/>
      <c r="D49" s="185" t="s">
        <v>163</v>
      </c>
      <c r="E49" s="185" t="s">
        <v>164</v>
      </c>
      <c r="F49" s="186">
        <v>0</v>
      </c>
      <c r="G49" s="186">
        <v>0</v>
      </c>
      <c r="H49" s="186">
        <v>0</v>
      </c>
      <c r="I49" s="186">
        <v>0</v>
      </c>
      <c r="J49" s="187">
        <f t="shared" si="0"/>
        <v>0</v>
      </c>
      <c r="K49" s="590"/>
    </row>
    <row r="50" spans="1:11" ht="12.75" hidden="1">
      <c r="A50" s="184"/>
      <c r="B50" s="184"/>
      <c r="C50" s="185"/>
      <c r="D50" s="185" t="s">
        <v>165</v>
      </c>
      <c r="E50" s="185" t="s">
        <v>166</v>
      </c>
      <c r="F50" s="186">
        <v>0</v>
      </c>
      <c r="G50" s="186">
        <v>0</v>
      </c>
      <c r="H50" s="186">
        <v>0</v>
      </c>
      <c r="I50" s="186">
        <v>0</v>
      </c>
      <c r="J50" s="187">
        <f t="shared" si="0"/>
        <v>0</v>
      </c>
      <c r="K50" s="590"/>
    </row>
    <row r="51" spans="1:11" ht="12" customHeight="1">
      <c r="A51" s="184"/>
      <c r="B51" s="184"/>
      <c r="C51" s="185"/>
      <c r="D51" s="185"/>
      <c r="E51" s="185" t="s">
        <v>168</v>
      </c>
      <c r="F51" s="186">
        <f>299888+1846997</f>
        <v>2146885</v>
      </c>
      <c r="G51" s="186">
        <v>0</v>
      </c>
      <c r="H51" s="186">
        <v>0</v>
      </c>
      <c r="I51" s="186">
        <v>0</v>
      </c>
      <c r="J51" s="187">
        <f t="shared" si="0"/>
        <v>2146885</v>
      </c>
      <c r="K51" s="590"/>
    </row>
    <row r="52" spans="1:11" ht="12.75" hidden="1">
      <c r="A52" s="184"/>
      <c r="B52" s="184"/>
      <c r="C52" s="185"/>
      <c r="D52" s="185" t="s">
        <v>169</v>
      </c>
      <c r="E52" s="185" t="s">
        <v>170</v>
      </c>
      <c r="F52" s="186">
        <v>0</v>
      </c>
      <c r="G52" s="186">
        <v>0</v>
      </c>
      <c r="H52" s="186">
        <v>0</v>
      </c>
      <c r="I52" s="186">
        <v>0</v>
      </c>
      <c r="J52" s="187">
        <f t="shared" si="0"/>
        <v>0</v>
      </c>
      <c r="K52" s="590"/>
    </row>
    <row r="53" spans="1:11" ht="12.75" hidden="1">
      <c r="A53" s="184"/>
      <c r="B53" s="184"/>
      <c r="C53" s="185"/>
      <c r="D53" s="185" t="s">
        <v>171</v>
      </c>
      <c r="E53" s="185" t="s">
        <v>172</v>
      </c>
      <c r="F53" s="186">
        <v>0</v>
      </c>
      <c r="G53" s="186">
        <v>0</v>
      </c>
      <c r="H53" s="186">
        <v>0</v>
      </c>
      <c r="I53" s="186">
        <v>0</v>
      </c>
      <c r="J53" s="187">
        <f t="shared" si="0"/>
        <v>0</v>
      </c>
      <c r="K53" s="590"/>
    </row>
    <row r="54" spans="1:11" ht="12.75" hidden="1">
      <c r="A54" s="184"/>
      <c r="B54" s="184"/>
      <c r="C54" s="185"/>
      <c r="D54" s="185" t="s">
        <v>173</v>
      </c>
      <c r="E54" s="185" t="s">
        <v>174</v>
      </c>
      <c r="F54" s="186">
        <v>0</v>
      </c>
      <c r="G54" s="186">
        <v>0</v>
      </c>
      <c r="H54" s="186">
        <v>0</v>
      </c>
      <c r="I54" s="186">
        <v>0</v>
      </c>
      <c r="J54" s="187">
        <f t="shared" si="0"/>
        <v>0</v>
      </c>
      <c r="K54" s="590"/>
    </row>
    <row r="55" spans="1:11" ht="12.75" hidden="1">
      <c r="A55" s="184"/>
      <c r="B55" s="184"/>
      <c r="C55" s="185"/>
      <c r="D55" s="185" t="s">
        <v>175</v>
      </c>
      <c r="E55" s="185" t="s">
        <v>176</v>
      </c>
      <c r="F55" s="186">
        <v>0</v>
      </c>
      <c r="G55" s="186">
        <v>0</v>
      </c>
      <c r="H55" s="186">
        <v>0</v>
      </c>
      <c r="I55" s="186">
        <v>0</v>
      </c>
      <c r="J55" s="187">
        <f t="shared" si="0"/>
        <v>0</v>
      </c>
      <c r="K55" s="590"/>
    </row>
    <row r="56" spans="1:11" ht="12.75">
      <c r="A56" s="184"/>
      <c r="B56" s="184"/>
      <c r="C56" s="185"/>
      <c r="D56" s="185"/>
      <c r="E56" s="185" t="s">
        <v>164</v>
      </c>
      <c r="F56" s="186">
        <v>841234</v>
      </c>
      <c r="G56" s="186">
        <v>0</v>
      </c>
      <c r="H56" s="186">
        <v>0</v>
      </c>
      <c r="I56" s="186">
        <v>0</v>
      </c>
      <c r="J56" s="187">
        <f t="shared" si="0"/>
        <v>841234</v>
      </c>
      <c r="K56" s="590"/>
    </row>
    <row r="57" spans="1:11" s="175" customFormat="1" ht="12.75">
      <c r="A57" s="173" t="s">
        <v>242</v>
      </c>
      <c r="B57" s="941" t="s">
        <v>243</v>
      </c>
      <c r="C57" s="941"/>
      <c r="D57" s="941"/>
      <c r="E57" s="941"/>
      <c r="F57" s="174">
        <f>SUM(F58+F59+F60+F61+F64+F75)</f>
        <v>227595000</v>
      </c>
      <c r="G57" s="174">
        <f>SUM(G58+G59+G60+G61+G64+G75)</f>
        <v>0</v>
      </c>
      <c r="H57" s="174">
        <f>SUM(H58+H59+H60+H61+H64+H75)</f>
        <v>0</v>
      </c>
      <c r="I57" s="174">
        <f>SUM(I58+I59+I60+I61+I64+I75)</f>
        <v>0</v>
      </c>
      <c r="J57" s="174">
        <f t="shared" si="0"/>
        <v>227595000</v>
      </c>
      <c r="K57" s="587"/>
    </row>
    <row r="58" spans="1:11" ht="12.75">
      <c r="A58" s="176"/>
      <c r="B58" s="176" t="s">
        <v>244</v>
      </c>
      <c r="C58" s="933" t="s">
        <v>245</v>
      </c>
      <c r="D58" s="933"/>
      <c r="E58" s="933"/>
      <c r="F58" s="177">
        <v>50000</v>
      </c>
      <c r="G58" s="177">
        <v>0</v>
      </c>
      <c r="H58" s="177">
        <v>0</v>
      </c>
      <c r="I58" s="177">
        <v>0</v>
      </c>
      <c r="J58" s="178">
        <f t="shared" si="0"/>
        <v>50000</v>
      </c>
      <c r="K58" s="588"/>
    </row>
    <row r="59" spans="1:11" ht="12.75">
      <c r="A59" s="176"/>
      <c r="B59" s="176" t="s">
        <v>246</v>
      </c>
      <c r="C59" s="933" t="s">
        <v>247</v>
      </c>
      <c r="D59" s="933"/>
      <c r="E59" s="933"/>
      <c r="F59" s="177">
        <v>0</v>
      </c>
      <c r="G59" s="177">
        <v>0</v>
      </c>
      <c r="H59" s="177">
        <v>0</v>
      </c>
      <c r="I59" s="177">
        <v>0</v>
      </c>
      <c r="J59" s="178">
        <f t="shared" si="0"/>
        <v>0</v>
      </c>
      <c r="K59" s="588"/>
    </row>
    <row r="60" spans="1:11" ht="12.75">
      <c r="A60" s="176"/>
      <c r="B60" s="176" t="s">
        <v>248</v>
      </c>
      <c r="C60" s="933" t="s">
        <v>249</v>
      </c>
      <c r="D60" s="933"/>
      <c r="E60" s="933"/>
      <c r="F60" s="177">
        <v>0</v>
      </c>
      <c r="G60" s="177">
        <v>0</v>
      </c>
      <c r="H60" s="177">
        <v>0</v>
      </c>
      <c r="I60" s="177">
        <v>0</v>
      </c>
      <c r="J60" s="178">
        <f t="shared" si="0"/>
        <v>0</v>
      </c>
      <c r="K60" s="588"/>
    </row>
    <row r="61" spans="1:11" ht="12.75">
      <c r="A61" s="176"/>
      <c r="B61" s="176" t="s">
        <v>250</v>
      </c>
      <c r="C61" s="933" t="s">
        <v>251</v>
      </c>
      <c r="D61" s="933"/>
      <c r="E61" s="933"/>
      <c r="F61" s="177">
        <f>SUM(F62:F63)</f>
        <v>36900000</v>
      </c>
      <c r="G61" s="177">
        <f>SUM(G62:G63)</f>
        <v>0</v>
      </c>
      <c r="H61" s="177">
        <v>0</v>
      </c>
      <c r="I61" s="177">
        <v>0</v>
      </c>
      <c r="J61" s="178">
        <f t="shared" si="0"/>
        <v>36900000</v>
      </c>
      <c r="K61" s="588"/>
    </row>
    <row r="62" spans="1:11" ht="12.75">
      <c r="A62" s="184"/>
      <c r="B62" s="184"/>
      <c r="C62" s="185"/>
      <c r="D62" s="185"/>
      <c r="E62" s="185" t="s">
        <v>252</v>
      </c>
      <c r="F62" s="186">
        <v>36000000</v>
      </c>
      <c r="G62" s="186">
        <v>0</v>
      </c>
      <c r="H62" s="186">
        <v>0</v>
      </c>
      <c r="I62" s="186">
        <v>0</v>
      </c>
      <c r="J62" s="187">
        <f t="shared" si="0"/>
        <v>36000000</v>
      </c>
      <c r="K62" s="590"/>
    </row>
    <row r="63" spans="1:11" ht="12.75">
      <c r="A63" s="184"/>
      <c r="B63" s="184"/>
      <c r="C63" s="185"/>
      <c r="D63" s="185"/>
      <c r="E63" s="185" t="s">
        <v>253</v>
      </c>
      <c r="F63" s="186">
        <v>900000</v>
      </c>
      <c r="G63" s="186">
        <v>0</v>
      </c>
      <c r="H63" s="186">
        <v>0</v>
      </c>
      <c r="I63" s="186">
        <v>0</v>
      </c>
      <c r="J63" s="187">
        <f t="shared" si="0"/>
        <v>900000</v>
      </c>
      <c r="K63" s="590"/>
    </row>
    <row r="64" spans="1:11" ht="12.75">
      <c r="A64" s="176"/>
      <c r="B64" s="176" t="s">
        <v>254</v>
      </c>
      <c r="C64" s="933" t="s">
        <v>255</v>
      </c>
      <c r="D64" s="933"/>
      <c r="E64" s="933"/>
      <c r="F64" s="177">
        <f>SUM(F65+F68+F70+F71+F73)</f>
        <v>189500000</v>
      </c>
      <c r="G64" s="177">
        <f>SUM(G65+G68+G70+G71+G73)</f>
        <v>0</v>
      </c>
      <c r="H64" s="177">
        <v>0</v>
      </c>
      <c r="I64" s="177">
        <v>0</v>
      </c>
      <c r="J64" s="178">
        <f t="shared" si="0"/>
        <v>189500000</v>
      </c>
      <c r="K64" s="588"/>
    </row>
    <row r="65" spans="1:11" ht="12.75">
      <c r="A65" s="179"/>
      <c r="B65" s="179"/>
      <c r="C65" s="179" t="s">
        <v>256</v>
      </c>
      <c r="D65" s="179" t="s">
        <v>257</v>
      </c>
      <c r="E65" s="179"/>
      <c r="F65" s="180">
        <f>SUM(F66:F67)</f>
        <v>165500000</v>
      </c>
      <c r="G65" s="180">
        <f>SUM(G66:G67)</f>
        <v>0</v>
      </c>
      <c r="H65" s="180">
        <v>0</v>
      </c>
      <c r="I65" s="180">
        <v>0</v>
      </c>
      <c r="J65" s="181">
        <f t="shared" si="0"/>
        <v>165500000</v>
      </c>
      <c r="K65" s="589"/>
    </row>
    <row r="66" spans="1:11" ht="12.75">
      <c r="A66" s="184"/>
      <c r="B66" s="184"/>
      <c r="C66" s="185"/>
      <c r="D66" s="185"/>
      <c r="E66" s="185" t="s">
        <v>668</v>
      </c>
      <c r="F66" s="186">
        <v>165000000</v>
      </c>
      <c r="G66" s="186">
        <v>0</v>
      </c>
      <c r="H66" s="186">
        <v>0</v>
      </c>
      <c r="I66" s="186">
        <v>0</v>
      </c>
      <c r="J66" s="187">
        <f t="shared" si="0"/>
        <v>165000000</v>
      </c>
      <c r="K66" s="590"/>
    </row>
    <row r="67" spans="1:11" ht="12.75">
      <c r="A67" s="184"/>
      <c r="B67" s="184"/>
      <c r="C67" s="185"/>
      <c r="D67" s="185"/>
      <c r="E67" s="185" t="s">
        <v>669</v>
      </c>
      <c r="F67" s="186">
        <v>500000</v>
      </c>
      <c r="G67" s="186">
        <v>0</v>
      </c>
      <c r="H67" s="186">
        <v>0</v>
      </c>
      <c r="I67" s="186">
        <v>0</v>
      </c>
      <c r="J67" s="187">
        <f t="shared" si="0"/>
        <v>500000</v>
      </c>
      <c r="K67" s="590"/>
    </row>
    <row r="68" spans="1:11" ht="11.25" customHeight="1">
      <c r="A68" s="179"/>
      <c r="B68" s="179"/>
      <c r="C68" s="179" t="s">
        <v>258</v>
      </c>
      <c r="D68" s="179" t="s">
        <v>590</v>
      </c>
      <c r="E68" s="179"/>
      <c r="F68" s="180">
        <f>SUM(F69)</f>
        <v>0</v>
      </c>
      <c r="G68" s="180">
        <f>SUM(G69)</f>
        <v>0</v>
      </c>
      <c r="H68" s="180">
        <f>SUM(H69)</f>
        <v>0</v>
      </c>
      <c r="I68" s="180">
        <f>SUM(I69)</f>
        <v>0</v>
      </c>
      <c r="J68" s="181">
        <f t="shared" si="0"/>
        <v>0</v>
      </c>
      <c r="K68" s="589"/>
    </row>
    <row r="69" spans="1:11" ht="12.75" hidden="1">
      <c r="A69" s="179"/>
      <c r="B69" s="179"/>
      <c r="C69" s="179"/>
      <c r="D69" s="179"/>
      <c r="E69" s="185" t="s">
        <v>591</v>
      </c>
      <c r="F69" s="180">
        <v>0</v>
      </c>
      <c r="G69" s="180">
        <v>0</v>
      </c>
      <c r="H69" s="180">
        <v>0</v>
      </c>
      <c r="I69" s="180">
        <v>0</v>
      </c>
      <c r="J69" s="181">
        <f t="shared" si="0"/>
        <v>0</v>
      </c>
      <c r="K69" s="589"/>
    </row>
    <row r="70" spans="1:11" ht="12.75">
      <c r="A70" s="179"/>
      <c r="B70" s="179"/>
      <c r="C70" s="179" t="s">
        <v>259</v>
      </c>
      <c r="D70" s="179" t="s">
        <v>260</v>
      </c>
      <c r="E70" s="179"/>
      <c r="F70" s="180">
        <v>0</v>
      </c>
      <c r="G70" s="180">
        <v>0</v>
      </c>
      <c r="H70" s="180">
        <v>0</v>
      </c>
      <c r="I70" s="180">
        <v>0</v>
      </c>
      <c r="J70" s="181">
        <f t="shared" si="0"/>
        <v>0</v>
      </c>
      <c r="K70" s="589"/>
    </row>
    <row r="71" spans="1:11" ht="12.75">
      <c r="A71" s="179"/>
      <c r="B71" s="179"/>
      <c r="C71" s="179" t="s">
        <v>261</v>
      </c>
      <c r="D71" s="179" t="s">
        <v>262</v>
      </c>
      <c r="E71" s="179"/>
      <c r="F71" s="180">
        <f>SUM(F72)</f>
        <v>24000000</v>
      </c>
      <c r="G71" s="180">
        <f>SUM(G72:G72)</f>
        <v>0</v>
      </c>
      <c r="H71" s="180">
        <v>0</v>
      </c>
      <c r="I71" s="180">
        <v>0</v>
      </c>
      <c r="J71" s="181">
        <f t="shared" si="0"/>
        <v>24000000</v>
      </c>
      <c r="K71" s="589"/>
    </row>
    <row r="72" spans="1:11" ht="11.25" customHeight="1">
      <c r="A72" s="184"/>
      <c r="B72" s="184"/>
      <c r="C72" s="184"/>
      <c r="D72" s="185"/>
      <c r="E72" s="185" t="s">
        <v>670</v>
      </c>
      <c r="F72" s="186">
        <v>24000000</v>
      </c>
      <c r="G72" s="186">
        <v>0</v>
      </c>
      <c r="H72" s="186">
        <v>0</v>
      </c>
      <c r="I72" s="186">
        <v>0</v>
      </c>
      <c r="J72" s="187">
        <f t="shared" si="0"/>
        <v>24000000</v>
      </c>
      <c r="K72" s="590"/>
    </row>
    <row r="73" spans="1:11" ht="12.75" hidden="1">
      <c r="A73" s="179"/>
      <c r="B73" s="179"/>
      <c r="C73" s="179" t="s">
        <v>263</v>
      </c>
      <c r="D73" s="179" t="s">
        <v>264</v>
      </c>
      <c r="E73" s="179"/>
      <c r="F73" s="180">
        <f>SUM(F74:F74)</f>
        <v>0</v>
      </c>
      <c r="G73" s="180">
        <v>0</v>
      </c>
      <c r="H73" s="180">
        <v>0</v>
      </c>
      <c r="I73" s="180">
        <v>0</v>
      </c>
      <c r="J73" s="181">
        <f aca="true" t="shared" si="1" ref="J73:J136">SUM(F73:I73)</f>
        <v>0</v>
      </c>
      <c r="K73" s="589"/>
    </row>
    <row r="74" spans="1:11" ht="12.75" hidden="1">
      <c r="A74" s="184"/>
      <c r="B74" s="184"/>
      <c r="C74" s="184"/>
      <c r="D74" s="185"/>
      <c r="E74" s="185" t="s">
        <v>266</v>
      </c>
      <c r="F74" s="186">
        <v>0</v>
      </c>
      <c r="G74" s="186">
        <v>0</v>
      </c>
      <c r="H74" s="186">
        <v>0</v>
      </c>
      <c r="I74" s="186">
        <v>0</v>
      </c>
      <c r="J74" s="187">
        <f t="shared" si="1"/>
        <v>0</v>
      </c>
      <c r="K74" s="590"/>
    </row>
    <row r="75" spans="1:11" ht="12.75">
      <c r="A75" s="176"/>
      <c r="B75" s="176" t="s">
        <v>267</v>
      </c>
      <c r="C75" s="933" t="s">
        <v>268</v>
      </c>
      <c r="D75" s="933"/>
      <c r="E75" s="933"/>
      <c r="F75" s="177">
        <f>SUM(F76:F85)</f>
        <v>1145000</v>
      </c>
      <c r="G75" s="177">
        <f>SUM(G76:G85)</f>
        <v>0</v>
      </c>
      <c r="H75" s="177">
        <f>SUM(H76:H85)</f>
        <v>0</v>
      </c>
      <c r="I75" s="177">
        <f>SUM(I76:I85)</f>
        <v>0</v>
      </c>
      <c r="J75" s="178">
        <f t="shared" si="1"/>
        <v>1145000</v>
      </c>
      <c r="K75" s="588"/>
    </row>
    <row r="76" spans="1:11" ht="12.75" hidden="1">
      <c r="A76" s="190"/>
      <c r="B76" s="190"/>
      <c r="C76" s="190"/>
      <c r="D76" s="185"/>
      <c r="E76" s="185" t="s">
        <v>269</v>
      </c>
      <c r="F76" s="186">
        <v>0</v>
      </c>
      <c r="G76" s="186">
        <v>0</v>
      </c>
      <c r="H76" s="186">
        <v>0</v>
      </c>
      <c r="I76" s="186">
        <v>0</v>
      </c>
      <c r="J76" s="187">
        <f t="shared" si="1"/>
        <v>0</v>
      </c>
      <c r="K76" s="590"/>
    </row>
    <row r="77" spans="1:11" ht="12.75" hidden="1">
      <c r="A77" s="184"/>
      <c r="B77" s="184"/>
      <c r="C77" s="184"/>
      <c r="D77" s="185"/>
      <c r="E77" s="185" t="s">
        <v>270</v>
      </c>
      <c r="F77" s="186">
        <v>0</v>
      </c>
      <c r="G77" s="186"/>
      <c r="H77" s="186">
        <v>0</v>
      </c>
      <c r="I77" s="186">
        <v>0</v>
      </c>
      <c r="J77" s="187">
        <f t="shared" si="1"/>
        <v>0</v>
      </c>
      <c r="K77" s="590"/>
    </row>
    <row r="78" spans="1:11" ht="12.75" hidden="1">
      <c r="A78" s="190"/>
      <c r="B78" s="190"/>
      <c r="C78" s="190"/>
      <c r="D78" s="185"/>
      <c r="E78" s="185" t="s">
        <v>271</v>
      </c>
      <c r="F78" s="186">
        <v>0</v>
      </c>
      <c r="G78" s="186">
        <v>0</v>
      </c>
      <c r="H78" s="186">
        <v>0</v>
      </c>
      <c r="I78" s="186">
        <v>0</v>
      </c>
      <c r="J78" s="187">
        <f t="shared" si="1"/>
        <v>0</v>
      </c>
      <c r="K78" s="590"/>
    </row>
    <row r="79" spans="1:11" ht="12.75" customHeight="1">
      <c r="A79" s="190"/>
      <c r="B79" s="190"/>
      <c r="C79" s="190"/>
      <c r="D79" s="185"/>
      <c r="E79" s="185" t="s">
        <v>265</v>
      </c>
      <c r="F79" s="186">
        <v>495000</v>
      </c>
      <c r="G79" s="186">
        <v>0</v>
      </c>
      <c r="H79" s="186">
        <v>0</v>
      </c>
      <c r="I79" s="186">
        <v>0</v>
      </c>
      <c r="J79" s="187">
        <f t="shared" si="1"/>
        <v>495000</v>
      </c>
      <c r="K79" s="590"/>
    </row>
    <row r="80" spans="1:11" ht="0.75" customHeight="1" hidden="1">
      <c r="A80" s="190"/>
      <c r="B80" s="190"/>
      <c r="C80" s="190"/>
      <c r="D80" s="185"/>
      <c r="E80" s="185" t="s">
        <v>272</v>
      </c>
      <c r="F80" s="186">
        <v>0</v>
      </c>
      <c r="G80" s="186">
        <v>0</v>
      </c>
      <c r="H80" s="186">
        <v>0</v>
      </c>
      <c r="I80" s="186">
        <v>0</v>
      </c>
      <c r="J80" s="187">
        <f t="shared" si="1"/>
        <v>0</v>
      </c>
      <c r="K80" s="590"/>
    </row>
    <row r="81" spans="1:11" ht="12.75" hidden="1">
      <c r="A81" s="190"/>
      <c r="B81" s="190"/>
      <c r="C81" s="190"/>
      <c r="D81" s="185"/>
      <c r="E81" s="185" t="s">
        <v>273</v>
      </c>
      <c r="F81" s="186">
        <v>0</v>
      </c>
      <c r="G81" s="186">
        <v>0</v>
      </c>
      <c r="H81" s="186">
        <v>0</v>
      </c>
      <c r="I81" s="186">
        <v>0</v>
      </c>
      <c r="J81" s="187">
        <f t="shared" si="1"/>
        <v>0</v>
      </c>
      <c r="K81" s="590"/>
    </row>
    <row r="82" spans="1:11" ht="12.75" hidden="1">
      <c r="A82" s="190"/>
      <c r="B82" s="190"/>
      <c r="C82" s="190"/>
      <c r="D82" s="185"/>
      <c r="E82" s="185" t="s">
        <v>631</v>
      </c>
      <c r="F82" s="186"/>
      <c r="G82" s="186">
        <v>0</v>
      </c>
      <c r="H82" s="186">
        <v>0</v>
      </c>
      <c r="I82" s="186">
        <v>0</v>
      </c>
      <c r="J82" s="187">
        <f t="shared" si="1"/>
        <v>0</v>
      </c>
      <c r="K82" s="590"/>
    </row>
    <row r="83" spans="1:11" ht="30" customHeight="1" hidden="1">
      <c r="A83" s="184"/>
      <c r="B83" s="184"/>
      <c r="C83" s="184"/>
      <c r="D83" s="184"/>
      <c r="E83" s="191" t="s">
        <v>671</v>
      </c>
      <c r="F83" s="186">
        <v>0</v>
      </c>
      <c r="G83" s="186">
        <v>0</v>
      </c>
      <c r="H83" s="186">
        <v>0</v>
      </c>
      <c r="I83" s="186">
        <v>0</v>
      </c>
      <c r="J83" s="187">
        <f t="shared" si="1"/>
        <v>0</v>
      </c>
      <c r="K83" s="590"/>
    </row>
    <row r="84" spans="1:11" ht="12.75" hidden="1">
      <c r="A84" s="190"/>
      <c r="B84" s="190"/>
      <c r="C84" s="190"/>
      <c r="D84" s="190"/>
      <c r="E84" s="185" t="s">
        <v>274</v>
      </c>
      <c r="F84" s="186">
        <v>0</v>
      </c>
      <c r="G84" s="186">
        <v>0</v>
      </c>
      <c r="H84" s="186">
        <v>0</v>
      </c>
      <c r="I84" s="186">
        <v>0</v>
      </c>
      <c r="J84" s="187">
        <f t="shared" si="1"/>
        <v>0</v>
      </c>
      <c r="K84" s="590"/>
    </row>
    <row r="85" spans="1:11" ht="12.75">
      <c r="A85" s="184"/>
      <c r="B85" s="184"/>
      <c r="C85" s="184"/>
      <c r="D85" s="184"/>
      <c r="E85" s="189" t="s">
        <v>275</v>
      </c>
      <c r="F85" s="186">
        <v>650000</v>
      </c>
      <c r="G85" s="186">
        <v>0</v>
      </c>
      <c r="H85" s="186">
        <v>0</v>
      </c>
      <c r="I85" s="186">
        <v>0</v>
      </c>
      <c r="J85" s="187">
        <f t="shared" si="1"/>
        <v>650000</v>
      </c>
      <c r="K85" s="590"/>
    </row>
    <row r="86" spans="1:11" s="175" customFormat="1" ht="12.75">
      <c r="A86" s="173" t="s">
        <v>276</v>
      </c>
      <c r="B86" s="941" t="s">
        <v>277</v>
      </c>
      <c r="C86" s="941"/>
      <c r="D86" s="941"/>
      <c r="E86" s="941"/>
      <c r="F86" s="174">
        <f>SUM(F87+F88+F91+F93+F100+F101+F102+F103+F110+F118+F119)</f>
        <v>38249334</v>
      </c>
      <c r="G86" s="174">
        <f>SUM(G87+G88+G91+G93+G100+G101+G102+G103+G110+G118+G119)</f>
        <v>5176466</v>
      </c>
      <c r="H86" s="174">
        <f>SUM(H87+H88+H91+H93+H100+H101+H102+H103+H110+H118+H119)</f>
        <v>1223067</v>
      </c>
      <c r="I86" s="174">
        <f>SUM(I87+I88+I91+I93+I100+I101+I102+I103+I110+I118+I119)</f>
        <v>4044435</v>
      </c>
      <c r="J86" s="174">
        <f t="shared" si="1"/>
        <v>48693302</v>
      </c>
      <c r="K86" s="587"/>
    </row>
    <row r="87" spans="1:11" ht="12.75">
      <c r="A87" s="179"/>
      <c r="B87" s="179"/>
      <c r="C87" s="179" t="s">
        <v>278</v>
      </c>
      <c r="D87" s="179" t="s">
        <v>547</v>
      </c>
      <c r="E87" s="179"/>
      <c r="F87" s="180">
        <f>400000+5848600</f>
        <v>6248600</v>
      </c>
      <c r="G87" s="180">
        <v>0</v>
      </c>
      <c r="H87" s="180">
        <v>0</v>
      </c>
      <c r="I87" s="180">
        <v>0</v>
      </c>
      <c r="J87" s="181">
        <f t="shared" si="1"/>
        <v>6248600</v>
      </c>
      <c r="K87" s="589"/>
    </row>
    <row r="88" spans="1:11" ht="11.25" customHeight="1">
      <c r="A88" s="179"/>
      <c r="B88" s="179"/>
      <c r="C88" s="179" t="s">
        <v>279</v>
      </c>
      <c r="D88" s="179" t="s">
        <v>351</v>
      </c>
      <c r="E88" s="179"/>
      <c r="F88" s="180">
        <f>14236474+4500000</f>
        <v>18736474</v>
      </c>
      <c r="G88" s="180">
        <v>250000</v>
      </c>
      <c r="H88" s="180">
        <v>0</v>
      </c>
      <c r="I88" s="180">
        <f>100559+2851094</f>
        <v>2951653</v>
      </c>
      <c r="J88" s="181">
        <f t="shared" si="1"/>
        <v>21938127</v>
      </c>
      <c r="K88" s="589"/>
    </row>
    <row r="89" spans="1:11" ht="12.75" hidden="1">
      <c r="A89" s="184"/>
      <c r="B89" s="184"/>
      <c r="C89" s="185" t="s">
        <v>2</v>
      </c>
      <c r="D89" s="185"/>
      <c r="E89" s="185" t="s">
        <v>280</v>
      </c>
      <c r="F89" s="192">
        <f>13202074+194400+840000</f>
        <v>14236474</v>
      </c>
      <c r="G89" s="192">
        <v>0</v>
      </c>
      <c r="H89" s="186">
        <v>0</v>
      </c>
      <c r="I89" s="186">
        <f>50000+600000</f>
        <v>650000</v>
      </c>
      <c r="J89" s="187">
        <f t="shared" si="1"/>
        <v>14886474</v>
      </c>
      <c r="K89" s="590"/>
    </row>
    <row r="90" spans="1:11" ht="12.75" hidden="1">
      <c r="A90" s="184"/>
      <c r="B90" s="184"/>
      <c r="C90" s="185"/>
      <c r="D90" s="185"/>
      <c r="E90" s="185" t="s">
        <v>672</v>
      </c>
      <c r="F90" s="186">
        <v>0</v>
      </c>
      <c r="G90" s="186">
        <v>0</v>
      </c>
      <c r="H90" s="186">
        <v>0</v>
      </c>
      <c r="I90" s="186">
        <v>0</v>
      </c>
      <c r="J90" s="187">
        <f t="shared" si="1"/>
        <v>0</v>
      </c>
      <c r="K90" s="590"/>
    </row>
    <row r="91" spans="1:11" ht="12.75">
      <c r="A91" s="179"/>
      <c r="B91" s="179"/>
      <c r="C91" s="179" t="s">
        <v>281</v>
      </c>
      <c r="D91" s="179" t="s">
        <v>282</v>
      </c>
      <c r="E91" s="179"/>
      <c r="F91" s="180">
        <f>2486532+652000+101556</f>
        <v>3240088</v>
      </c>
      <c r="G91" s="180">
        <v>3949049</v>
      </c>
      <c r="H91" s="180">
        <v>0</v>
      </c>
      <c r="I91" s="180">
        <v>360500</v>
      </c>
      <c r="J91" s="181">
        <f t="shared" si="1"/>
        <v>7549637</v>
      </c>
      <c r="K91" s="589"/>
    </row>
    <row r="92" spans="1:11" ht="12.75" hidden="1">
      <c r="A92" s="184"/>
      <c r="B92" s="184"/>
      <c r="C92" s="185" t="s">
        <v>2</v>
      </c>
      <c r="D92" s="185"/>
      <c r="E92" s="185" t="s">
        <v>7</v>
      </c>
      <c r="F92" s="186">
        <f>1707176+250000+101556</f>
        <v>2058732</v>
      </c>
      <c r="G92" s="186">
        <v>1604136</v>
      </c>
      <c r="H92" s="186">
        <v>0</v>
      </c>
      <c r="I92" s="186">
        <v>0</v>
      </c>
      <c r="J92" s="187">
        <f t="shared" si="1"/>
        <v>3662868</v>
      </c>
      <c r="K92" s="590"/>
    </row>
    <row r="93" spans="1:11" ht="12" customHeight="1">
      <c r="A93" s="179"/>
      <c r="B93" s="179"/>
      <c r="C93" s="179" t="s">
        <v>283</v>
      </c>
      <c r="D93" s="179" t="s">
        <v>284</v>
      </c>
      <c r="E93" s="179"/>
      <c r="F93" s="180">
        <v>639000</v>
      </c>
      <c r="G93" s="180">
        <v>0</v>
      </c>
      <c r="H93" s="180">
        <v>0</v>
      </c>
      <c r="I93" s="180">
        <v>0</v>
      </c>
      <c r="J93" s="181">
        <f t="shared" si="1"/>
        <v>639000</v>
      </c>
      <c r="K93" s="589"/>
    </row>
    <row r="94" spans="1:11" ht="12.75" hidden="1">
      <c r="A94" s="184"/>
      <c r="B94" s="184"/>
      <c r="C94" s="185" t="s">
        <v>2</v>
      </c>
      <c r="D94" s="185"/>
      <c r="E94" s="185" t="s">
        <v>285</v>
      </c>
      <c r="F94" s="186">
        <v>0</v>
      </c>
      <c r="G94" s="186">
        <v>0</v>
      </c>
      <c r="H94" s="186">
        <v>0</v>
      </c>
      <c r="I94" s="186">
        <v>0</v>
      </c>
      <c r="J94" s="187">
        <f t="shared" si="1"/>
        <v>0</v>
      </c>
      <c r="K94" s="590"/>
    </row>
    <row r="95" spans="1:11" ht="12.75" hidden="1">
      <c r="A95" s="184"/>
      <c r="B95" s="184"/>
      <c r="C95" s="185"/>
      <c r="D95" s="185"/>
      <c r="E95" s="185" t="s">
        <v>673</v>
      </c>
      <c r="F95" s="186">
        <v>0</v>
      </c>
      <c r="G95" s="186">
        <v>0</v>
      </c>
      <c r="H95" s="186">
        <v>0</v>
      </c>
      <c r="I95" s="186">
        <v>0</v>
      </c>
      <c r="J95" s="187">
        <f t="shared" si="1"/>
        <v>0</v>
      </c>
      <c r="K95" s="590"/>
    </row>
    <row r="96" spans="1:11" ht="12" customHeight="1" hidden="1">
      <c r="A96" s="184"/>
      <c r="B96" s="184"/>
      <c r="C96" s="185" t="s">
        <v>2</v>
      </c>
      <c r="D96" s="185"/>
      <c r="E96" s="185" t="s">
        <v>674</v>
      </c>
      <c r="F96" s="186">
        <v>639000</v>
      </c>
      <c r="G96" s="186">
        <v>0</v>
      </c>
      <c r="H96" s="186">
        <v>0</v>
      </c>
      <c r="I96" s="186">
        <v>0</v>
      </c>
      <c r="J96" s="187">
        <f t="shared" si="1"/>
        <v>639000</v>
      </c>
      <c r="K96" s="590"/>
    </row>
    <row r="97" spans="1:11" ht="12.75" hidden="1">
      <c r="A97" s="184"/>
      <c r="B97" s="184"/>
      <c r="C97" s="185"/>
      <c r="D97" s="185"/>
      <c r="E97" s="185" t="s">
        <v>675</v>
      </c>
      <c r="F97" s="186">
        <v>0</v>
      </c>
      <c r="G97" s="186">
        <v>0</v>
      </c>
      <c r="H97" s="186">
        <v>0</v>
      </c>
      <c r="I97" s="186">
        <v>0</v>
      </c>
      <c r="J97" s="187">
        <f t="shared" si="1"/>
        <v>0</v>
      </c>
      <c r="K97" s="590"/>
    </row>
    <row r="98" spans="1:11" ht="12.75" hidden="1">
      <c r="A98" s="184"/>
      <c r="B98" s="184"/>
      <c r="C98" s="185"/>
      <c r="D98" s="185"/>
      <c r="E98" s="185" t="s">
        <v>676</v>
      </c>
      <c r="F98" s="186">
        <v>0</v>
      </c>
      <c r="G98" s="186">
        <v>0</v>
      </c>
      <c r="H98" s="186">
        <v>0</v>
      </c>
      <c r="I98" s="186">
        <v>0</v>
      </c>
      <c r="J98" s="187">
        <f t="shared" si="1"/>
        <v>0</v>
      </c>
      <c r="K98" s="590"/>
    </row>
    <row r="99" spans="1:11" ht="12.75" hidden="1">
      <c r="A99" s="184"/>
      <c r="B99" s="184"/>
      <c r="C99" s="185"/>
      <c r="D99" s="185"/>
      <c r="E99" s="185" t="s">
        <v>548</v>
      </c>
      <c r="F99" s="186">
        <v>0</v>
      </c>
      <c r="G99" s="186">
        <v>0</v>
      </c>
      <c r="H99" s="186">
        <v>0</v>
      </c>
      <c r="I99" s="186">
        <v>0</v>
      </c>
      <c r="J99" s="187">
        <f t="shared" si="1"/>
        <v>0</v>
      </c>
      <c r="K99" s="590"/>
    </row>
    <row r="100" spans="1:11" ht="12.75">
      <c r="A100" s="179"/>
      <c r="B100" s="179"/>
      <c r="C100" s="179" t="s">
        <v>286</v>
      </c>
      <c r="D100" s="179" t="s">
        <v>287</v>
      </c>
      <c r="E100" s="179"/>
      <c r="F100" s="180">
        <v>5498780</v>
      </c>
      <c r="G100" s="180">
        <v>0</v>
      </c>
      <c r="H100" s="180">
        <f>713200+250155</f>
        <v>963355</v>
      </c>
      <c r="I100" s="180">
        <v>0</v>
      </c>
      <c r="J100" s="181">
        <f t="shared" si="1"/>
        <v>6462135</v>
      </c>
      <c r="K100" s="589"/>
    </row>
    <row r="101" spans="1:11" ht="12.75">
      <c r="A101" s="179"/>
      <c r="B101" s="179"/>
      <c r="C101" s="179" t="s">
        <v>288</v>
      </c>
      <c r="D101" s="179" t="s">
        <v>289</v>
      </c>
      <c r="E101" s="179"/>
      <c r="F101" s="180">
        <f>551266+176040+1323000+1484671+15638</f>
        <v>3550615</v>
      </c>
      <c r="G101" s="180">
        <v>977417</v>
      </c>
      <c r="H101" s="180">
        <f>192170+67542</f>
        <v>259712</v>
      </c>
      <c r="I101" s="180">
        <f>27151+705130+1</f>
        <v>732282</v>
      </c>
      <c r="J101" s="181">
        <f t="shared" si="1"/>
        <v>5520026</v>
      </c>
      <c r="K101" s="589"/>
    </row>
    <row r="102" spans="1:11" ht="12.75">
      <c r="A102" s="179"/>
      <c r="B102" s="179"/>
      <c r="C102" s="179" t="s">
        <v>290</v>
      </c>
      <c r="D102" s="179" t="s">
        <v>291</v>
      </c>
      <c r="E102" s="179"/>
      <c r="F102" s="180">
        <v>0</v>
      </c>
      <c r="G102" s="180">
        <v>0</v>
      </c>
      <c r="H102" s="180">
        <v>0</v>
      </c>
      <c r="I102" s="180">
        <v>0</v>
      </c>
      <c r="J102" s="181">
        <f t="shared" si="1"/>
        <v>0</v>
      </c>
      <c r="K102" s="589"/>
    </row>
    <row r="103" spans="1:11" ht="11.25" customHeight="1">
      <c r="A103" s="179"/>
      <c r="B103" s="179"/>
      <c r="C103" s="179" t="s">
        <v>292</v>
      </c>
      <c r="D103" s="179" t="s">
        <v>592</v>
      </c>
      <c r="E103" s="179"/>
      <c r="F103" s="180">
        <f>SUM(F104,F107)</f>
        <v>3000</v>
      </c>
      <c r="G103" s="180">
        <f>SUM(G104+G107)</f>
        <v>0</v>
      </c>
      <c r="H103" s="180">
        <f>SUM(H104+H107)</f>
        <v>0</v>
      </c>
      <c r="I103" s="180">
        <f>SUM(I104+I107)</f>
        <v>0</v>
      </c>
      <c r="J103" s="181">
        <f t="shared" si="1"/>
        <v>3000</v>
      </c>
      <c r="K103" s="589"/>
    </row>
    <row r="104" spans="1:11" ht="12.75" hidden="1">
      <c r="A104" s="179"/>
      <c r="B104" s="179"/>
      <c r="C104" s="185"/>
      <c r="D104" s="944" t="s">
        <v>677</v>
      </c>
      <c r="E104" s="945"/>
      <c r="F104" s="186">
        <v>0</v>
      </c>
      <c r="G104" s="186">
        <v>0</v>
      </c>
      <c r="H104" s="186">
        <v>0</v>
      </c>
      <c r="I104" s="186">
        <v>0</v>
      </c>
      <c r="J104" s="187">
        <f t="shared" si="1"/>
        <v>0</v>
      </c>
      <c r="K104" s="590"/>
    </row>
    <row r="105" spans="1:11" ht="12.75" hidden="1">
      <c r="A105" s="179"/>
      <c r="B105" s="179"/>
      <c r="C105" s="179" t="s">
        <v>2</v>
      </c>
      <c r="D105" s="179"/>
      <c r="E105" s="185" t="s">
        <v>7</v>
      </c>
      <c r="F105" s="186">
        <v>0</v>
      </c>
      <c r="G105" s="186">
        <v>0</v>
      </c>
      <c r="H105" s="186">
        <v>0</v>
      </c>
      <c r="I105" s="186">
        <v>0</v>
      </c>
      <c r="J105" s="187">
        <f t="shared" si="1"/>
        <v>0</v>
      </c>
      <c r="K105" s="590"/>
    </row>
    <row r="106" spans="1:11" ht="12.75" hidden="1">
      <c r="A106" s="179"/>
      <c r="B106" s="179"/>
      <c r="C106" s="179"/>
      <c r="D106" s="179"/>
      <c r="E106" s="185" t="s">
        <v>678</v>
      </c>
      <c r="F106" s="186">
        <v>0</v>
      </c>
      <c r="G106" s="186">
        <v>0</v>
      </c>
      <c r="H106" s="186">
        <v>0</v>
      </c>
      <c r="I106" s="186">
        <v>0</v>
      </c>
      <c r="J106" s="187">
        <f t="shared" si="1"/>
        <v>0</v>
      </c>
      <c r="K106" s="590"/>
    </row>
    <row r="107" spans="1:11" ht="12.75" hidden="1">
      <c r="A107" s="179"/>
      <c r="B107" s="179"/>
      <c r="C107" s="179" t="s">
        <v>2</v>
      </c>
      <c r="D107" s="944" t="s">
        <v>594</v>
      </c>
      <c r="E107" s="945"/>
      <c r="F107" s="186">
        <v>3000</v>
      </c>
      <c r="G107" s="186">
        <v>0</v>
      </c>
      <c r="H107" s="186">
        <v>0</v>
      </c>
      <c r="I107" s="186">
        <v>0</v>
      </c>
      <c r="J107" s="187">
        <f t="shared" si="1"/>
        <v>3000</v>
      </c>
      <c r="K107" s="590"/>
    </row>
    <row r="108" spans="1:11" ht="12.75" hidden="1">
      <c r="A108" s="179"/>
      <c r="B108" s="179"/>
      <c r="C108" s="179"/>
      <c r="D108" s="179"/>
      <c r="E108" s="185" t="s">
        <v>7</v>
      </c>
      <c r="F108" s="186">
        <v>0</v>
      </c>
      <c r="G108" s="186">
        <v>0</v>
      </c>
      <c r="H108" s="186">
        <v>0</v>
      </c>
      <c r="I108" s="186">
        <v>0</v>
      </c>
      <c r="J108" s="187">
        <f t="shared" si="1"/>
        <v>0</v>
      </c>
      <c r="K108" s="590"/>
    </row>
    <row r="109" spans="1:11" ht="12.75" hidden="1">
      <c r="A109" s="179"/>
      <c r="B109" s="179"/>
      <c r="C109" s="179"/>
      <c r="D109" s="179"/>
      <c r="E109" s="185" t="s">
        <v>549</v>
      </c>
      <c r="F109" s="186">
        <v>0</v>
      </c>
      <c r="G109" s="186">
        <v>0</v>
      </c>
      <c r="H109" s="186">
        <v>0</v>
      </c>
      <c r="I109" s="186">
        <v>0</v>
      </c>
      <c r="J109" s="187">
        <f t="shared" si="1"/>
        <v>0</v>
      </c>
      <c r="K109" s="590"/>
    </row>
    <row r="110" spans="1:11" ht="12.75">
      <c r="A110" s="179"/>
      <c r="B110" s="179"/>
      <c r="C110" s="179" t="s">
        <v>293</v>
      </c>
      <c r="D110" s="179" t="s">
        <v>597</v>
      </c>
      <c r="E110" s="179"/>
      <c r="F110" s="180">
        <f>SUM(F111:F112)</f>
        <v>0</v>
      </c>
      <c r="G110" s="180">
        <f>SUM(G111:G112)</f>
        <v>0</v>
      </c>
      <c r="H110" s="180">
        <f>SUM(H111:H112)</f>
        <v>0</v>
      </c>
      <c r="I110" s="180">
        <f>SUM(I111:I112)</f>
        <v>0</v>
      </c>
      <c r="J110" s="181">
        <f t="shared" si="1"/>
        <v>0</v>
      </c>
      <c r="K110" s="589"/>
    </row>
    <row r="111" spans="1:11" ht="12.75" hidden="1">
      <c r="A111" s="179"/>
      <c r="B111" s="179"/>
      <c r="C111" s="179"/>
      <c r="D111" s="944" t="s">
        <v>595</v>
      </c>
      <c r="E111" s="945"/>
      <c r="F111" s="180">
        <v>0</v>
      </c>
      <c r="G111" s="180">
        <v>0</v>
      </c>
      <c r="H111" s="180">
        <v>0</v>
      </c>
      <c r="I111" s="180">
        <v>0</v>
      </c>
      <c r="J111" s="181">
        <f t="shared" si="1"/>
        <v>0</v>
      </c>
      <c r="K111" s="589"/>
    </row>
    <row r="112" spans="1:11" ht="12.75" hidden="1">
      <c r="A112" s="179"/>
      <c r="B112" s="179"/>
      <c r="C112" s="179"/>
      <c r="D112" s="944" t="s">
        <v>596</v>
      </c>
      <c r="E112" s="945"/>
      <c r="F112" s="180">
        <v>0</v>
      </c>
      <c r="G112" s="180">
        <v>0</v>
      </c>
      <c r="H112" s="180">
        <v>0</v>
      </c>
      <c r="I112" s="180">
        <v>0</v>
      </c>
      <c r="J112" s="181">
        <f t="shared" si="1"/>
        <v>0</v>
      </c>
      <c r="K112" s="589"/>
    </row>
    <row r="113" spans="1:11" ht="12.75" hidden="1">
      <c r="A113" s="179"/>
      <c r="B113" s="179"/>
      <c r="C113" s="179" t="s">
        <v>2</v>
      </c>
      <c r="D113" s="179"/>
      <c r="E113" s="185" t="s">
        <v>598</v>
      </c>
      <c r="F113" s="180">
        <v>0</v>
      </c>
      <c r="G113" s="180">
        <v>0</v>
      </c>
      <c r="H113" s="180">
        <v>0</v>
      </c>
      <c r="I113" s="180">
        <v>0</v>
      </c>
      <c r="J113" s="181">
        <f t="shared" si="1"/>
        <v>0</v>
      </c>
      <c r="K113" s="589"/>
    </row>
    <row r="114" spans="1:11" ht="12.75" hidden="1">
      <c r="A114" s="179"/>
      <c r="B114" s="179"/>
      <c r="C114" s="179"/>
      <c r="D114" s="179"/>
      <c r="E114" s="185" t="s">
        <v>593</v>
      </c>
      <c r="F114" s="180">
        <v>0</v>
      </c>
      <c r="G114" s="180">
        <v>0</v>
      </c>
      <c r="H114" s="180">
        <v>0</v>
      </c>
      <c r="I114" s="180">
        <v>0</v>
      </c>
      <c r="J114" s="181">
        <f t="shared" si="1"/>
        <v>0</v>
      </c>
      <c r="K114" s="589"/>
    </row>
    <row r="115" spans="1:11" ht="12.75" hidden="1">
      <c r="A115" s="179"/>
      <c r="B115" s="179"/>
      <c r="C115" s="179"/>
      <c r="D115" s="179"/>
      <c r="E115" s="185" t="s">
        <v>599</v>
      </c>
      <c r="F115" s="180">
        <v>0</v>
      </c>
      <c r="G115" s="180">
        <v>0</v>
      </c>
      <c r="H115" s="180">
        <v>0</v>
      </c>
      <c r="I115" s="180">
        <v>0</v>
      </c>
      <c r="J115" s="181">
        <f t="shared" si="1"/>
        <v>0</v>
      </c>
      <c r="K115" s="589"/>
    </row>
    <row r="116" spans="1:11" ht="12.75" hidden="1">
      <c r="A116" s="179"/>
      <c r="B116" s="179"/>
      <c r="C116" s="179"/>
      <c r="D116" s="179"/>
      <c r="E116" s="185" t="s">
        <v>600</v>
      </c>
      <c r="F116" s="180">
        <v>0</v>
      </c>
      <c r="G116" s="180">
        <v>0</v>
      </c>
      <c r="H116" s="180">
        <v>0</v>
      </c>
      <c r="I116" s="180">
        <v>0</v>
      </c>
      <c r="J116" s="181">
        <f t="shared" si="1"/>
        <v>0</v>
      </c>
      <c r="K116" s="589"/>
    </row>
    <row r="117" spans="1:11" ht="12.75" hidden="1">
      <c r="A117" s="179"/>
      <c r="B117" s="179"/>
      <c r="C117" s="179"/>
      <c r="D117" s="179"/>
      <c r="E117" s="185" t="s">
        <v>601</v>
      </c>
      <c r="F117" s="180">
        <v>0</v>
      </c>
      <c r="G117" s="180">
        <v>0</v>
      </c>
      <c r="H117" s="180">
        <v>0</v>
      </c>
      <c r="I117" s="180">
        <v>0</v>
      </c>
      <c r="J117" s="181">
        <f t="shared" si="1"/>
        <v>0</v>
      </c>
      <c r="K117" s="589"/>
    </row>
    <row r="118" spans="1:11" ht="12.75">
      <c r="A118" s="179"/>
      <c r="B118" s="179"/>
      <c r="C118" s="179" t="s">
        <v>294</v>
      </c>
      <c r="D118" s="179" t="s">
        <v>550</v>
      </c>
      <c r="E118" s="179"/>
      <c r="F118" s="180">
        <v>0</v>
      </c>
      <c r="G118" s="180">
        <v>0</v>
      </c>
      <c r="H118" s="180">
        <v>0</v>
      </c>
      <c r="I118" s="180">
        <v>0</v>
      </c>
      <c r="J118" s="181">
        <f t="shared" si="1"/>
        <v>0</v>
      </c>
      <c r="K118" s="589"/>
    </row>
    <row r="119" spans="1:11" ht="22.5" customHeight="1">
      <c r="A119" s="179"/>
      <c r="B119" s="179"/>
      <c r="C119" s="179" t="s">
        <v>551</v>
      </c>
      <c r="D119" s="943" t="s">
        <v>552</v>
      </c>
      <c r="E119" s="943"/>
      <c r="F119" s="180">
        <f>10801933+60128-10529284</f>
        <v>332777</v>
      </c>
      <c r="G119" s="180">
        <v>0</v>
      </c>
      <c r="H119" s="180">
        <v>0</v>
      </c>
      <c r="I119" s="180">
        <v>0</v>
      </c>
      <c r="J119" s="181">
        <f t="shared" si="1"/>
        <v>332777</v>
      </c>
      <c r="K119" s="589"/>
    </row>
    <row r="120" spans="1:11" ht="45.75" customHeight="1" hidden="1">
      <c r="A120" s="183"/>
      <c r="B120" s="183"/>
      <c r="C120" s="193" t="s">
        <v>2</v>
      </c>
      <c r="D120" s="191" t="s">
        <v>434</v>
      </c>
      <c r="E120" s="191" t="s">
        <v>574</v>
      </c>
      <c r="F120" s="186">
        <v>0</v>
      </c>
      <c r="G120" s="186">
        <v>0</v>
      </c>
      <c r="H120" s="186">
        <v>0</v>
      </c>
      <c r="I120" s="186">
        <v>0</v>
      </c>
      <c r="J120" s="187">
        <f t="shared" si="1"/>
        <v>0</v>
      </c>
      <c r="K120" s="590"/>
    </row>
    <row r="121" spans="1:11" ht="13.5" customHeight="1" hidden="1">
      <c r="A121" s="184"/>
      <c r="B121" s="184"/>
      <c r="C121" s="184"/>
      <c r="D121" s="185" t="s">
        <v>434</v>
      </c>
      <c r="E121" s="194" t="s">
        <v>602</v>
      </c>
      <c r="F121" s="186"/>
      <c r="G121" s="186">
        <v>0</v>
      </c>
      <c r="H121" s="186">
        <v>0</v>
      </c>
      <c r="I121" s="186">
        <v>0</v>
      </c>
      <c r="J121" s="187">
        <f t="shared" si="1"/>
        <v>0</v>
      </c>
      <c r="K121" s="590"/>
    </row>
    <row r="122" spans="1:11" s="175" customFormat="1" ht="12" customHeight="1">
      <c r="A122" s="173" t="s">
        <v>295</v>
      </c>
      <c r="B122" s="941" t="s">
        <v>296</v>
      </c>
      <c r="C122" s="941"/>
      <c r="D122" s="941"/>
      <c r="E122" s="941"/>
      <c r="F122" s="174">
        <f>SUM(F123+F125+F127+F128+F129)</f>
        <v>48279485</v>
      </c>
      <c r="G122" s="174">
        <f>SUM(G123+G125+G127+G128+G129)</f>
        <v>0</v>
      </c>
      <c r="H122" s="174">
        <f>SUM(H123+H125+H127+H128+H129)</f>
        <v>0</v>
      </c>
      <c r="I122" s="174">
        <f>SUM(I123+I125+I127+I128+I129)</f>
        <v>0</v>
      </c>
      <c r="J122" s="174">
        <f t="shared" si="1"/>
        <v>48279485</v>
      </c>
      <c r="K122" s="587"/>
    </row>
    <row r="123" spans="1:11" ht="11.25" customHeight="1" hidden="1">
      <c r="A123" s="176"/>
      <c r="B123" s="176" t="s">
        <v>297</v>
      </c>
      <c r="C123" s="933" t="s">
        <v>352</v>
      </c>
      <c r="D123" s="933"/>
      <c r="E123" s="933"/>
      <c r="F123" s="177">
        <v>0</v>
      </c>
      <c r="G123" s="177">
        <v>0</v>
      </c>
      <c r="H123" s="177">
        <v>0</v>
      </c>
      <c r="I123" s="177">
        <v>0</v>
      </c>
      <c r="J123" s="178">
        <f t="shared" si="1"/>
        <v>0</v>
      </c>
      <c r="K123" s="588"/>
    </row>
    <row r="124" spans="1:11" ht="12.75" hidden="1">
      <c r="A124" s="184"/>
      <c r="B124" s="184"/>
      <c r="C124" s="185" t="s">
        <v>2</v>
      </c>
      <c r="D124" s="185" t="s">
        <v>434</v>
      </c>
      <c r="E124" s="185" t="s">
        <v>649</v>
      </c>
      <c r="F124" s="186">
        <v>0</v>
      </c>
      <c r="G124" s="186">
        <v>0</v>
      </c>
      <c r="H124" s="186">
        <v>0</v>
      </c>
      <c r="I124" s="186">
        <v>0</v>
      </c>
      <c r="J124" s="187">
        <f t="shared" si="1"/>
        <v>0</v>
      </c>
      <c r="K124" s="590"/>
    </row>
    <row r="125" spans="1:11" ht="11.25" customHeight="1">
      <c r="A125" s="176"/>
      <c r="B125" s="176" t="s">
        <v>298</v>
      </c>
      <c r="C125" s="933" t="s">
        <v>299</v>
      </c>
      <c r="D125" s="933"/>
      <c r="E125" s="933"/>
      <c r="F125" s="177">
        <f>62747330-3831623-848360+15172896+672563+3300476-30000000+1066203</f>
        <v>48279485</v>
      </c>
      <c r="G125" s="177">
        <v>0</v>
      </c>
      <c r="H125" s="177">
        <v>0</v>
      </c>
      <c r="I125" s="177">
        <v>0</v>
      </c>
      <c r="J125" s="178">
        <f t="shared" si="1"/>
        <v>48279485</v>
      </c>
      <c r="K125" s="588"/>
    </row>
    <row r="126" spans="1:11" ht="12.75" hidden="1">
      <c r="A126" s="184"/>
      <c r="B126" s="184"/>
      <c r="C126" s="185" t="s">
        <v>2</v>
      </c>
      <c r="D126" s="185" t="s">
        <v>434</v>
      </c>
      <c r="E126" s="185" t="s">
        <v>300</v>
      </c>
      <c r="F126" s="186">
        <v>0</v>
      </c>
      <c r="G126" s="186">
        <v>0</v>
      </c>
      <c r="H126" s="186">
        <v>0</v>
      </c>
      <c r="I126" s="186">
        <v>0</v>
      </c>
      <c r="J126" s="187">
        <f t="shared" si="1"/>
        <v>0</v>
      </c>
      <c r="K126" s="590"/>
    </row>
    <row r="127" spans="1:11" ht="12.75" hidden="1">
      <c r="A127" s="176"/>
      <c r="B127" s="176" t="s">
        <v>301</v>
      </c>
      <c r="C127" s="933" t="s">
        <v>302</v>
      </c>
      <c r="D127" s="933"/>
      <c r="E127" s="933"/>
      <c r="F127" s="177">
        <v>0</v>
      </c>
      <c r="G127" s="177">
        <v>0</v>
      </c>
      <c r="H127" s="177">
        <v>0</v>
      </c>
      <c r="I127" s="177">
        <v>0</v>
      </c>
      <c r="J127" s="178">
        <f t="shared" si="1"/>
        <v>0</v>
      </c>
      <c r="K127" s="588"/>
    </row>
    <row r="128" spans="1:11" ht="12.75" hidden="1">
      <c r="A128" s="176"/>
      <c r="B128" s="176" t="s">
        <v>303</v>
      </c>
      <c r="C128" s="933" t="s">
        <v>304</v>
      </c>
      <c r="D128" s="933"/>
      <c r="E128" s="933"/>
      <c r="F128" s="177">
        <v>0</v>
      </c>
      <c r="G128" s="177">
        <v>0</v>
      </c>
      <c r="H128" s="177">
        <v>0</v>
      </c>
      <c r="I128" s="177">
        <v>0</v>
      </c>
      <c r="J128" s="178">
        <f t="shared" si="1"/>
        <v>0</v>
      </c>
      <c r="K128" s="588"/>
    </row>
    <row r="129" spans="1:11" ht="12.75" hidden="1">
      <c r="A129" s="176"/>
      <c r="B129" s="176" t="s">
        <v>305</v>
      </c>
      <c r="C129" s="933" t="s">
        <v>306</v>
      </c>
      <c r="D129" s="933"/>
      <c r="E129" s="933"/>
      <c r="F129" s="177">
        <v>0</v>
      </c>
      <c r="G129" s="177">
        <v>0</v>
      </c>
      <c r="H129" s="177">
        <v>0</v>
      </c>
      <c r="I129" s="177">
        <v>0</v>
      </c>
      <c r="J129" s="178">
        <f t="shared" si="1"/>
        <v>0</v>
      </c>
      <c r="K129" s="588"/>
    </row>
    <row r="130" spans="1:11" s="175" customFormat="1" ht="12" customHeight="1">
      <c r="A130" s="173" t="s">
        <v>307</v>
      </c>
      <c r="B130" s="941" t="s">
        <v>308</v>
      </c>
      <c r="C130" s="941"/>
      <c r="D130" s="941"/>
      <c r="E130" s="941"/>
      <c r="F130" s="174">
        <f>SUM(F131+F132+F133+F134+F144)</f>
        <v>369571</v>
      </c>
      <c r="G130" s="174">
        <f>SUM(G131+G132+G133+G134+G144)</f>
        <v>0</v>
      </c>
      <c r="H130" s="174">
        <f>SUM(H131+H132+H133+H134+H144)</f>
        <v>0</v>
      </c>
      <c r="I130" s="174">
        <f>SUM(I131+I132+I133+I134+I144)</f>
        <v>0</v>
      </c>
      <c r="J130" s="174">
        <f t="shared" si="1"/>
        <v>369571</v>
      </c>
      <c r="K130" s="587"/>
    </row>
    <row r="131" spans="1:11" ht="12.75" hidden="1">
      <c r="A131" s="176"/>
      <c r="B131" s="176" t="s">
        <v>309</v>
      </c>
      <c r="C131" s="933" t="s">
        <v>679</v>
      </c>
      <c r="D131" s="933"/>
      <c r="E131" s="933"/>
      <c r="F131" s="177">
        <v>0</v>
      </c>
      <c r="G131" s="177">
        <v>0</v>
      </c>
      <c r="H131" s="177">
        <v>0</v>
      </c>
      <c r="I131" s="177">
        <v>0</v>
      </c>
      <c r="J131" s="178">
        <f t="shared" si="1"/>
        <v>0</v>
      </c>
      <c r="K131" s="588"/>
    </row>
    <row r="132" spans="1:11" ht="12.75" hidden="1">
      <c r="A132" s="176"/>
      <c r="B132" s="176" t="s">
        <v>310</v>
      </c>
      <c r="C132" s="933" t="s">
        <v>680</v>
      </c>
      <c r="D132" s="933"/>
      <c r="E132" s="933"/>
      <c r="F132" s="177">
        <v>0</v>
      </c>
      <c r="G132" s="177">
        <v>0</v>
      </c>
      <c r="H132" s="177">
        <v>0</v>
      </c>
      <c r="I132" s="177">
        <v>0</v>
      </c>
      <c r="J132" s="178">
        <f t="shared" si="1"/>
        <v>0</v>
      </c>
      <c r="K132" s="588"/>
    </row>
    <row r="133" spans="1:11" ht="26.25" customHeight="1" hidden="1">
      <c r="A133" s="176"/>
      <c r="B133" s="176" t="s">
        <v>312</v>
      </c>
      <c r="C133" s="942" t="s">
        <v>681</v>
      </c>
      <c r="D133" s="942"/>
      <c r="E133" s="942"/>
      <c r="F133" s="177">
        <v>0</v>
      </c>
      <c r="G133" s="177">
        <v>0</v>
      </c>
      <c r="H133" s="177">
        <v>0</v>
      </c>
      <c r="I133" s="177">
        <v>0</v>
      </c>
      <c r="J133" s="178">
        <f t="shared" si="1"/>
        <v>0</v>
      </c>
      <c r="K133" s="588"/>
    </row>
    <row r="134" spans="1:11" ht="12.75" hidden="1">
      <c r="A134" s="176"/>
      <c r="B134" s="176" t="s">
        <v>553</v>
      </c>
      <c r="C134" s="933" t="s">
        <v>682</v>
      </c>
      <c r="D134" s="933"/>
      <c r="E134" s="933"/>
      <c r="F134" s="177">
        <f>SUM(F135:F143)</f>
        <v>0</v>
      </c>
      <c r="G134" s="177">
        <v>0</v>
      </c>
      <c r="H134" s="177">
        <v>0</v>
      </c>
      <c r="I134" s="177">
        <v>0</v>
      </c>
      <c r="J134" s="178">
        <f t="shared" si="1"/>
        <v>0</v>
      </c>
      <c r="K134" s="588"/>
    </row>
    <row r="135" spans="1:11" ht="12.75" hidden="1">
      <c r="A135" s="183"/>
      <c r="B135" s="183"/>
      <c r="C135" s="185" t="s">
        <v>2</v>
      </c>
      <c r="D135" s="185" t="s">
        <v>157</v>
      </c>
      <c r="E135" s="185" t="s">
        <v>184</v>
      </c>
      <c r="F135" s="186">
        <v>0</v>
      </c>
      <c r="G135" s="186">
        <v>0</v>
      </c>
      <c r="H135" s="186">
        <v>0</v>
      </c>
      <c r="I135" s="186">
        <v>0</v>
      </c>
      <c r="J135" s="187">
        <f t="shared" si="1"/>
        <v>0</v>
      </c>
      <c r="K135" s="590"/>
    </row>
    <row r="136" spans="1:11" ht="12.75" hidden="1">
      <c r="A136" s="183"/>
      <c r="B136" s="183"/>
      <c r="C136" s="185"/>
      <c r="D136" s="185" t="s">
        <v>159</v>
      </c>
      <c r="E136" s="185" t="s">
        <v>575</v>
      </c>
      <c r="F136" s="186">
        <v>0</v>
      </c>
      <c r="G136" s="186">
        <v>0</v>
      </c>
      <c r="H136" s="186">
        <v>0</v>
      </c>
      <c r="I136" s="186">
        <v>0</v>
      </c>
      <c r="J136" s="187">
        <f t="shared" si="1"/>
        <v>0</v>
      </c>
      <c r="K136" s="590"/>
    </row>
    <row r="137" spans="1:11" ht="12.75" hidden="1">
      <c r="A137" s="183"/>
      <c r="B137" s="183"/>
      <c r="C137" s="185"/>
      <c r="D137" s="185" t="s">
        <v>161</v>
      </c>
      <c r="E137" s="185" t="s">
        <v>185</v>
      </c>
      <c r="F137" s="186">
        <v>0</v>
      </c>
      <c r="G137" s="186">
        <v>0</v>
      </c>
      <c r="H137" s="186">
        <v>0</v>
      </c>
      <c r="I137" s="186">
        <v>0</v>
      </c>
      <c r="J137" s="187">
        <f aca="true" t="shared" si="2" ref="J137:J200">SUM(F137:I137)</f>
        <v>0</v>
      </c>
      <c r="K137" s="590"/>
    </row>
    <row r="138" spans="1:11" ht="12.75" hidden="1">
      <c r="A138" s="183"/>
      <c r="B138" s="183"/>
      <c r="C138" s="185"/>
      <c r="D138" s="185" t="s">
        <v>163</v>
      </c>
      <c r="E138" s="185" t="s">
        <v>186</v>
      </c>
      <c r="F138" s="186">
        <v>0</v>
      </c>
      <c r="G138" s="186">
        <v>0</v>
      </c>
      <c r="H138" s="186">
        <v>0</v>
      </c>
      <c r="I138" s="186">
        <v>0</v>
      </c>
      <c r="J138" s="187">
        <f t="shared" si="2"/>
        <v>0</v>
      </c>
      <c r="K138" s="590"/>
    </row>
    <row r="139" spans="1:11" ht="12.75" hidden="1">
      <c r="A139" s="183"/>
      <c r="B139" s="183"/>
      <c r="C139" s="185"/>
      <c r="D139" s="185" t="s">
        <v>165</v>
      </c>
      <c r="E139" s="185" t="s">
        <v>187</v>
      </c>
      <c r="F139" s="186">
        <v>0</v>
      </c>
      <c r="G139" s="186">
        <v>0</v>
      </c>
      <c r="H139" s="186">
        <v>0</v>
      </c>
      <c r="I139" s="186">
        <v>0</v>
      </c>
      <c r="J139" s="187">
        <f t="shared" si="2"/>
        <v>0</v>
      </c>
      <c r="K139" s="590"/>
    </row>
    <row r="140" spans="1:11" ht="12.75" hidden="1">
      <c r="A140" s="183"/>
      <c r="B140" s="183"/>
      <c r="C140" s="185"/>
      <c r="D140" s="185" t="s">
        <v>167</v>
      </c>
      <c r="E140" s="185" t="s">
        <v>535</v>
      </c>
      <c r="F140" s="186">
        <v>0</v>
      </c>
      <c r="G140" s="186">
        <v>0</v>
      </c>
      <c r="H140" s="186">
        <v>0</v>
      </c>
      <c r="I140" s="186">
        <v>0</v>
      </c>
      <c r="J140" s="187">
        <f t="shared" si="2"/>
        <v>0</v>
      </c>
      <c r="K140" s="590"/>
    </row>
    <row r="141" spans="1:11" ht="12.75" hidden="1">
      <c r="A141" s="183"/>
      <c r="B141" s="183"/>
      <c r="C141" s="185"/>
      <c r="D141" s="185" t="s">
        <v>169</v>
      </c>
      <c r="E141" s="185" t="s">
        <v>534</v>
      </c>
      <c r="F141" s="195">
        <v>0</v>
      </c>
      <c r="G141" s="186">
        <v>0</v>
      </c>
      <c r="H141" s="186">
        <v>0</v>
      </c>
      <c r="I141" s="186">
        <v>0</v>
      </c>
      <c r="J141" s="187">
        <f t="shared" si="2"/>
        <v>0</v>
      </c>
      <c r="K141" s="590"/>
    </row>
    <row r="142" spans="1:11" ht="12.75" hidden="1">
      <c r="A142" s="183"/>
      <c r="B142" s="183"/>
      <c r="C142" s="185"/>
      <c r="D142" s="185" t="s">
        <v>171</v>
      </c>
      <c r="E142" s="185" t="s">
        <v>190</v>
      </c>
      <c r="F142" s="186"/>
      <c r="G142" s="186">
        <v>0</v>
      </c>
      <c r="H142" s="186">
        <v>0</v>
      </c>
      <c r="I142" s="186">
        <v>0</v>
      </c>
      <c r="J142" s="187">
        <f t="shared" si="2"/>
        <v>0</v>
      </c>
      <c r="K142" s="590"/>
    </row>
    <row r="143" spans="1:11" ht="12.75" hidden="1">
      <c r="A143" s="183"/>
      <c r="B143" s="183"/>
      <c r="C143" s="185"/>
      <c r="D143" s="185" t="s">
        <v>173</v>
      </c>
      <c r="E143" s="185" t="s">
        <v>576</v>
      </c>
      <c r="F143" s="186">
        <v>0</v>
      </c>
      <c r="G143" s="186">
        <v>0</v>
      </c>
      <c r="H143" s="186">
        <v>0</v>
      </c>
      <c r="I143" s="186">
        <v>0</v>
      </c>
      <c r="J143" s="187">
        <f t="shared" si="2"/>
        <v>0</v>
      </c>
      <c r="K143" s="590"/>
    </row>
    <row r="144" spans="1:11" ht="12" customHeight="1">
      <c r="A144" s="176"/>
      <c r="B144" s="176" t="s">
        <v>554</v>
      </c>
      <c r="C144" s="933" t="s">
        <v>650</v>
      </c>
      <c r="D144" s="933"/>
      <c r="E144" s="933"/>
      <c r="F144" s="177">
        <f>302525+67046</f>
        <v>369571</v>
      </c>
      <c r="G144" s="177">
        <v>0</v>
      </c>
      <c r="H144" s="177">
        <v>0</v>
      </c>
      <c r="I144" s="177">
        <v>0</v>
      </c>
      <c r="J144" s="178">
        <f t="shared" si="2"/>
        <v>369571</v>
      </c>
      <c r="K144" s="588"/>
    </row>
    <row r="145" spans="1:11" ht="12.75" hidden="1">
      <c r="A145" s="176"/>
      <c r="B145" s="176"/>
      <c r="C145" s="185" t="s">
        <v>2</v>
      </c>
      <c r="D145" s="585"/>
      <c r="E145" s="185" t="s">
        <v>190</v>
      </c>
      <c r="F145" s="186">
        <f>302525+67046</f>
        <v>369571</v>
      </c>
      <c r="G145" s="186">
        <v>0</v>
      </c>
      <c r="H145" s="186">
        <v>0</v>
      </c>
      <c r="I145" s="186">
        <v>0</v>
      </c>
      <c r="J145" s="187">
        <f>SUM(F145:I145)</f>
        <v>369571</v>
      </c>
      <c r="K145" s="588"/>
    </row>
    <row r="146" spans="1:11" s="175" customFormat="1" ht="12" customHeight="1">
      <c r="A146" s="173" t="s">
        <v>313</v>
      </c>
      <c r="B146" s="941" t="s">
        <v>314</v>
      </c>
      <c r="C146" s="941"/>
      <c r="D146" s="941"/>
      <c r="E146" s="941"/>
      <c r="F146" s="174">
        <f>SUM(F147+F148+F149+F150+F160)</f>
        <v>33081467</v>
      </c>
      <c r="G146" s="174">
        <f>SUM(G147+G148+G149+G150+G160)</f>
        <v>0</v>
      </c>
      <c r="H146" s="174">
        <f>SUM(H147+H148+H149+H150+H160)</f>
        <v>0</v>
      </c>
      <c r="I146" s="174">
        <f>SUM(I147+I148+I149+I150+I160)</f>
        <v>0</v>
      </c>
      <c r="J146" s="174">
        <f t="shared" si="2"/>
        <v>33081467</v>
      </c>
      <c r="K146" s="587"/>
    </row>
    <row r="147" spans="1:11" ht="12.75" hidden="1">
      <c r="A147" s="176"/>
      <c r="B147" s="176" t="s">
        <v>315</v>
      </c>
      <c r="C147" s="933" t="s">
        <v>683</v>
      </c>
      <c r="D147" s="933"/>
      <c r="E147" s="933"/>
      <c r="F147" s="177">
        <v>0</v>
      </c>
      <c r="G147" s="177">
        <v>0</v>
      </c>
      <c r="H147" s="177">
        <v>0</v>
      </c>
      <c r="I147" s="177">
        <v>0</v>
      </c>
      <c r="J147" s="178">
        <f t="shared" si="2"/>
        <v>0</v>
      </c>
      <c r="K147" s="588"/>
    </row>
    <row r="148" spans="1:11" ht="12.75" hidden="1">
      <c r="A148" s="176"/>
      <c r="B148" s="176" t="s">
        <v>316</v>
      </c>
      <c r="C148" s="933" t="s">
        <v>684</v>
      </c>
      <c r="D148" s="933"/>
      <c r="E148" s="933"/>
      <c r="F148" s="177">
        <v>0</v>
      </c>
      <c r="G148" s="177">
        <v>0</v>
      </c>
      <c r="H148" s="177">
        <v>0</v>
      </c>
      <c r="I148" s="177">
        <v>0</v>
      </c>
      <c r="J148" s="178">
        <f t="shared" si="2"/>
        <v>0</v>
      </c>
      <c r="K148" s="588"/>
    </row>
    <row r="149" spans="1:11" ht="25.5" customHeight="1" hidden="1">
      <c r="A149" s="176"/>
      <c r="B149" s="176" t="s">
        <v>317</v>
      </c>
      <c r="C149" s="942" t="s">
        <v>685</v>
      </c>
      <c r="D149" s="942"/>
      <c r="E149" s="942"/>
      <c r="F149" s="177">
        <v>0</v>
      </c>
      <c r="G149" s="177">
        <v>0</v>
      </c>
      <c r="H149" s="177">
        <v>0</v>
      </c>
      <c r="I149" s="177">
        <v>0</v>
      </c>
      <c r="J149" s="178">
        <f t="shared" si="2"/>
        <v>0</v>
      </c>
      <c r="K149" s="588"/>
    </row>
    <row r="150" spans="1:11" ht="12.75" hidden="1">
      <c r="A150" s="183"/>
      <c r="B150" s="176" t="s">
        <v>555</v>
      </c>
      <c r="C150" s="933" t="s">
        <v>686</v>
      </c>
      <c r="D150" s="933"/>
      <c r="E150" s="933"/>
      <c r="F150" s="177">
        <f>SUM(F151:F159)</f>
        <v>0</v>
      </c>
      <c r="G150" s="177">
        <f>SUM(G151:G159)</f>
        <v>0</v>
      </c>
      <c r="H150" s="177">
        <f>SUM(H151:H159)</f>
        <v>0</v>
      </c>
      <c r="I150" s="177">
        <f>SUM(I151:I159)</f>
        <v>0</v>
      </c>
      <c r="J150" s="178">
        <f t="shared" si="2"/>
        <v>0</v>
      </c>
      <c r="K150" s="588"/>
    </row>
    <row r="151" spans="1:11" ht="12.75" hidden="1">
      <c r="A151" s="183"/>
      <c r="B151" s="183"/>
      <c r="C151" s="185" t="s">
        <v>2</v>
      </c>
      <c r="D151" s="185" t="s">
        <v>157</v>
      </c>
      <c r="E151" s="185" t="s">
        <v>184</v>
      </c>
      <c r="F151" s="186">
        <v>0</v>
      </c>
      <c r="G151" s="186">
        <v>0</v>
      </c>
      <c r="H151" s="186">
        <v>0</v>
      </c>
      <c r="I151" s="186">
        <v>0</v>
      </c>
      <c r="J151" s="187">
        <f t="shared" si="2"/>
        <v>0</v>
      </c>
      <c r="K151" s="590"/>
    </row>
    <row r="152" spans="1:11" ht="12.75" hidden="1">
      <c r="A152" s="183"/>
      <c r="B152" s="183"/>
      <c r="C152" s="185"/>
      <c r="D152" s="185" t="s">
        <v>159</v>
      </c>
      <c r="E152" s="185" t="s">
        <v>575</v>
      </c>
      <c r="F152" s="186">
        <v>0</v>
      </c>
      <c r="G152" s="186">
        <v>0</v>
      </c>
      <c r="H152" s="186">
        <v>0</v>
      </c>
      <c r="I152" s="186">
        <v>0</v>
      </c>
      <c r="J152" s="187">
        <f t="shared" si="2"/>
        <v>0</v>
      </c>
      <c r="K152" s="590"/>
    </row>
    <row r="153" spans="1:11" ht="12.75" hidden="1">
      <c r="A153" s="183"/>
      <c r="B153" s="183"/>
      <c r="C153" s="185"/>
      <c r="D153" s="185" t="s">
        <v>161</v>
      </c>
      <c r="E153" s="185" t="s">
        <v>185</v>
      </c>
      <c r="F153" s="186">
        <v>0</v>
      </c>
      <c r="G153" s="186">
        <v>0</v>
      </c>
      <c r="H153" s="186">
        <v>0</v>
      </c>
      <c r="I153" s="186">
        <v>0</v>
      </c>
      <c r="J153" s="187">
        <f t="shared" si="2"/>
        <v>0</v>
      </c>
      <c r="K153" s="590"/>
    </row>
    <row r="154" spans="1:11" ht="12.75" hidden="1">
      <c r="A154" s="183"/>
      <c r="B154" s="183"/>
      <c r="C154" s="185"/>
      <c r="D154" s="185" t="s">
        <v>163</v>
      </c>
      <c r="E154" s="185" t="s">
        <v>186</v>
      </c>
      <c r="F154" s="186">
        <v>0</v>
      </c>
      <c r="G154" s="186">
        <v>0</v>
      </c>
      <c r="H154" s="186">
        <v>0</v>
      </c>
      <c r="I154" s="186">
        <v>0</v>
      </c>
      <c r="J154" s="187">
        <f t="shared" si="2"/>
        <v>0</v>
      </c>
      <c r="K154" s="590"/>
    </row>
    <row r="155" spans="1:11" ht="12.75" hidden="1">
      <c r="A155" s="183"/>
      <c r="B155" s="183"/>
      <c r="C155" s="185"/>
      <c r="D155" s="185" t="s">
        <v>165</v>
      </c>
      <c r="E155" s="185" t="s">
        <v>187</v>
      </c>
      <c r="F155" s="186">
        <v>0</v>
      </c>
      <c r="G155" s="186">
        <v>0</v>
      </c>
      <c r="H155" s="186">
        <v>0</v>
      </c>
      <c r="I155" s="186">
        <v>0</v>
      </c>
      <c r="J155" s="187">
        <f t="shared" si="2"/>
        <v>0</v>
      </c>
      <c r="K155" s="590"/>
    </row>
    <row r="156" spans="1:11" ht="12.75" hidden="1">
      <c r="A156" s="183"/>
      <c r="B156" s="183"/>
      <c r="C156" s="185"/>
      <c r="D156" s="185" t="s">
        <v>167</v>
      </c>
      <c r="E156" s="185" t="s">
        <v>535</v>
      </c>
      <c r="F156" s="186">
        <v>0</v>
      </c>
      <c r="G156" s="186">
        <v>0</v>
      </c>
      <c r="H156" s="186">
        <v>0</v>
      </c>
      <c r="I156" s="186">
        <v>0</v>
      </c>
      <c r="J156" s="187">
        <f t="shared" si="2"/>
        <v>0</v>
      </c>
      <c r="K156" s="590"/>
    </row>
    <row r="157" spans="1:11" ht="12.75" hidden="1">
      <c r="A157" s="183"/>
      <c r="B157" s="183"/>
      <c r="C157" s="185"/>
      <c r="D157" s="185" t="s">
        <v>169</v>
      </c>
      <c r="E157" s="185" t="s">
        <v>534</v>
      </c>
      <c r="F157" s="195">
        <v>0</v>
      </c>
      <c r="G157" s="186">
        <v>0</v>
      </c>
      <c r="H157" s="186">
        <v>0</v>
      </c>
      <c r="I157" s="186">
        <v>0</v>
      </c>
      <c r="J157" s="187">
        <f t="shared" si="2"/>
        <v>0</v>
      </c>
      <c r="K157" s="590"/>
    </row>
    <row r="158" spans="1:11" ht="12.75" hidden="1">
      <c r="A158" s="183"/>
      <c r="B158" s="183"/>
      <c r="C158" s="185"/>
      <c r="D158" s="185" t="s">
        <v>171</v>
      </c>
      <c r="E158" s="185" t="s">
        <v>190</v>
      </c>
      <c r="F158" s="186">
        <v>0</v>
      </c>
      <c r="G158" s="186">
        <v>0</v>
      </c>
      <c r="H158" s="186">
        <v>0</v>
      </c>
      <c r="I158" s="186">
        <v>0</v>
      </c>
      <c r="J158" s="187">
        <f t="shared" si="2"/>
        <v>0</v>
      </c>
      <c r="K158" s="590"/>
    </row>
    <row r="159" spans="1:11" ht="12.75" hidden="1">
      <c r="A159" s="183"/>
      <c r="B159" s="183"/>
      <c r="C159" s="185"/>
      <c r="D159" s="185" t="s">
        <v>173</v>
      </c>
      <c r="E159" s="185" t="s">
        <v>576</v>
      </c>
      <c r="F159" s="186">
        <v>0</v>
      </c>
      <c r="G159" s="186">
        <v>0</v>
      </c>
      <c r="H159" s="186">
        <v>0</v>
      </c>
      <c r="I159" s="186">
        <v>0</v>
      </c>
      <c r="J159" s="187">
        <f t="shared" si="2"/>
        <v>0</v>
      </c>
      <c r="K159" s="590"/>
    </row>
    <row r="160" spans="1:11" ht="12" customHeight="1">
      <c r="A160" s="183"/>
      <c r="B160" s="176" t="s">
        <v>556</v>
      </c>
      <c r="C160" s="933" t="s">
        <v>632</v>
      </c>
      <c r="D160" s="933"/>
      <c r="E160" s="933"/>
      <c r="F160" s="177">
        <f>SUM(F161:F171)+33081467</f>
        <v>33081467</v>
      </c>
      <c r="G160" s="177">
        <f>SUM(G161:G171)</f>
        <v>0</v>
      </c>
      <c r="H160" s="177">
        <f>SUM(H161:H171)</f>
        <v>0</v>
      </c>
      <c r="I160" s="177">
        <f>SUM(I161:I171)</f>
        <v>0</v>
      </c>
      <c r="J160" s="178">
        <f t="shared" si="2"/>
        <v>33081467</v>
      </c>
      <c r="K160" s="588"/>
    </row>
    <row r="161" spans="1:11" ht="12" customHeight="1" hidden="1">
      <c r="A161" s="183"/>
      <c r="B161" s="183"/>
      <c r="C161" s="185" t="s">
        <v>2</v>
      </c>
      <c r="D161" s="185" t="s">
        <v>157</v>
      </c>
      <c r="E161" s="185" t="s">
        <v>184</v>
      </c>
      <c r="F161" s="186">
        <v>0</v>
      </c>
      <c r="G161" s="186">
        <v>0</v>
      </c>
      <c r="H161" s="186">
        <v>0</v>
      </c>
      <c r="I161" s="186">
        <v>0</v>
      </c>
      <c r="J161" s="187">
        <f t="shared" si="2"/>
        <v>0</v>
      </c>
      <c r="K161" s="590"/>
    </row>
    <row r="162" spans="1:11" ht="12.75" hidden="1">
      <c r="A162" s="183"/>
      <c r="B162" s="183"/>
      <c r="C162" s="185"/>
      <c r="D162" s="185" t="s">
        <v>159</v>
      </c>
      <c r="E162" s="185" t="s">
        <v>575</v>
      </c>
      <c r="F162" s="186">
        <v>0</v>
      </c>
      <c r="G162" s="186">
        <v>0</v>
      </c>
      <c r="H162" s="186">
        <v>0</v>
      </c>
      <c r="I162" s="186">
        <v>0</v>
      </c>
      <c r="J162" s="187">
        <f t="shared" si="2"/>
        <v>0</v>
      </c>
      <c r="K162" s="590"/>
    </row>
    <row r="163" spans="1:11" ht="12.75" hidden="1">
      <c r="A163" s="183"/>
      <c r="B163" s="183"/>
      <c r="C163" s="185"/>
      <c r="D163" s="185" t="s">
        <v>161</v>
      </c>
      <c r="E163" s="185" t="s">
        <v>185</v>
      </c>
      <c r="F163" s="186">
        <v>0</v>
      </c>
      <c r="G163" s="186">
        <v>0</v>
      </c>
      <c r="H163" s="186">
        <v>0</v>
      </c>
      <c r="I163" s="186">
        <v>0</v>
      </c>
      <c r="J163" s="187">
        <f t="shared" si="2"/>
        <v>0</v>
      </c>
      <c r="K163" s="590"/>
    </row>
    <row r="164" spans="1:11" ht="12.75" hidden="1">
      <c r="A164" s="183"/>
      <c r="B164" s="183"/>
      <c r="C164" s="185"/>
      <c r="D164" s="185" t="s">
        <v>163</v>
      </c>
      <c r="E164" s="185" t="s">
        <v>186</v>
      </c>
      <c r="F164" s="186">
        <v>0</v>
      </c>
      <c r="G164" s="186">
        <v>0</v>
      </c>
      <c r="H164" s="186">
        <v>0</v>
      </c>
      <c r="I164" s="186">
        <v>0</v>
      </c>
      <c r="J164" s="187">
        <f t="shared" si="2"/>
        <v>0</v>
      </c>
      <c r="K164" s="590"/>
    </row>
    <row r="165" spans="1:11" ht="12.75" hidden="1">
      <c r="A165" s="183"/>
      <c r="B165" s="183"/>
      <c r="C165" s="185"/>
      <c r="D165" s="185" t="s">
        <v>165</v>
      </c>
      <c r="E165" s="185" t="s">
        <v>187</v>
      </c>
      <c r="F165" s="186">
        <v>0</v>
      </c>
      <c r="G165" s="186">
        <v>0</v>
      </c>
      <c r="H165" s="186">
        <v>0</v>
      </c>
      <c r="I165" s="186">
        <v>0</v>
      </c>
      <c r="J165" s="187">
        <f t="shared" si="2"/>
        <v>0</v>
      </c>
      <c r="K165" s="590"/>
    </row>
    <row r="166" spans="1:11" ht="12.75" hidden="1">
      <c r="A166" s="183"/>
      <c r="B166" s="183"/>
      <c r="C166" s="185"/>
      <c r="D166" s="185" t="s">
        <v>167</v>
      </c>
      <c r="E166" s="185" t="s">
        <v>535</v>
      </c>
      <c r="F166" s="186">
        <v>0</v>
      </c>
      <c r="G166" s="186">
        <v>0</v>
      </c>
      <c r="H166" s="186">
        <v>0</v>
      </c>
      <c r="I166" s="186">
        <v>0</v>
      </c>
      <c r="J166" s="187">
        <f t="shared" si="2"/>
        <v>0</v>
      </c>
      <c r="K166" s="590"/>
    </row>
    <row r="167" spans="1:11" ht="12.75" hidden="1">
      <c r="A167" s="183"/>
      <c r="B167" s="183"/>
      <c r="C167" s="185"/>
      <c r="D167" s="185" t="s">
        <v>169</v>
      </c>
      <c r="E167" s="185" t="s">
        <v>534</v>
      </c>
      <c r="F167" s="195">
        <v>0</v>
      </c>
      <c r="G167" s="186">
        <v>0</v>
      </c>
      <c r="H167" s="186">
        <v>0</v>
      </c>
      <c r="I167" s="186">
        <v>0</v>
      </c>
      <c r="J167" s="187">
        <f t="shared" si="2"/>
        <v>0</v>
      </c>
      <c r="K167" s="590"/>
    </row>
    <row r="168" spans="1:11" ht="12.75" hidden="1">
      <c r="A168" s="183"/>
      <c r="B168" s="183"/>
      <c r="C168" s="185"/>
      <c r="D168" s="185" t="s">
        <v>171</v>
      </c>
      <c r="E168" s="185" t="s">
        <v>190</v>
      </c>
      <c r="F168" s="186">
        <v>0</v>
      </c>
      <c r="G168" s="186">
        <v>0</v>
      </c>
      <c r="H168" s="186">
        <v>0</v>
      </c>
      <c r="I168" s="186">
        <v>0</v>
      </c>
      <c r="J168" s="187">
        <f t="shared" si="2"/>
        <v>0</v>
      </c>
      <c r="K168" s="590"/>
    </row>
    <row r="169" spans="1:11" ht="12.75" hidden="1">
      <c r="A169" s="183"/>
      <c r="B169" s="183"/>
      <c r="C169" s="185"/>
      <c r="D169" s="185" t="s">
        <v>173</v>
      </c>
      <c r="E169" s="185" t="s">
        <v>191</v>
      </c>
      <c r="F169" s="186">
        <v>0</v>
      </c>
      <c r="G169" s="186">
        <v>0</v>
      </c>
      <c r="H169" s="186">
        <v>0</v>
      </c>
      <c r="I169" s="186">
        <v>0</v>
      </c>
      <c r="J169" s="187">
        <f t="shared" si="2"/>
        <v>0</v>
      </c>
      <c r="K169" s="590"/>
    </row>
    <row r="170" spans="1:11" ht="12.75" hidden="1">
      <c r="A170" s="183"/>
      <c r="B170" s="183"/>
      <c r="C170" s="185"/>
      <c r="D170" s="185" t="s">
        <v>175</v>
      </c>
      <c r="E170" s="185" t="s">
        <v>192</v>
      </c>
      <c r="F170" s="186">
        <v>0</v>
      </c>
      <c r="G170" s="186">
        <v>0</v>
      </c>
      <c r="H170" s="186">
        <v>0</v>
      </c>
      <c r="I170" s="186">
        <v>0</v>
      </c>
      <c r="J170" s="187">
        <f t="shared" si="2"/>
        <v>0</v>
      </c>
      <c r="K170" s="590"/>
    </row>
    <row r="171" spans="1:11" ht="12.75" hidden="1">
      <c r="A171" s="183"/>
      <c r="B171" s="183"/>
      <c r="C171" s="185"/>
      <c r="D171" s="185" t="s">
        <v>577</v>
      </c>
      <c r="E171" s="185" t="s">
        <v>193</v>
      </c>
      <c r="F171" s="186">
        <v>0</v>
      </c>
      <c r="G171" s="186">
        <v>0</v>
      </c>
      <c r="H171" s="186">
        <v>0</v>
      </c>
      <c r="I171" s="186">
        <v>0</v>
      </c>
      <c r="J171" s="187">
        <f t="shared" si="2"/>
        <v>0</v>
      </c>
      <c r="K171" s="590"/>
    </row>
    <row r="172" spans="1:11" s="175" customFormat="1" ht="12.75">
      <c r="A172" s="173" t="s">
        <v>318</v>
      </c>
      <c r="B172" s="941" t="s">
        <v>319</v>
      </c>
      <c r="C172" s="941"/>
      <c r="D172" s="941"/>
      <c r="E172" s="941"/>
      <c r="F172" s="174">
        <f>SUM(F173+F196+F197+F198)</f>
        <v>382182681</v>
      </c>
      <c r="G172" s="174">
        <f>SUM(G173+G196+G197+G198)</f>
        <v>439819</v>
      </c>
      <c r="H172" s="174">
        <f>SUM(H173+H196+H197+H198)</f>
        <v>34138565</v>
      </c>
      <c r="I172" s="174">
        <f>SUM(I173+I196+I197+I198)</f>
        <v>0</v>
      </c>
      <c r="J172" s="174">
        <f t="shared" si="2"/>
        <v>416761065</v>
      </c>
      <c r="K172" s="587"/>
    </row>
    <row r="173" spans="1:11" ht="12.75">
      <c r="A173" s="183"/>
      <c r="B173" s="176" t="s">
        <v>320</v>
      </c>
      <c r="C173" s="933" t="s">
        <v>321</v>
      </c>
      <c r="D173" s="933"/>
      <c r="E173" s="933"/>
      <c r="F173" s="177">
        <f>SUM(F174+F178+F183+F188+F189+F190+F191+F192+F193)</f>
        <v>382182681</v>
      </c>
      <c r="G173" s="177">
        <f>SUM(G174+G178+G183+G188+G189+G190+G191+G192+G193)</f>
        <v>439819</v>
      </c>
      <c r="H173" s="177">
        <f>SUM(H174+H178+H183+H188+H189+H190+H191+H192+H193)</f>
        <v>34138565</v>
      </c>
      <c r="I173" s="177">
        <f>SUM(I174+I178+I183+I188+I189+I190+I191+I192+I193)</f>
        <v>0</v>
      </c>
      <c r="J173" s="178">
        <f t="shared" si="2"/>
        <v>416761065</v>
      </c>
      <c r="K173" s="588"/>
    </row>
    <row r="174" spans="1:11" ht="11.25" customHeight="1">
      <c r="A174" s="179"/>
      <c r="B174" s="179"/>
      <c r="C174" s="179" t="s">
        <v>322</v>
      </c>
      <c r="D174" s="179" t="s">
        <v>603</v>
      </c>
      <c r="E174" s="179"/>
      <c r="F174" s="180">
        <f>SUM(F175:F177)</f>
        <v>0</v>
      </c>
      <c r="G174" s="180">
        <f>SUM(G175:G177)</f>
        <v>0</v>
      </c>
      <c r="H174" s="180">
        <f>SUM(H175:H177)</f>
        <v>0</v>
      </c>
      <c r="I174" s="180">
        <f>SUM(I175:I177)</f>
        <v>0</v>
      </c>
      <c r="J174" s="181">
        <f t="shared" si="2"/>
        <v>0</v>
      </c>
      <c r="K174" s="589"/>
    </row>
    <row r="175" spans="1:11" ht="12.75" hidden="1">
      <c r="A175" s="196"/>
      <c r="B175" s="196"/>
      <c r="C175" s="196"/>
      <c r="D175" s="196" t="s">
        <v>323</v>
      </c>
      <c r="E175" s="196" t="s">
        <v>687</v>
      </c>
      <c r="F175" s="197">
        <v>0</v>
      </c>
      <c r="G175" s="197">
        <v>0</v>
      </c>
      <c r="H175" s="197">
        <v>0</v>
      </c>
      <c r="I175" s="197">
        <v>0</v>
      </c>
      <c r="J175" s="198">
        <f t="shared" si="2"/>
        <v>0</v>
      </c>
      <c r="K175" s="591"/>
    </row>
    <row r="176" spans="1:11" ht="12.75" hidden="1">
      <c r="A176" s="196"/>
      <c r="B176" s="196"/>
      <c r="C176" s="196"/>
      <c r="D176" s="196" t="s">
        <v>324</v>
      </c>
      <c r="E176" s="196" t="s">
        <v>688</v>
      </c>
      <c r="F176" s="197">
        <v>0</v>
      </c>
      <c r="G176" s="197">
        <v>0</v>
      </c>
      <c r="H176" s="197">
        <v>0</v>
      </c>
      <c r="I176" s="197">
        <v>0</v>
      </c>
      <c r="J176" s="198">
        <f t="shared" si="2"/>
        <v>0</v>
      </c>
      <c r="K176" s="591"/>
    </row>
    <row r="177" spans="1:11" ht="12.75" hidden="1">
      <c r="A177" s="196"/>
      <c r="B177" s="196"/>
      <c r="C177" s="196"/>
      <c r="D177" s="196" t="s">
        <v>325</v>
      </c>
      <c r="E177" s="196" t="s">
        <v>689</v>
      </c>
      <c r="F177" s="197">
        <v>0</v>
      </c>
      <c r="G177" s="197">
        <v>0</v>
      </c>
      <c r="H177" s="197">
        <v>0</v>
      </c>
      <c r="I177" s="197">
        <v>0</v>
      </c>
      <c r="J177" s="198">
        <f t="shared" si="2"/>
        <v>0</v>
      </c>
      <c r="K177" s="591"/>
    </row>
    <row r="178" spans="1:11" ht="12.75">
      <c r="A178" s="179"/>
      <c r="B178" s="179"/>
      <c r="C178" s="179" t="s">
        <v>326</v>
      </c>
      <c r="D178" s="179" t="s">
        <v>327</v>
      </c>
      <c r="E178" s="179"/>
      <c r="F178" s="180">
        <f>SUM(F179:F182)</f>
        <v>0</v>
      </c>
      <c r="G178" s="180">
        <f>SUM(G179:G182)</f>
        <v>0</v>
      </c>
      <c r="H178" s="180">
        <f>SUM(H179:H182)</f>
        <v>0</v>
      </c>
      <c r="I178" s="180">
        <f>SUM(I179:I182)</f>
        <v>0</v>
      </c>
      <c r="J178" s="181">
        <f t="shared" si="2"/>
        <v>0</v>
      </c>
      <c r="K178" s="589"/>
    </row>
    <row r="179" spans="1:11" ht="12.75" hidden="1">
      <c r="A179" s="179"/>
      <c r="B179" s="179"/>
      <c r="C179" s="179"/>
      <c r="D179" s="196" t="s">
        <v>557</v>
      </c>
      <c r="E179" s="196" t="s">
        <v>558</v>
      </c>
      <c r="F179" s="180">
        <v>0</v>
      </c>
      <c r="G179" s="180">
        <v>0</v>
      </c>
      <c r="H179" s="180">
        <v>0</v>
      </c>
      <c r="I179" s="180">
        <v>0</v>
      </c>
      <c r="J179" s="181">
        <f t="shared" si="2"/>
        <v>0</v>
      </c>
      <c r="K179" s="589"/>
    </row>
    <row r="180" spans="1:11" ht="12.75" hidden="1">
      <c r="A180" s="179"/>
      <c r="B180" s="179"/>
      <c r="C180" s="179"/>
      <c r="D180" s="196" t="s">
        <v>559</v>
      </c>
      <c r="E180" s="196" t="s">
        <v>560</v>
      </c>
      <c r="F180" s="180">
        <v>0</v>
      </c>
      <c r="G180" s="180">
        <v>0</v>
      </c>
      <c r="H180" s="180">
        <v>0</v>
      </c>
      <c r="I180" s="180">
        <v>0</v>
      </c>
      <c r="J180" s="181">
        <f t="shared" si="2"/>
        <v>0</v>
      </c>
      <c r="K180" s="589"/>
    </row>
    <row r="181" spans="1:11" ht="12.75" hidden="1">
      <c r="A181" s="179"/>
      <c r="B181" s="179"/>
      <c r="C181" s="179"/>
      <c r="D181" s="196" t="s">
        <v>561</v>
      </c>
      <c r="E181" s="196" t="s">
        <v>562</v>
      </c>
      <c r="F181" s="180">
        <v>0</v>
      </c>
      <c r="G181" s="180">
        <v>0</v>
      </c>
      <c r="H181" s="180">
        <v>0</v>
      </c>
      <c r="I181" s="180">
        <v>0</v>
      </c>
      <c r="J181" s="181">
        <f t="shared" si="2"/>
        <v>0</v>
      </c>
      <c r="K181" s="589"/>
    </row>
    <row r="182" spans="1:11" ht="12.75" hidden="1">
      <c r="A182" s="179"/>
      <c r="B182" s="179"/>
      <c r="C182" s="179"/>
      <c r="D182" s="196" t="s">
        <v>563</v>
      </c>
      <c r="E182" s="196" t="s">
        <v>564</v>
      </c>
      <c r="F182" s="180">
        <v>0</v>
      </c>
      <c r="G182" s="180">
        <v>0</v>
      </c>
      <c r="H182" s="180">
        <v>0</v>
      </c>
      <c r="I182" s="180">
        <v>0</v>
      </c>
      <c r="J182" s="181">
        <f t="shared" si="2"/>
        <v>0</v>
      </c>
      <c r="K182" s="589"/>
    </row>
    <row r="183" spans="1:11" ht="12.75">
      <c r="A183" s="179"/>
      <c r="B183" s="179"/>
      <c r="C183" s="179" t="s">
        <v>328</v>
      </c>
      <c r="D183" s="179" t="s">
        <v>329</v>
      </c>
      <c r="E183" s="179"/>
      <c r="F183" s="180">
        <f>SUM(F184,F187)</f>
        <v>382182681</v>
      </c>
      <c r="G183" s="180">
        <f>SUM(G184,G187)</f>
        <v>439819</v>
      </c>
      <c r="H183" s="180">
        <f>SUM(H184,H187)</f>
        <v>34138565</v>
      </c>
      <c r="I183" s="180">
        <f>SUM(I184,I187)</f>
        <v>0</v>
      </c>
      <c r="J183" s="181">
        <f t="shared" si="2"/>
        <v>416761065</v>
      </c>
      <c r="K183" s="589"/>
    </row>
    <row r="184" spans="1:11" ht="12.75">
      <c r="A184" s="196"/>
      <c r="B184" s="196"/>
      <c r="C184" s="196"/>
      <c r="D184" s="196" t="s">
        <v>330</v>
      </c>
      <c r="E184" s="196" t="s">
        <v>331</v>
      </c>
      <c r="F184" s="197">
        <f>SUM(F185:F186)</f>
        <v>372400032</v>
      </c>
      <c r="G184" s="197">
        <f>SUM(G185:G186)</f>
        <v>439819</v>
      </c>
      <c r="H184" s="197">
        <f>SUM(H185:H186)</f>
        <v>34138565</v>
      </c>
      <c r="I184" s="197">
        <f>SUM(I185:I186)</f>
        <v>0</v>
      </c>
      <c r="J184" s="198">
        <f t="shared" si="2"/>
        <v>406978416</v>
      </c>
      <c r="K184" s="591"/>
    </row>
    <row r="185" spans="1:11" s="203" customFormat="1" ht="12.75">
      <c r="A185" s="199"/>
      <c r="B185" s="199"/>
      <c r="C185" s="199"/>
      <c r="D185" s="199"/>
      <c r="E185" s="200" t="s">
        <v>36</v>
      </c>
      <c r="F185" s="201">
        <f>22840902+55632238</f>
        <v>78473140</v>
      </c>
      <c r="G185" s="201">
        <v>439819</v>
      </c>
      <c r="H185" s="201">
        <f>626145+31099867</f>
        <v>31726012</v>
      </c>
      <c r="I185" s="201"/>
      <c r="J185" s="202">
        <f t="shared" si="2"/>
        <v>110638971</v>
      </c>
      <c r="K185" s="592"/>
    </row>
    <row r="186" spans="1:11" s="203" customFormat="1" ht="12.75">
      <c r="A186" s="199"/>
      <c r="B186" s="199"/>
      <c r="C186" s="199"/>
      <c r="D186" s="199"/>
      <c r="E186" s="200" t="s">
        <v>37</v>
      </c>
      <c r="F186" s="201">
        <f>297951773-8201400+4176519</f>
        <v>293926892</v>
      </c>
      <c r="G186" s="201">
        <v>0</v>
      </c>
      <c r="H186" s="201">
        <v>2412553</v>
      </c>
      <c r="I186" s="201">
        <v>0</v>
      </c>
      <c r="J186" s="202">
        <f t="shared" si="2"/>
        <v>296339445</v>
      </c>
      <c r="K186" s="592"/>
    </row>
    <row r="187" spans="1:11" ht="12.75">
      <c r="A187" s="196"/>
      <c r="B187" s="196"/>
      <c r="C187" s="196"/>
      <c r="D187" s="196" t="s">
        <v>332</v>
      </c>
      <c r="E187" s="196" t="s">
        <v>333</v>
      </c>
      <c r="F187" s="197">
        <v>9782649</v>
      </c>
      <c r="G187" s="197">
        <v>0</v>
      </c>
      <c r="H187" s="197">
        <v>0</v>
      </c>
      <c r="I187" s="197">
        <v>0</v>
      </c>
      <c r="J187" s="198">
        <f t="shared" si="2"/>
        <v>9782649</v>
      </c>
      <c r="K187" s="591"/>
    </row>
    <row r="188" spans="1:11" ht="11.25" customHeight="1">
      <c r="A188" s="179"/>
      <c r="B188" s="179"/>
      <c r="C188" s="179" t="s">
        <v>334</v>
      </c>
      <c r="D188" s="179" t="s">
        <v>898</v>
      </c>
      <c r="E188" s="179"/>
      <c r="F188" s="180">
        <v>0</v>
      </c>
      <c r="G188" s="180">
        <v>0</v>
      </c>
      <c r="H188" s="180">
        <v>0</v>
      </c>
      <c r="I188" s="180">
        <v>0</v>
      </c>
      <c r="J188" s="181">
        <f t="shared" si="2"/>
        <v>0</v>
      </c>
      <c r="K188" s="589"/>
    </row>
    <row r="189" spans="1:11" ht="12.75" hidden="1">
      <c r="A189" s="179"/>
      <c r="B189" s="179"/>
      <c r="C189" s="179" t="s">
        <v>335</v>
      </c>
      <c r="D189" s="179" t="s">
        <v>604</v>
      </c>
      <c r="E189" s="179"/>
      <c r="F189" s="180">
        <v>0</v>
      </c>
      <c r="G189" s="180">
        <v>0</v>
      </c>
      <c r="H189" s="180">
        <v>0</v>
      </c>
      <c r="I189" s="180">
        <v>0</v>
      </c>
      <c r="J189" s="181">
        <f t="shared" si="2"/>
        <v>0</v>
      </c>
      <c r="K189" s="589"/>
    </row>
    <row r="190" spans="1:11" ht="12.75" hidden="1">
      <c r="A190" s="179"/>
      <c r="B190" s="179"/>
      <c r="C190" s="179" t="s">
        <v>336</v>
      </c>
      <c r="D190" s="179" t="s">
        <v>337</v>
      </c>
      <c r="E190" s="179"/>
      <c r="F190" s="180">
        <v>0</v>
      </c>
      <c r="G190" s="180">
        <v>0</v>
      </c>
      <c r="H190" s="180">
        <v>0</v>
      </c>
      <c r="I190" s="180">
        <v>0</v>
      </c>
      <c r="J190" s="181">
        <f t="shared" si="2"/>
        <v>0</v>
      </c>
      <c r="K190" s="589"/>
    </row>
    <row r="191" spans="1:11" ht="12.75" hidden="1">
      <c r="A191" s="179"/>
      <c r="B191" s="179"/>
      <c r="C191" s="179" t="s">
        <v>338</v>
      </c>
      <c r="D191" s="179" t="s">
        <v>565</v>
      </c>
      <c r="E191" s="179"/>
      <c r="F191" s="180">
        <v>0</v>
      </c>
      <c r="G191" s="180">
        <v>0</v>
      </c>
      <c r="H191" s="180">
        <v>0</v>
      </c>
      <c r="I191" s="180">
        <v>0</v>
      </c>
      <c r="J191" s="181">
        <f t="shared" si="2"/>
        <v>0</v>
      </c>
      <c r="K191" s="589"/>
    </row>
    <row r="192" spans="1:11" ht="12.75" hidden="1">
      <c r="A192" s="179"/>
      <c r="B192" s="179"/>
      <c r="C192" s="179" t="s">
        <v>339</v>
      </c>
      <c r="D192" s="179" t="s">
        <v>340</v>
      </c>
      <c r="E192" s="179"/>
      <c r="F192" s="180">
        <v>0</v>
      </c>
      <c r="G192" s="180">
        <v>0</v>
      </c>
      <c r="H192" s="180">
        <v>0</v>
      </c>
      <c r="I192" s="180">
        <v>0</v>
      </c>
      <c r="J192" s="181">
        <f t="shared" si="2"/>
        <v>0</v>
      </c>
      <c r="K192" s="589"/>
    </row>
    <row r="193" spans="1:11" ht="12.75" hidden="1">
      <c r="A193" s="179"/>
      <c r="B193" s="179"/>
      <c r="C193" s="179" t="s">
        <v>566</v>
      </c>
      <c r="D193" s="179" t="s">
        <v>567</v>
      </c>
      <c r="E193" s="179"/>
      <c r="F193" s="180">
        <v>0</v>
      </c>
      <c r="G193" s="180">
        <v>0</v>
      </c>
      <c r="H193" s="180">
        <v>0</v>
      </c>
      <c r="I193" s="180">
        <v>0</v>
      </c>
      <c r="J193" s="181">
        <f t="shared" si="2"/>
        <v>0</v>
      </c>
      <c r="K193" s="589"/>
    </row>
    <row r="194" spans="1:11" ht="12.75" hidden="1">
      <c r="A194" s="179"/>
      <c r="B194" s="179"/>
      <c r="C194" s="179"/>
      <c r="D194" s="196" t="s">
        <v>568</v>
      </c>
      <c r="E194" s="196" t="s">
        <v>569</v>
      </c>
      <c r="F194" s="201">
        <v>0</v>
      </c>
      <c r="G194" s="201">
        <v>0</v>
      </c>
      <c r="H194" s="201">
        <v>0</v>
      </c>
      <c r="I194" s="201">
        <v>0</v>
      </c>
      <c r="J194" s="181">
        <f t="shared" si="2"/>
        <v>0</v>
      </c>
      <c r="K194" s="589"/>
    </row>
    <row r="195" spans="1:11" ht="12.75" hidden="1">
      <c r="A195" s="179"/>
      <c r="B195" s="179"/>
      <c r="C195" s="179"/>
      <c r="D195" s="196" t="s">
        <v>570</v>
      </c>
      <c r="E195" s="196" t="s">
        <v>571</v>
      </c>
      <c r="F195" s="201">
        <v>0</v>
      </c>
      <c r="G195" s="201">
        <v>0</v>
      </c>
      <c r="H195" s="201">
        <v>0</v>
      </c>
      <c r="I195" s="201">
        <v>0</v>
      </c>
      <c r="J195" s="181">
        <f t="shared" si="2"/>
        <v>0</v>
      </c>
      <c r="K195" s="589"/>
    </row>
    <row r="196" spans="1:11" ht="12.75" hidden="1">
      <c r="A196" s="183"/>
      <c r="B196" s="176" t="s">
        <v>341</v>
      </c>
      <c r="C196" s="933" t="s">
        <v>342</v>
      </c>
      <c r="D196" s="933"/>
      <c r="E196" s="933"/>
      <c r="F196" s="177">
        <v>0</v>
      </c>
      <c r="G196" s="177">
        <v>0</v>
      </c>
      <c r="H196" s="177">
        <v>0</v>
      </c>
      <c r="I196" s="177">
        <v>0</v>
      </c>
      <c r="J196" s="178">
        <f t="shared" si="2"/>
        <v>0</v>
      </c>
      <c r="K196" s="588"/>
    </row>
    <row r="197" spans="1:11" ht="12.75" hidden="1">
      <c r="A197" s="183"/>
      <c r="B197" s="176" t="s">
        <v>343</v>
      </c>
      <c r="C197" s="933" t="s">
        <v>344</v>
      </c>
      <c r="D197" s="933"/>
      <c r="E197" s="933"/>
      <c r="F197" s="177">
        <v>0</v>
      </c>
      <c r="G197" s="177">
        <v>0</v>
      </c>
      <c r="H197" s="177">
        <v>0</v>
      </c>
      <c r="I197" s="177">
        <v>0</v>
      </c>
      <c r="J197" s="178">
        <f t="shared" si="2"/>
        <v>0</v>
      </c>
      <c r="K197" s="588"/>
    </row>
    <row r="198" spans="1:11" ht="12.75" hidden="1">
      <c r="A198" s="183"/>
      <c r="B198" s="176" t="s">
        <v>572</v>
      </c>
      <c r="C198" s="933" t="s">
        <v>573</v>
      </c>
      <c r="D198" s="933"/>
      <c r="E198" s="933"/>
      <c r="F198" s="177">
        <v>0</v>
      </c>
      <c r="G198" s="177">
        <v>0</v>
      </c>
      <c r="H198" s="177">
        <v>0</v>
      </c>
      <c r="I198" s="177">
        <v>0</v>
      </c>
      <c r="J198" s="178">
        <f t="shared" si="2"/>
        <v>0</v>
      </c>
      <c r="K198" s="588"/>
    </row>
    <row r="199" spans="1:11" ht="12.75" hidden="1">
      <c r="A199" s="183"/>
      <c r="B199" s="183"/>
      <c r="C199" s="183"/>
      <c r="D199" s="183"/>
      <c r="E199" s="183"/>
      <c r="F199" s="204"/>
      <c r="G199" s="205"/>
      <c r="H199" s="205"/>
      <c r="I199" s="205"/>
      <c r="J199" s="204">
        <f t="shared" si="2"/>
        <v>0</v>
      </c>
      <c r="K199" s="593"/>
    </row>
    <row r="200" spans="1:11" s="207" customFormat="1" ht="15.75">
      <c r="A200" s="940" t="s">
        <v>433</v>
      </c>
      <c r="B200" s="940"/>
      <c r="C200" s="940"/>
      <c r="D200" s="940"/>
      <c r="E200" s="940"/>
      <c r="F200" s="206">
        <f>SUM(F172+F146+F130+F122+F86+F57+F40+F7)</f>
        <v>1739164655</v>
      </c>
      <c r="G200" s="206">
        <f>SUM(G172+G146+G130+G122+G86+G57+G40+G7)</f>
        <v>9498597</v>
      </c>
      <c r="H200" s="206">
        <f>SUM(H172+H146+H130+H122+H86+H57+H40+H7)</f>
        <v>80456081</v>
      </c>
      <c r="I200" s="206">
        <f>SUM(I172+I146+I130+I122+I86+I57+I40+I7)</f>
        <v>4044435</v>
      </c>
      <c r="J200" s="206">
        <f t="shared" si="2"/>
        <v>1833163768</v>
      </c>
      <c r="K200" s="594"/>
    </row>
  </sheetData>
  <sheetProtection/>
  <mergeCells count="54"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  <mergeCell ref="B130:E130"/>
    <mergeCell ref="C125:E125"/>
    <mergeCell ref="C127:E127"/>
    <mergeCell ref="D111:E111"/>
    <mergeCell ref="C129:E129"/>
    <mergeCell ref="C123:E123"/>
    <mergeCell ref="B57:E57"/>
    <mergeCell ref="D107:E107"/>
    <mergeCell ref="C60:E60"/>
    <mergeCell ref="D104:E104"/>
    <mergeCell ref="C58:E58"/>
    <mergeCell ref="C75:E75"/>
    <mergeCell ref="B86:E86"/>
    <mergeCell ref="C59:E59"/>
    <mergeCell ref="C147:E147"/>
    <mergeCell ref="C196:E196"/>
    <mergeCell ref="C132:E132"/>
    <mergeCell ref="C133:E133"/>
    <mergeCell ref="C43:E43"/>
    <mergeCell ref="C41:E41"/>
    <mergeCell ref="D119:E119"/>
    <mergeCell ref="B122:E122"/>
    <mergeCell ref="C44:E44"/>
    <mergeCell ref="D112:E112"/>
    <mergeCell ref="A200:E200"/>
    <mergeCell ref="C131:E131"/>
    <mergeCell ref="C134:E134"/>
    <mergeCell ref="C144:E144"/>
    <mergeCell ref="B146:E146"/>
    <mergeCell ref="C198:E198"/>
    <mergeCell ref="B172:E172"/>
    <mergeCell ref="C149:E149"/>
    <mergeCell ref="C150:E150"/>
    <mergeCell ref="C148:E148"/>
    <mergeCell ref="C197:E197"/>
    <mergeCell ref="C173:E173"/>
    <mergeCell ref="F1:J1"/>
    <mergeCell ref="B6:E6"/>
    <mergeCell ref="A2:J2"/>
    <mergeCell ref="C128:E128"/>
    <mergeCell ref="C42:E42"/>
    <mergeCell ref="C61:E61"/>
    <mergeCell ref="C64:E64"/>
    <mergeCell ref="C160:E160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5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125" style="82" bestFit="1" customWidth="1"/>
    <col min="2" max="2" width="2.375" style="840" customWidth="1"/>
    <col min="3" max="3" width="66.625" style="840" customWidth="1"/>
    <col min="4" max="4" width="14.75390625" style="840" bestFit="1" customWidth="1"/>
  </cols>
  <sheetData>
    <row r="1" spans="3:4" ht="15">
      <c r="C1" s="977" t="s">
        <v>1143</v>
      </c>
      <c r="D1" s="1239"/>
    </row>
    <row r="2" spans="3:4" ht="15">
      <c r="C2" s="1"/>
      <c r="D2" s="77"/>
    </row>
    <row r="3" spans="2:4" ht="14.25">
      <c r="B3" s="1244" t="s">
        <v>950</v>
      </c>
      <c r="C3" s="1244"/>
      <c r="D3" s="1244"/>
    </row>
    <row r="4" spans="2:4" ht="14.25">
      <c r="B4" s="1244" t="s">
        <v>437</v>
      </c>
      <c r="C4" s="1244"/>
      <c r="D4" s="1244"/>
    </row>
    <row r="5" spans="2:4" ht="14.25">
      <c r="B5" s="841"/>
      <c r="C5" s="841"/>
      <c r="D5" s="841"/>
    </row>
    <row r="6" ht="15">
      <c r="D6" s="842"/>
    </row>
    <row r="7" spans="1:4" ht="14.25">
      <c r="A7" s="1245" t="s">
        <v>426</v>
      </c>
      <c r="B7" s="1247" t="s">
        <v>357</v>
      </c>
      <c r="C7" s="1247"/>
      <c r="D7" s="843" t="s">
        <v>369</v>
      </c>
    </row>
    <row r="8" spans="1:4" ht="12.75">
      <c r="A8" s="1246"/>
      <c r="B8" s="1248" t="s">
        <v>420</v>
      </c>
      <c r="C8" s="1249"/>
      <c r="D8" s="844" t="s">
        <v>421</v>
      </c>
    </row>
    <row r="9" spans="1:4" ht="14.25">
      <c r="A9" s="844">
        <v>1</v>
      </c>
      <c r="B9" s="845" t="s">
        <v>951</v>
      </c>
      <c r="C9" s="846"/>
      <c r="D9" s="847"/>
    </row>
    <row r="10" spans="1:4" ht="15">
      <c r="A10" s="844">
        <v>2</v>
      </c>
      <c r="B10" s="848"/>
      <c r="C10" s="81" t="s">
        <v>419</v>
      </c>
      <c r="D10" s="849">
        <v>1000000</v>
      </c>
    </row>
    <row r="11" spans="1:4" ht="14.25">
      <c r="A11" s="844">
        <v>3</v>
      </c>
      <c r="B11" s="845" t="s">
        <v>360</v>
      </c>
      <c r="C11" s="845"/>
      <c r="D11" s="850">
        <f>SUM(D10:D10)</f>
        <v>1000000</v>
      </c>
    </row>
    <row r="12" spans="1:4" ht="7.5" customHeight="1">
      <c r="A12" s="851"/>
      <c r="B12" s="852"/>
      <c r="C12" s="852"/>
      <c r="D12" s="847"/>
    </row>
    <row r="13" spans="1:4" ht="14.25">
      <c r="A13" s="844">
        <v>4</v>
      </c>
      <c r="B13" s="1250" t="s">
        <v>952</v>
      </c>
      <c r="C13" s="1250"/>
      <c r="D13" s="1250"/>
    </row>
    <row r="14" spans="1:4" ht="15">
      <c r="A14" s="844">
        <v>5</v>
      </c>
      <c r="B14" s="848"/>
      <c r="C14" s="81" t="s">
        <v>953</v>
      </c>
      <c r="D14" s="849">
        <v>495000</v>
      </c>
    </row>
    <row r="15" spans="1:4" ht="15">
      <c r="A15" s="844">
        <v>6</v>
      </c>
      <c r="B15" s="848"/>
      <c r="C15" s="81" t="s">
        <v>986</v>
      </c>
      <c r="D15" s="849">
        <v>553029</v>
      </c>
    </row>
    <row r="16" spans="1:4" s="881" customFormat="1" ht="15">
      <c r="A16" s="844">
        <v>7</v>
      </c>
      <c r="B16" s="878"/>
      <c r="C16" s="879" t="s">
        <v>987</v>
      </c>
      <c r="D16" s="880">
        <f>SUM(D14:D15)</f>
        <v>1048029</v>
      </c>
    </row>
    <row r="17" spans="1:4" ht="15">
      <c r="A17" s="844">
        <v>8</v>
      </c>
      <c r="B17" s="848"/>
      <c r="C17" s="81" t="s">
        <v>954</v>
      </c>
      <c r="D17" s="849">
        <f>23433000-20000000</f>
        <v>3433000</v>
      </c>
    </row>
    <row r="18" spans="1:4" ht="30">
      <c r="A18" s="844">
        <v>9</v>
      </c>
      <c r="B18" s="848"/>
      <c r="C18" s="81" t="s">
        <v>976</v>
      </c>
      <c r="D18" s="877">
        <v>-1576197</v>
      </c>
    </row>
    <row r="19" spans="1:4" ht="30">
      <c r="A19" s="844">
        <v>10</v>
      </c>
      <c r="B19" s="848"/>
      <c r="C19" s="81" t="s">
        <v>979</v>
      </c>
      <c r="D19" s="877">
        <v>-1055350</v>
      </c>
    </row>
    <row r="20" spans="1:4" ht="30">
      <c r="A20" s="844">
        <v>11</v>
      </c>
      <c r="B20" s="848"/>
      <c r="C20" s="81" t="s">
        <v>980</v>
      </c>
      <c r="D20" s="877">
        <v>-288050</v>
      </c>
    </row>
    <row r="21" spans="1:4" s="881" customFormat="1" ht="30">
      <c r="A21" s="844">
        <v>12</v>
      </c>
      <c r="B21" s="878"/>
      <c r="C21" s="879" t="s">
        <v>988</v>
      </c>
      <c r="D21" s="880">
        <f>SUM(D17:D20)</f>
        <v>513403</v>
      </c>
    </row>
    <row r="22" spans="1:4" ht="14.25">
      <c r="A22" s="844">
        <v>13</v>
      </c>
      <c r="B22" s="845" t="s">
        <v>989</v>
      </c>
      <c r="C22" s="845"/>
      <c r="D22" s="850">
        <f>SUM(D16+D21)</f>
        <v>1561432</v>
      </c>
    </row>
    <row r="23" spans="1:4" ht="7.5" customHeight="1">
      <c r="A23" s="851"/>
      <c r="B23" s="852"/>
      <c r="C23" s="852"/>
      <c r="D23" s="847"/>
    </row>
    <row r="24" spans="1:4" ht="14.25">
      <c r="A24" s="844">
        <v>14</v>
      </c>
      <c r="B24" s="845" t="s">
        <v>955</v>
      </c>
      <c r="C24" s="846"/>
      <c r="D24" s="847"/>
    </row>
    <row r="25" spans="1:4" ht="15">
      <c r="A25" s="844">
        <v>15</v>
      </c>
      <c r="B25" s="848"/>
      <c r="C25" s="81" t="s">
        <v>956</v>
      </c>
      <c r="D25" s="849">
        <v>1000000</v>
      </c>
    </row>
    <row r="26" spans="1:4" ht="33.75" customHeight="1">
      <c r="A26" s="844">
        <v>16</v>
      </c>
      <c r="B26" s="848"/>
      <c r="C26" s="81" t="s">
        <v>971</v>
      </c>
      <c r="D26" s="877">
        <v>-63500</v>
      </c>
    </row>
    <row r="27" spans="1:4" ht="30">
      <c r="A27" s="844">
        <v>17</v>
      </c>
      <c r="B27" s="848"/>
      <c r="C27" s="81" t="s">
        <v>972</v>
      </c>
      <c r="D27" s="877">
        <v>-68000</v>
      </c>
    </row>
    <row r="28" spans="1:4" ht="15">
      <c r="A28" s="844">
        <v>18</v>
      </c>
      <c r="B28" s="848"/>
      <c r="C28" s="81" t="s">
        <v>973</v>
      </c>
      <c r="D28" s="877">
        <v>-30000</v>
      </c>
    </row>
    <row r="29" spans="1:4" ht="15">
      <c r="A29" s="844">
        <v>19</v>
      </c>
      <c r="B29" s="848"/>
      <c r="C29" s="81" t="s">
        <v>974</v>
      </c>
      <c r="D29" s="877">
        <v>-90000</v>
      </c>
    </row>
    <row r="30" spans="1:4" ht="15">
      <c r="A30" s="844">
        <v>20</v>
      </c>
      <c r="B30" s="848"/>
      <c r="C30" s="81" t="s">
        <v>975</v>
      </c>
      <c r="D30" s="877">
        <v>-146050</v>
      </c>
    </row>
    <row r="31" spans="1:4" ht="15">
      <c r="A31" s="844">
        <v>21</v>
      </c>
      <c r="B31" s="848"/>
      <c r="C31" s="81" t="s">
        <v>977</v>
      </c>
      <c r="D31" s="877">
        <v>-190500</v>
      </c>
    </row>
    <row r="32" spans="1:4" ht="30">
      <c r="A32" s="844">
        <v>22</v>
      </c>
      <c r="B32" s="848"/>
      <c r="C32" s="81" t="s">
        <v>978</v>
      </c>
      <c r="D32" s="877">
        <v>-150000</v>
      </c>
    </row>
    <row r="33" spans="1:4" ht="30">
      <c r="A33" s="844">
        <v>23</v>
      </c>
      <c r="B33" s="848"/>
      <c r="C33" s="81" t="s">
        <v>980</v>
      </c>
      <c r="D33" s="877">
        <v>-261950</v>
      </c>
    </row>
    <row r="34" spans="1:4" ht="14.25">
      <c r="A34" s="844">
        <v>24</v>
      </c>
      <c r="B34" s="845" t="s">
        <v>360</v>
      </c>
      <c r="C34" s="845"/>
      <c r="D34" s="850">
        <f>SUM(D25:D33)</f>
        <v>0</v>
      </c>
    </row>
    <row r="35" spans="1:4" ht="8.25" customHeight="1">
      <c r="A35" s="844"/>
      <c r="B35" s="845"/>
      <c r="C35" s="845"/>
      <c r="D35" s="850"/>
    </row>
    <row r="36" spans="1:4" ht="14.25">
      <c r="A36" s="844">
        <v>25</v>
      </c>
      <c r="B36" s="1250" t="s">
        <v>981</v>
      </c>
      <c r="C36" s="1250"/>
      <c r="D36" s="1250"/>
    </row>
    <row r="37" spans="1:4" ht="15">
      <c r="A37" s="844">
        <v>26</v>
      </c>
      <c r="B37" s="848"/>
      <c r="C37" s="81" t="s">
        <v>982</v>
      </c>
      <c r="D37" s="849">
        <v>59808757</v>
      </c>
    </row>
    <row r="38" spans="1:4" ht="15">
      <c r="A38" s="844">
        <v>27</v>
      </c>
      <c r="B38" s="848"/>
      <c r="C38" s="81" t="s">
        <v>983</v>
      </c>
      <c r="D38" s="877">
        <v>-59808757</v>
      </c>
    </row>
    <row r="39" spans="1:4" ht="14.25">
      <c r="A39" s="844">
        <v>28</v>
      </c>
      <c r="B39" s="845" t="s">
        <v>360</v>
      </c>
      <c r="C39" s="845"/>
      <c r="D39" s="850">
        <f>SUM(D37:D38)</f>
        <v>0</v>
      </c>
    </row>
    <row r="40" spans="1:4" ht="7.5" customHeight="1">
      <c r="A40" s="844"/>
      <c r="B40" s="845"/>
      <c r="C40" s="845"/>
      <c r="D40" s="850"/>
    </row>
    <row r="41" spans="1:4" ht="14.25">
      <c r="A41" s="844">
        <v>29</v>
      </c>
      <c r="B41" s="1250" t="s">
        <v>984</v>
      </c>
      <c r="C41" s="1250"/>
      <c r="D41" s="1250"/>
    </row>
    <row r="42" spans="1:4" ht="15">
      <c r="A42" s="844">
        <v>30</v>
      </c>
      <c r="B42" s="848"/>
      <c r="C42" s="81" t="s">
        <v>985</v>
      </c>
      <c r="D42" s="849">
        <v>9782649</v>
      </c>
    </row>
    <row r="43" spans="1:4" ht="15">
      <c r="A43" s="844">
        <v>31</v>
      </c>
      <c r="B43" s="848"/>
      <c r="C43" s="81" t="s">
        <v>983</v>
      </c>
      <c r="D43" s="877">
        <v>-9782649</v>
      </c>
    </row>
    <row r="44" spans="1:4" ht="14.25">
      <c r="A44" s="844">
        <v>32</v>
      </c>
      <c r="B44" s="845" t="s">
        <v>360</v>
      </c>
      <c r="C44" s="845"/>
      <c r="D44" s="850">
        <f>SUM(D42:D43)</f>
        <v>0</v>
      </c>
    </row>
    <row r="45" spans="1:4" ht="7.5" customHeight="1">
      <c r="A45" s="844"/>
      <c r="B45" s="845"/>
      <c r="C45" s="845"/>
      <c r="D45" s="845"/>
    </row>
    <row r="46" spans="1:4" ht="14.25">
      <c r="A46" s="844">
        <v>33</v>
      </c>
      <c r="B46" s="845" t="s">
        <v>957</v>
      </c>
      <c r="C46" s="845"/>
      <c r="D46" s="850">
        <f>SUM(D11,D22,D39,D44,D34)</f>
        <v>2561432</v>
      </c>
    </row>
    <row r="47" spans="1:4" ht="7.5" customHeight="1">
      <c r="A47" s="844"/>
      <c r="B47" s="845"/>
      <c r="C47" s="845"/>
      <c r="D47" s="845"/>
    </row>
    <row r="48" spans="1:4" ht="14.25">
      <c r="A48" s="844">
        <v>34</v>
      </c>
      <c r="B48" s="1250" t="s">
        <v>958</v>
      </c>
      <c r="C48" s="1250"/>
      <c r="D48" s="1250"/>
    </row>
    <row r="49" spans="1:4" ht="30">
      <c r="A49" s="844">
        <v>35</v>
      </c>
      <c r="B49" s="853"/>
      <c r="C49" s="81" t="s">
        <v>959</v>
      </c>
      <c r="D49" s="849">
        <v>5000000</v>
      </c>
    </row>
    <row r="50" spans="1:4" ht="15">
      <c r="A50" s="844">
        <v>36</v>
      </c>
      <c r="B50" s="853"/>
      <c r="C50" s="81" t="s">
        <v>990</v>
      </c>
      <c r="D50" s="849">
        <v>4176519</v>
      </c>
    </row>
    <row r="51" spans="1:4" ht="6.75" customHeight="1">
      <c r="A51" s="844"/>
      <c r="B51" s="848"/>
      <c r="C51" s="81"/>
      <c r="D51" s="854"/>
    </row>
    <row r="52" spans="1:4" ht="14.25">
      <c r="A52" s="844">
        <v>37</v>
      </c>
      <c r="B52" s="845" t="s">
        <v>960</v>
      </c>
      <c r="C52" s="845"/>
      <c r="D52" s="850">
        <f>SUM(D49:D51)</f>
        <v>9176519</v>
      </c>
    </row>
    <row r="53" spans="1:4" ht="8.25" customHeight="1">
      <c r="A53" s="851"/>
      <c r="B53" s="852"/>
      <c r="C53" s="852"/>
      <c r="D53" s="847"/>
    </row>
    <row r="54" spans="1:4" ht="14.25">
      <c r="A54" s="844">
        <v>38</v>
      </c>
      <c r="B54" s="845" t="s">
        <v>961</v>
      </c>
      <c r="C54" s="845"/>
      <c r="D54" s="850">
        <f>SUM(D52,D46)</f>
        <v>11737951</v>
      </c>
    </row>
  </sheetData>
  <sheetProtection/>
  <mergeCells count="10">
    <mergeCell ref="B13:D13"/>
    <mergeCell ref="B48:D48"/>
    <mergeCell ref="B36:D36"/>
    <mergeCell ref="B41:D41"/>
    <mergeCell ref="C1:D1"/>
    <mergeCell ref="B3:D3"/>
    <mergeCell ref="B4:D4"/>
    <mergeCell ref="A7:A8"/>
    <mergeCell ref="B7:C7"/>
    <mergeCell ref="B8:C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125" style="855" bestFit="1" customWidth="1"/>
    <col min="2" max="2" width="14.625" style="856" customWidth="1"/>
    <col min="3" max="9" width="16.75390625" style="856" customWidth="1"/>
  </cols>
  <sheetData>
    <row r="1" ht="15.75">
      <c r="I1" s="857" t="s">
        <v>1144</v>
      </c>
    </row>
    <row r="3" spans="1:9" ht="29.25" customHeight="1">
      <c r="A3" s="1251" t="s">
        <v>962</v>
      </c>
      <c r="B3" s="1252"/>
      <c r="C3" s="1252"/>
      <c r="D3" s="1252"/>
      <c r="E3" s="1252"/>
      <c r="F3" s="1252"/>
      <c r="G3" s="1252"/>
      <c r="H3" s="1252"/>
      <c r="I3" s="1252"/>
    </row>
    <row r="4" spans="2:9" ht="16.5" thickBot="1">
      <c r="B4" s="858"/>
      <c r="C4" s="858"/>
      <c r="D4" s="858"/>
      <c r="E4" s="858"/>
      <c r="F4" s="858"/>
      <c r="G4" s="858"/>
      <c r="H4" s="858"/>
      <c r="I4" s="858"/>
    </row>
    <row r="5" spans="1:9" ht="15.75">
      <c r="A5" s="1253" t="s">
        <v>426</v>
      </c>
      <c r="B5" s="1255" t="s">
        <v>963</v>
      </c>
      <c r="C5" s="1255" t="s">
        <v>964</v>
      </c>
      <c r="D5" s="1255"/>
      <c r="E5" s="1255"/>
      <c r="F5" s="1255"/>
      <c r="G5" s="1255"/>
      <c r="H5" s="1255"/>
      <c r="I5" s="1257" t="s">
        <v>415</v>
      </c>
    </row>
    <row r="6" spans="1:9" ht="102">
      <c r="A6" s="1254"/>
      <c r="B6" s="1256"/>
      <c r="C6" s="860" t="s">
        <v>965</v>
      </c>
      <c r="D6" s="860" t="s">
        <v>966</v>
      </c>
      <c r="E6" s="860" t="s">
        <v>967</v>
      </c>
      <c r="F6" s="860" t="s">
        <v>968</v>
      </c>
      <c r="G6" s="860" t="s">
        <v>969</v>
      </c>
      <c r="H6" s="860" t="s">
        <v>970</v>
      </c>
      <c r="I6" s="1258"/>
    </row>
    <row r="7" spans="1:9" ht="12.75">
      <c r="A7" s="1254"/>
      <c r="B7" s="861" t="s">
        <v>420</v>
      </c>
      <c r="C7" s="862" t="s">
        <v>421</v>
      </c>
      <c r="D7" s="862" t="s">
        <v>422</v>
      </c>
      <c r="E7" s="862" t="s">
        <v>423</v>
      </c>
      <c r="F7" s="862" t="s">
        <v>424</v>
      </c>
      <c r="G7" s="862" t="s">
        <v>425</v>
      </c>
      <c r="H7" s="862" t="s">
        <v>427</v>
      </c>
      <c r="I7" s="863" t="s">
        <v>428</v>
      </c>
    </row>
    <row r="8" spans="1:9" ht="15.75">
      <c r="A8" s="859">
        <v>1</v>
      </c>
      <c r="B8" s="864" t="s">
        <v>437</v>
      </c>
      <c r="C8" s="865">
        <v>202400000</v>
      </c>
      <c r="D8" s="866">
        <f>47852282+1066203</f>
        <v>48918485</v>
      </c>
      <c r="E8" s="866">
        <v>3000</v>
      </c>
      <c r="F8" s="866"/>
      <c r="G8" s="865">
        <v>1145000</v>
      </c>
      <c r="H8" s="866"/>
      <c r="I8" s="867">
        <f>SUM(C8:H8)</f>
        <v>252466485</v>
      </c>
    </row>
    <row r="9" spans="1:9" ht="15.75">
      <c r="A9" s="859">
        <v>2</v>
      </c>
      <c r="B9" s="864" t="s">
        <v>438</v>
      </c>
      <c r="C9" s="868">
        <v>202000000</v>
      </c>
      <c r="D9" s="869">
        <v>10000000</v>
      </c>
      <c r="E9" s="866">
        <v>3000</v>
      </c>
      <c r="F9" s="869"/>
      <c r="G9" s="868">
        <v>800000</v>
      </c>
      <c r="H9" s="866"/>
      <c r="I9" s="867">
        <f>SUM(C9:H9)</f>
        <v>212803000</v>
      </c>
    </row>
    <row r="10" spans="1:9" ht="15.75">
      <c r="A10" s="859">
        <v>3</v>
      </c>
      <c r="B10" s="864" t="s">
        <v>439</v>
      </c>
      <c r="C10" s="868">
        <v>204000000</v>
      </c>
      <c r="D10" s="869">
        <v>8000000</v>
      </c>
      <c r="E10" s="866">
        <v>3000</v>
      </c>
      <c r="F10" s="869"/>
      <c r="G10" s="868">
        <v>700000</v>
      </c>
      <c r="H10" s="866"/>
      <c r="I10" s="867">
        <f>SUM(C10:H10)</f>
        <v>212703000</v>
      </c>
    </row>
    <row r="11" spans="1:9" ht="15.75">
      <c r="A11" s="859">
        <v>4</v>
      </c>
      <c r="B11" s="864" t="s">
        <v>440</v>
      </c>
      <c r="C11" s="868">
        <v>208000000</v>
      </c>
      <c r="D11" s="869">
        <v>6000000</v>
      </c>
      <c r="E11" s="866">
        <v>3000</v>
      </c>
      <c r="F11" s="869">
        <v>100000</v>
      </c>
      <c r="G11" s="868">
        <v>350000</v>
      </c>
      <c r="H11" s="866"/>
      <c r="I11" s="867">
        <f>SUM(C11:H11)</f>
        <v>214453000</v>
      </c>
    </row>
    <row r="12" spans="1:9" ht="16.5" thickBot="1">
      <c r="A12" s="870">
        <v>5</v>
      </c>
      <c r="B12" s="871" t="s">
        <v>441</v>
      </c>
      <c r="C12" s="872">
        <v>210000000</v>
      </c>
      <c r="D12" s="873">
        <v>6000000</v>
      </c>
      <c r="E12" s="873">
        <v>3000</v>
      </c>
      <c r="F12" s="873">
        <v>100000</v>
      </c>
      <c r="G12" s="872">
        <v>340000</v>
      </c>
      <c r="H12" s="874"/>
      <c r="I12" s="875">
        <f>SUM(C12:H12)</f>
        <v>216443000</v>
      </c>
    </row>
    <row r="14" ht="15.75">
      <c r="E14" s="876"/>
    </row>
  </sheetData>
  <sheetProtection/>
  <mergeCells count="5">
    <mergeCell ref="A3:I3"/>
    <mergeCell ref="A5:A7"/>
    <mergeCell ref="B5:B6"/>
    <mergeCell ref="C5:H5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57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5.125" style="35" bestFit="1" customWidth="1"/>
    <col min="2" max="2" width="8.875" style="31" customWidth="1"/>
    <col min="3" max="3" width="69.25390625" style="31" customWidth="1"/>
    <col min="4" max="4" width="9.75390625" style="31" bestFit="1" customWidth="1"/>
    <col min="5" max="5" width="10.375" style="31" bestFit="1" customWidth="1"/>
    <col min="6" max="6" width="16.125" style="31" bestFit="1" customWidth="1"/>
    <col min="7" max="7" width="9.75390625" style="31" bestFit="1" customWidth="1"/>
    <col min="8" max="8" width="11.25390625" style="31" customWidth="1"/>
    <col min="9" max="9" width="9.625" style="31" customWidth="1"/>
    <col min="10" max="10" width="11.25390625" style="31" customWidth="1"/>
    <col min="11" max="12" width="16.125" style="31" bestFit="1" customWidth="1"/>
    <col min="13" max="13" width="9.125" style="31" customWidth="1"/>
    <col min="14" max="14" width="12.375" style="31" bestFit="1" customWidth="1"/>
    <col min="15" max="16384" width="9.125" style="31" customWidth="1"/>
  </cols>
  <sheetData>
    <row r="1" spans="9:13" ht="15" customHeight="1">
      <c r="I1" s="541" t="s">
        <v>1145</v>
      </c>
      <c r="J1" s="135"/>
      <c r="K1" s="135"/>
      <c r="L1" s="540"/>
      <c r="M1" s="135"/>
    </row>
    <row r="2" spans="1:256" ht="15.75">
      <c r="A2" s="1266" t="s">
        <v>754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  <c r="L2" s="2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5.75">
      <c r="A3" s="1267" t="s">
        <v>940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2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ht="13.5" thickBot="1"/>
    <row r="5" spans="1:256" ht="12.75">
      <c r="A5" s="1268" t="s">
        <v>442</v>
      </c>
      <c r="B5" s="1268"/>
      <c r="C5" s="1269"/>
      <c r="D5" s="1270" t="s">
        <v>435</v>
      </c>
      <c r="E5" s="1268"/>
      <c r="F5" s="1271"/>
      <c r="G5" s="1272" t="s">
        <v>583</v>
      </c>
      <c r="H5" s="1273"/>
      <c r="I5" s="1273"/>
      <c r="J5" s="1274"/>
      <c r="K5" s="1275"/>
      <c r="L5" s="1261" t="s">
        <v>362</v>
      </c>
      <c r="M5" s="28"/>
      <c r="N5" s="28" t="s">
        <v>478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25.5">
      <c r="A6" s="1263" t="s">
        <v>443</v>
      </c>
      <c r="B6" s="1264"/>
      <c r="C6" s="23" t="s">
        <v>444</v>
      </c>
      <c r="D6" s="24" t="s">
        <v>445</v>
      </c>
      <c r="E6" s="26" t="s">
        <v>446</v>
      </c>
      <c r="F6" s="27" t="s">
        <v>477</v>
      </c>
      <c r="G6" s="24" t="s">
        <v>447</v>
      </c>
      <c r="H6" s="25" t="s">
        <v>458</v>
      </c>
      <c r="I6" s="25" t="s">
        <v>448</v>
      </c>
      <c r="J6" s="25" t="s">
        <v>458</v>
      </c>
      <c r="K6" s="27" t="s">
        <v>623</v>
      </c>
      <c r="L6" s="1262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2.75">
      <c r="A7" s="1265" t="s">
        <v>420</v>
      </c>
      <c r="B7" s="1265"/>
      <c r="C7" s="98" t="s">
        <v>421</v>
      </c>
      <c r="D7" s="99" t="s">
        <v>422</v>
      </c>
      <c r="E7" s="100" t="s">
        <v>423</v>
      </c>
      <c r="F7" s="101" t="s">
        <v>424</v>
      </c>
      <c r="G7" s="99" t="s">
        <v>425</v>
      </c>
      <c r="H7" s="102" t="s">
        <v>427</v>
      </c>
      <c r="I7" s="102" t="s">
        <v>428</v>
      </c>
      <c r="J7" s="102" t="s">
        <v>381</v>
      </c>
      <c r="K7" s="101" t="s">
        <v>382</v>
      </c>
      <c r="L7" s="128" t="s">
        <v>383</v>
      </c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2.75">
      <c r="A8" s="116" t="s">
        <v>465</v>
      </c>
      <c r="B8" s="117"/>
      <c r="C8" s="118" t="s">
        <v>475</v>
      </c>
      <c r="D8" s="119"/>
      <c r="E8" s="120"/>
      <c r="F8" s="121">
        <f>F9+F10+F15+F16+F17+F18</f>
        <v>200194231</v>
      </c>
      <c r="G8" s="119"/>
      <c r="H8" s="122"/>
      <c r="I8" s="122"/>
      <c r="J8" s="120"/>
      <c r="K8" s="121"/>
      <c r="L8" s="129">
        <f aca="true" t="shared" si="0" ref="L8:L14">F8+K8</f>
        <v>200194231</v>
      </c>
      <c r="M8" s="113"/>
      <c r="N8" s="131">
        <f>SUM(N9:N18)</f>
        <v>200194231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2.75">
      <c r="A9" s="107"/>
      <c r="B9" s="108" t="s">
        <v>518</v>
      </c>
      <c r="C9" s="109" t="s">
        <v>459</v>
      </c>
      <c r="D9" s="543">
        <v>26.34</v>
      </c>
      <c r="E9" s="544">
        <v>4580000</v>
      </c>
      <c r="F9" s="545">
        <f>D9*E9</f>
        <v>120637200</v>
      </c>
      <c r="G9" s="546"/>
      <c r="H9" s="547"/>
      <c r="I9" s="547"/>
      <c r="J9" s="544"/>
      <c r="K9" s="545"/>
      <c r="L9" s="548">
        <f t="shared" si="0"/>
        <v>120637200</v>
      </c>
      <c r="M9" s="110"/>
      <c r="N9" s="134">
        <f>SUM(L9)</f>
        <v>120637200</v>
      </c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ht="12.75">
      <c r="A10" s="107"/>
      <c r="B10" s="108" t="s">
        <v>519</v>
      </c>
      <c r="C10" s="109" t="s">
        <v>118</v>
      </c>
      <c r="D10" s="546"/>
      <c r="E10" s="544"/>
      <c r="F10" s="545">
        <f>SUM(F11:F14)</f>
        <v>63436320</v>
      </c>
      <c r="G10" s="546"/>
      <c r="H10" s="547"/>
      <c r="I10" s="547"/>
      <c r="J10" s="544"/>
      <c r="K10" s="545"/>
      <c r="L10" s="548">
        <f t="shared" si="0"/>
        <v>63436320</v>
      </c>
      <c r="M10" s="110"/>
      <c r="N10" s="134">
        <f>SUM(L11:L14)</f>
        <v>63436320</v>
      </c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14" ht="12.75">
      <c r="A11" s="29"/>
      <c r="B11" s="105" t="s">
        <v>520</v>
      </c>
      <c r="C11" s="106" t="s">
        <v>460</v>
      </c>
      <c r="D11" s="549"/>
      <c r="E11" s="550"/>
      <c r="F11" s="551">
        <v>18207950</v>
      </c>
      <c r="G11" s="549"/>
      <c r="H11" s="552"/>
      <c r="I11" s="552"/>
      <c r="J11" s="550"/>
      <c r="K11" s="551"/>
      <c r="L11" s="553">
        <f t="shared" si="0"/>
        <v>18207950</v>
      </c>
      <c r="M11" s="30"/>
      <c r="N11" s="134"/>
    </row>
    <row r="12" spans="1:14" ht="12.75">
      <c r="A12" s="29"/>
      <c r="B12" s="105" t="s">
        <v>521</v>
      </c>
      <c r="C12" s="106" t="s">
        <v>461</v>
      </c>
      <c r="D12" s="549"/>
      <c r="E12" s="550"/>
      <c r="F12" s="551">
        <v>30176000</v>
      </c>
      <c r="G12" s="549"/>
      <c r="H12" s="552"/>
      <c r="I12" s="552"/>
      <c r="J12" s="550"/>
      <c r="K12" s="551"/>
      <c r="L12" s="553">
        <f t="shared" si="0"/>
        <v>30176000</v>
      </c>
      <c r="M12" s="30"/>
      <c r="N12" s="134"/>
    </row>
    <row r="13" spans="1:14" ht="12.75">
      <c r="A13" s="29"/>
      <c r="B13" s="105" t="s">
        <v>522</v>
      </c>
      <c r="C13" s="106" t="s">
        <v>462</v>
      </c>
      <c r="D13" s="549"/>
      <c r="E13" s="550"/>
      <c r="F13" s="551">
        <v>0</v>
      </c>
      <c r="G13" s="549"/>
      <c r="H13" s="552"/>
      <c r="I13" s="552"/>
      <c r="J13" s="550"/>
      <c r="K13" s="551"/>
      <c r="L13" s="553">
        <f t="shared" si="0"/>
        <v>0</v>
      </c>
      <c r="M13" s="30"/>
      <c r="N13" s="134"/>
    </row>
    <row r="14" spans="1:14" ht="12.75">
      <c r="A14" s="29"/>
      <c r="B14" s="105" t="s">
        <v>523</v>
      </c>
      <c r="C14" s="106" t="s">
        <v>463</v>
      </c>
      <c r="D14" s="549"/>
      <c r="E14" s="550"/>
      <c r="F14" s="551">
        <v>15052370</v>
      </c>
      <c r="G14" s="549"/>
      <c r="H14" s="552"/>
      <c r="I14" s="552"/>
      <c r="J14" s="550"/>
      <c r="K14" s="551"/>
      <c r="L14" s="553">
        <f t="shared" si="0"/>
        <v>15052370</v>
      </c>
      <c r="M14" s="30"/>
      <c r="N14" s="134"/>
    </row>
    <row r="15" spans="1:256" ht="12.75">
      <c r="A15" s="107"/>
      <c r="B15" s="108" t="s">
        <v>524</v>
      </c>
      <c r="C15" s="112" t="s">
        <v>119</v>
      </c>
      <c r="D15" s="546"/>
      <c r="E15" s="544">
        <v>2700</v>
      </c>
      <c r="F15" s="545">
        <v>13441039</v>
      </c>
      <c r="G15" s="546"/>
      <c r="H15" s="547"/>
      <c r="I15" s="547"/>
      <c r="J15" s="544"/>
      <c r="K15" s="545"/>
      <c r="L15" s="548">
        <f>F15+K15</f>
        <v>13441039</v>
      </c>
      <c r="M15" s="110"/>
      <c r="N15" s="134">
        <f>SUM(L15)</f>
        <v>13441039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2.75">
      <c r="A16" s="107"/>
      <c r="B16" s="108" t="s">
        <v>525</v>
      </c>
      <c r="C16" s="112" t="s">
        <v>93</v>
      </c>
      <c r="D16" s="546">
        <v>307</v>
      </c>
      <c r="E16" s="544">
        <v>2550</v>
      </c>
      <c r="F16" s="545">
        <f>D16*E16</f>
        <v>782850</v>
      </c>
      <c r="G16" s="546"/>
      <c r="H16" s="547"/>
      <c r="I16" s="547"/>
      <c r="J16" s="544"/>
      <c r="K16" s="545"/>
      <c r="L16" s="548">
        <f>F16+K16</f>
        <v>782850</v>
      </c>
      <c r="M16" s="110"/>
      <c r="N16" s="134">
        <f>SUM(L16)</f>
        <v>782850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2.75">
      <c r="A17" s="107"/>
      <c r="B17" s="108" t="s">
        <v>752</v>
      </c>
      <c r="C17" s="112" t="s">
        <v>751</v>
      </c>
      <c r="D17" s="546"/>
      <c r="E17" s="544"/>
      <c r="F17" s="545">
        <v>140422</v>
      </c>
      <c r="G17" s="546"/>
      <c r="H17" s="547"/>
      <c r="I17" s="547"/>
      <c r="J17" s="544"/>
      <c r="K17" s="545"/>
      <c r="L17" s="548">
        <f>F17+K17</f>
        <v>140422</v>
      </c>
      <c r="M17" s="110"/>
      <c r="N17" s="134">
        <f>SUM(L17)</f>
        <v>140422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2.75">
      <c r="A18" s="107"/>
      <c r="B18" s="108" t="s">
        <v>526</v>
      </c>
      <c r="C18" s="112" t="s">
        <v>753</v>
      </c>
      <c r="D18" s="546"/>
      <c r="E18" s="544"/>
      <c r="F18" s="545">
        <v>1756400</v>
      </c>
      <c r="G18" s="546"/>
      <c r="H18" s="547"/>
      <c r="I18" s="547"/>
      <c r="J18" s="544"/>
      <c r="K18" s="545"/>
      <c r="L18" s="548">
        <f>F18+K18</f>
        <v>1756400</v>
      </c>
      <c r="M18" s="110"/>
      <c r="N18" s="134">
        <f>SUM(L18)</f>
        <v>1756400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14" ht="25.5">
      <c r="A19" s="116" t="s">
        <v>464</v>
      </c>
      <c r="B19" s="123"/>
      <c r="C19" s="118" t="s">
        <v>120</v>
      </c>
      <c r="D19" s="554"/>
      <c r="E19" s="555"/>
      <c r="F19" s="121"/>
      <c r="G19" s="554"/>
      <c r="H19" s="556"/>
      <c r="I19" s="556"/>
      <c r="J19" s="555"/>
      <c r="K19" s="121">
        <f>K20+K23+K24+K25</f>
        <v>114317568</v>
      </c>
      <c r="L19" s="129">
        <f>F19+K19</f>
        <v>114317568</v>
      </c>
      <c r="M19" s="30"/>
      <c r="N19" s="131">
        <f>SUM(N20:N29)</f>
        <v>114317568</v>
      </c>
    </row>
    <row r="20" spans="1:256" ht="25.5">
      <c r="A20" s="115"/>
      <c r="B20" s="108" t="s">
        <v>466</v>
      </c>
      <c r="C20" s="109" t="s">
        <v>121</v>
      </c>
      <c r="D20" s="546"/>
      <c r="E20" s="544"/>
      <c r="F20" s="545"/>
      <c r="G20" s="546"/>
      <c r="H20" s="547"/>
      <c r="I20" s="547"/>
      <c r="J20" s="544"/>
      <c r="K20" s="545">
        <f>SUM(K21:K22)</f>
        <v>93484500</v>
      </c>
      <c r="L20" s="548">
        <f>SUM(K20,F20)</f>
        <v>93484500</v>
      </c>
      <c r="M20" s="110"/>
      <c r="N20" s="134">
        <f>SUM(L21:L22)</f>
        <v>93484500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14" ht="12.75">
      <c r="A21" s="29"/>
      <c r="B21" s="105" t="s">
        <v>755</v>
      </c>
      <c r="C21" s="106" t="s">
        <v>467</v>
      </c>
      <c r="D21" s="549"/>
      <c r="E21" s="550"/>
      <c r="F21" s="551"/>
      <c r="G21" s="557">
        <v>16.1</v>
      </c>
      <c r="H21" s="552">
        <v>4419000</v>
      </c>
      <c r="I21" s="558">
        <v>14.3</v>
      </c>
      <c r="J21" s="552">
        <v>4419000</v>
      </c>
      <c r="K21" s="551">
        <f>47430600+21063900</f>
        <v>68494500</v>
      </c>
      <c r="L21" s="553">
        <f aca="true" t="shared" si="1" ref="L21:L49">F21+K21</f>
        <v>68494500</v>
      </c>
      <c r="M21" s="30"/>
      <c r="N21" s="134"/>
    </row>
    <row r="22" spans="1:14" ht="25.5">
      <c r="A22" s="29"/>
      <c r="B22" s="105" t="s">
        <v>756</v>
      </c>
      <c r="C22" s="133" t="s">
        <v>585</v>
      </c>
      <c r="D22" s="549"/>
      <c r="E22" s="550"/>
      <c r="F22" s="551"/>
      <c r="G22" s="549">
        <v>12</v>
      </c>
      <c r="H22" s="552">
        <v>2205000</v>
      </c>
      <c r="I22" s="552">
        <v>10</v>
      </c>
      <c r="J22" s="550">
        <v>2205000</v>
      </c>
      <c r="K22" s="551">
        <f>17640000+7350000</f>
        <v>24990000</v>
      </c>
      <c r="L22" s="553">
        <f t="shared" si="1"/>
        <v>24990000</v>
      </c>
      <c r="M22" s="30"/>
      <c r="N22" s="134"/>
    </row>
    <row r="23" spans="1:256" ht="12.75">
      <c r="A23" s="107"/>
      <c r="B23" s="108" t="s">
        <v>468</v>
      </c>
      <c r="C23" s="112" t="s">
        <v>469</v>
      </c>
      <c r="D23" s="559"/>
      <c r="E23" s="560"/>
      <c r="F23" s="545"/>
      <c r="G23" s="561">
        <v>178</v>
      </c>
      <c r="H23" s="547">
        <v>81700</v>
      </c>
      <c r="I23" s="562">
        <v>160</v>
      </c>
      <c r="J23" s="544">
        <v>81700</v>
      </c>
      <c r="K23" s="545">
        <f>9695067+4357333</f>
        <v>14052400</v>
      </c>
      <c r="L23" s="548">
        <f t="shared" si="1"/>
        <v>14052400</v>
      </c>
      <c r="M23" s="110"/>
      <c r="N23" s="134">
        <f>SUM(L23)</f>
        <v>14052400</v>
      </c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ht="12.75">
      <c r="A24" s="107"/>
      <c r="B24" s="108" t="s">
        <v>624</v>
      </c>
      <c r="C24" s="112" t="s">
        <v>625</v>
      </c>
      <c r="D24" s="563"/>
      <c r="E24" s="564"/>
      <c r="F24" s="545"/>
      <c r="G24" s="561"/>
      <c r="H24" s="547"/>
      <c r="I24" s="562"/>
      <c r="J24" s="544"/>
      <c r="K24" s="545">
        <v>0</v>
      </c>
      <c r="L24" s="548">
        <f>F24+K24</f>
        <v>0</v>
      </c>
      <c r="M24" s="110"/>
      <c r="N24" s="134">
        <f>SUM(L24)</f>
        <v>0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ht="25.5">
      <c r="A25" s="107"/>
      <c r="B25" s="108" t="s">
        <v>527</v>
      </c>
      <c r="C25" s="109" t="s">
        <v>528</v>
      </c>
      <c r="D25" s="559"/>
      <c r="E25" s="560"/>
      <c r="F25" s="545"/>
      <c r="G25" s="561"/>
      <c r="H25" s="547"/>
      <c r="I25" s="562"/>
      <c r="J25" s="544"/>
      <c r="K25" s="545">
        <f>SUM(K26:K29)</f>
        <v>6780668</v>
      </c>
      <c r="L25" s="548">
        <f>F25+K25</f>
        <v>6780668</v>
      </c>
      <c r="M25" s="110"/>
      <c r="N25" s="827">
        <f>SUM(L26:L29)</f>
        <v>6780668</v>
      </c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14" ht="25.5">
      <c r="A26" s="29"/>
      <c r="B26" s="105" t="s">
        <v>626</v>
      </c>
      <c r="C26" s="133" t="s">
        <v>757</v>
      </c>
      <c r="D26" s="549"/>
      <c r="E26" s="550"/>
      <c r="F26" s="551"/>
      <c r="G26" s="549">
        <v>9</v>
      </c>
      <c r="H26" s="552">
        <v>401000</v>
      </c>
      <c r="I26" s="552"/>
      <c r="J26" s="550"/>
      <c r="K26" s="551">
        <f>G26*H26</f>
        <v>3609000</v>
      </c>
      <c r="L26" s="553">
        <f>SUM(K26)</f>
        <v>3609000</v>
      </c>
      <c r="M26" s="30"/>
      <c r="N26" s="134"/>
    </row>
    <row r="27" spans="1:14" ht="38.25">
      <c r="A27" s="29"/>
      <c r="B27" s="105"/>
      <c r="C27" s="133" t="s">
        <v>826</v>
      </c>
      <c r="D27" s="549"/>
      <c r="E27" s="550"/>
      <c r="F27" s="551"/>
      <c r="G27" s="549">
        <v>1</v>
      </c>
      <c r="H27" s="552">
        <v>367584</v>
      </c>
      <c r="I27" s="552"/>
      <c r="J27" s="550"/>
      <c r="K27" s="551">
        <f>G27*H27</f>
        <v>367584</v>
      </c>
      <c r="L27" s="553">
        <f>SUM(K27)</f>
        <v>367584</v>
      </c>
      <c r="M27" s="30"/>
      <c r="N27" s="134"/>
    </row>
    <row r="28" spans="1:14" ht="25.5">
      <c r="A28" s="29"/>
      <c r="B28" s="105" t="s">
        <v>627</v>
      </c>
      <c r="C28" s="133" t="s">
        <v>758</v>
      </c>
      <c r="D28" s="549"/>
      <c r="E28" s="550"/>
      <c r="F28" s="551"/>
      <c r="G28" s="549">
        <v>1</v>
      </c>
      <c r="H28" s="552">
        <v>1463000</v>
      </c>
      <c r="I28" s="552"/>
      <c r="J28" s="550"/>
      <c r="K28" s="551">
        <f>G28*H28</f>
        <v>1463000</v>
      </c>
      <c r="L28" s="553">
        <f>SUM(K28)</f>
        <v>1463000</v>
      </c>
      <c r="M28" s="30"/>
      <c r="N28" s="134"/>
    </row>
    <row r="29" spans="1:14" ht="38.25">
      <c r="A29" s="29"/>
      <c r="B29" s="105"/>
      <c r="C29" s="133" t="s">
        <v>827</v>
      </c>
      <c r="D29" s="549"/>
      <c r="E29" s="550"/>
      <c r="F29" s="551"/>
      <c r="G29" s="549">
        <v>1</v>
      </c>
      <c r="H29" s="552">
        <v>1341084</v>
      </c>
      <c r="I29" s="552"/>
      <c r="J29" s="550"/>
      <c r="K29" s="551">
        <f>G29*H29</f>
        <v>1341084</v>
      </c>
      <c r="L29" s="553">
        <f>SUM(K29)</f>
        <v>1341084</v>
      </c>
      <c r="M29" s="30"/>
      <c r="N29" s="134"/>
    </row>
    <row r="30" spans="1:256" ht="25.5">
      <c r="A30" s="116" t="s">
        <v>470</v>
      </c>
      <c r="B30" s="124"/>
      <c r="C30" s="118" t="s">
        <v>122</v>
      </c>
      <c r="D30" s="119"/>
      <c r="E30" s="120"/>
      <c r="F30" s="121">
        <f>SUM(F31:F33,F36,F39,F40)</f>
        <v>135673125</v>
      </c>
      <c r="G30" s="565"/>
      <c r="H30" s="122"/>
      <c r="I30" s="566"/>
      <c r="J30" s="120"/>
      <c r="K30" s="121">
        <f>SUM(K31:K33,K36,K39,K40)</f>
        <v>39261584</v>
      </c>
      <c r="L30" s="121">
        <f>SUM(L31:L33,L36,L39,L40)</f>
        <v>174934709</v>
      </c>
      <c r="M30" s="110"/>
      <c r="N30" s="131">
        <f>SUM(N31:N33)+N36+N39+N40</f>
        <v>174934709</v>
      </c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ht="12.75">
      <c r="A31" s="107"/>
      <c r="B31" s="108" t="s">
        <v>471</v>
      </c>
      <c r="C31" s="112" t="s">
        <v>628</v>
      </c>
      <c r="D31" s="559"/>
      <c r="E31" s="560"/>
      <c r="F31" s="545"/>
      <c r="G31" s="561"/>
      <c r="H31" s="547"/>
      <c r="I31" s="562"/>
      <c r="J31" s="544"/>
      <c r="K31" s="545">
        <v>9189220</v>
      </c>
      <c r="L31" s="548">
        <f t="shared" si="1"/>
        <v>9189220</v>
      </c>
      <c r="M31" s="110"/>
      <c r="N31" s="134">
        <f>SUM(L31)</f>
        <v>9189220</v>
      </c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ht="12.75">
      <c r="A32" s="107"/>
      <c r="B32" s="108" t="s">
        <v>472</v>
      </c>
      <c r="C32" s="112" t="s">
        <v>529</v>
      </c>
      <c r="D32" s="559"/>
      <c r="E32" s="560"/>
      <c r="F32" s="545">
        <v>63778000</v>
      </c>
      <c r="G32" s="561"/>
      <c r="H32" s="547"/>
      <c r="I32" s="562"/>
      <c r="J32" s="544"/>
      <c r="K32" s="545"/>
      <c r="L32" s="548">
        <f t="shared" si="1"/>
        <v>63778000</v>
      </c>
      <c r="M32" s="110"/>
      <c r="N32" s="134">
        <f>SUM(L32)</f>
        <v>63778000</v>
      </c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ht="12.75">
      <c r="A33" s="107"/>
      <c r="B33" s="108" t="s">
        <v>473</v>
      </c>
      <c r="C33" s="112" t="s">
        <v>474</v>
      </c>
      <c r="D33" s="559"/>
      <c r="E33" s="560"/>
      <c r="F33" s="545">
        <f>SUM(F34:F35)</f>
        <v>0</v>
      </c>
      <c r="G33" s="561"/>
      <c r="H33" s="547"/>
      <c r="I33" s="562"/>
      <c r="J33" s="544"/>
      <c r="K33" s="545">
        <f>SUM(K34:K35)</f>
        <v>18590000</v>
      </c>
      <c r="L33" s="548">
        <f t="shared" si="1"/>
        <v>18590000</v>
      </c>
      <c r="M33" s="110"/>
      <c r="N33" s="134">
        <f>SUM(L34:L35)</f>
        <v>18590000</v>
      </c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14" ht="12.75">
      <c r="A34" s="29"/>
      <c r="B34" s="105" t="s">
        <v>586</v>
      </c>
      <c r="C34" s="106" t="s">
        <v>587</v>
      </c>
      <c r="D34" s="549"/>
      <c r="E34" s="550"/>
      <c r="F34" s="551"/>
      <c r="G34" s="567"/>
      <c r="H34" s="552"/>
      <c r="I34" s="568"/>
      <c r="J34" s="550"/>
      <c r="K34" s="551">
        <v>3740000</v>
      </c>
      <c r="L34" s="553">
        <f t="shared" si="1"/>
        <v>3740000</v>
      </c>
      <c r="M34" s="30"/>
      <c r="N34" s="30"/>
    </row>
    <row r="35" spans="1:14" ht="12.75">
      <c r="A35" s="29"/>
      <c r="B35" s="105" t="s">
        <v>589</v>
      </c>
      <c r="C35" s="106" t="s">
        <v>588</v>
      </c>
      <c r="D35" s="549"/>
      <c r="E35" s="550"/>
      <c r="F35" s="551"/>
      <c r="G35" s="567"/>
      <c r="H35" s="552"/>
      <c r="I35" s="568"/>
      <c r="J35" s="550"/>
      <c r="K35" s="551">
        <v>14850000</v>
      </c>
      <c r="L35" s="553">
        <f t="shared" si="1"/>
        <v>14850000</v>
      </c>
      <c r="M35" s="30"/>
      <c r="N35" s="30"/>
    </row>
    <row r="36" spans="1:256" ht="12.75">
      <c r="A36" s="107"/>
      <c r="B36" s="108" t="s">
        <v>123</v>
      </c>
      <c r="C36" s="112" t="s">
        <v>768</v>
      </c>
      <c r="D36" s="559"/>
      <c r="E36" s="560"/>
      <c r="F36" s="545">
        <f>SUM(F37:F38)</f>
        <v>69780425</v>
      </c>
      <c r="G36" s="561"/>
      <c r="H36" s="547"/>
      <c r="I36" s="562"/>
      <c r="J36" s="544"/>
      <c r="K36" s="545">
        <f>SUM(K37:K39)</f>
        <v>0</v>
      </c>
      <c r="L36" s="548">
        <f t="shared" si="1"/>
        <v>69780425</v>
      </c>
      <c r="M36" s="110"/>
      <c r="N36" s="134">
        <f>SUM(L37:L38)</f>
        <v>69780425</v>
      </c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14" ht="12.75">
      <c r="A37" s="29"/>
      <c r="B37" s="105" t="s">
        <v>530</v>
      </c>
      <c r="C37" s="133" t="s">
        <v>769</v>
      </c>
      <c r="D37" s="569">
        <v>12.6</v>
      </c>
      <c r="E37" s="570">
        <v>1900000</v>
      </c>
      <c r="F37" s="551">
        <f>E37*D37</f>
        <v>23940000</v>
      </c>
      <c r="G37" s="557"/>
      <c r="H37" s="552"/>
      <c r="I37" s="558"/>
      <c r="J37" s="550"/>
      <c r="K37" s="551"/>
      <c r="L37" s="571">
        <f t="shared" si="1"/>
        <v>23940000</v>
      </c>
      <c r="M37" s="30"/>
      <c r="N37" s="134"/>
    </row>
    <row r="38" spans="1:14" ht="12.75">
      <c r="A38" s="29"/>
      <c r="B38" s="105" t="s">
        <v>124</v>
      </c>
      <c r="C38" s="133" t="s">
        <v>125</v>
      </c>
      <c r="D38" s="569"/>
      <c r="E38" s="550"/>
      <c r="F38" s="551">
        <v>45840425</v>
      </c>
      <c r="G38" s="549"/>
      <c r="H38" s="552"/>
      <c r="I38" s="552"/>
      <c r="J38" s="550"/>
      <c r="K38" s="551"/>
      <c r="L38" s="571">
        <f>F38+K38</f>
        <v>45840425</v>
      </c>
      <c r="M38" s="30"/>
      <c r="N38" s="30"/>
    </row>
    <row r="39" spans="1:256" ht="12.75">
      <c r="A39" s="107"/>
      <c r="B39" s="108" t="s">
        <v>759</v>
      </c>
      <c r="C39" s="112" t="s">
        <v>770</v>
      </c>
      <c r="D39" s="559">
        <v>3710</v>
      </c>
      <c r="E39" s="560">
        <v>570</v>
      </c>
      <c r="F39" s="545">
        <f>D39*E39</f>
        <v>2114700</v>
      </c>
      <c r="G39" s="561"/>
      <c r="H39" s="547"/>
      <c r="I39" s="562"/>
      <c r="J39" s="544"/>
      <c r="K39" s="545"/>
      <c r="L39" s="548">
        <f t="shared" si="1"/>
        <v>2114700</v>
      </c>
      <c r="M39" s="110"/>
      <c r="N39" s="134">
        <f>SUM(L39)</f>
        <v>2114700</v>
      </c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1"/>
      <c r="IN39" s="111"/>
      <c r="IO39" s="111"/>
      <c r="IP39" s="111"/>
      <c r="IQ39" s="111"/>
      <c r="IR39" s="111"/>
      <c r="IS39" s="111"/>
      <c r="IT39" s="111"/>
      <c r="IU39" s="111"/>
      <c r="IV39" s="111"/>
    </row>
    <row r="40" spans="1:256" ht="12.75">
      <c r="A40" s="107"/>
      <c r="B40" s="108" t="s">
        <v>760</v>
      </c>
      <c r="C40" s="112" t="s">
        <v>761</v>
      </c>
      <c r="D40" s="559"/>
      <c r="E40" s="560"/>
      <c r="F40" s="545"/>
      <c r="G40" s="561"/>
      <c r="H40" s="547"/>
      <c r="I40" s="562"/>
      <c r="J40" s="544"/>
      <c r="K40" s="545">
        <f>SUM(K41:K44)</f>
        <v>11482364</v>
      </c>
      <c r="L40" s="548">
        <f t="shared" si="1"/>
        <v>11482364</v>
      </c>
      <c r="M40" s="110"/>
      <c r="N40" s="134">
        <f>SUM(L40:M40)</f>
        <v>11482364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  <c r="IR40" s="111"/>
      <c r="IS40" s="111"/>
      <c r="IT40" s="111"/>
      <c r="IU40" s="111"/>
      <c r="IV40" s="111"/>
    </row>
    <row r="41" spans="1:14" ht="12.75">
      <c r="A41" s="29"/>
      <c r="B41" s="105" t="s">
        <v>762</v>
      </c>
      <c r="C41" s="133" t="s">
        <v>763</v>
      </c>
      <c r="D41" s="569"/>
      <c r="E41" s="550"/>
      <c r="F41" s="551"/>
      <c r="G41" s="549">
        <v>1</v>
      </c>
      <c r="H41" s="552">
        <v>4419000</v>
      </c>
      <c r="I41" s="552"/>
      <c r="J41" s="550"/>
      <c r="K41" s="551">
        <f>G41*H41</f>
        <v>4419000</v>
      </c>
      <c r="L41" s="571">
        <f>SUM(K41,F41)</f>
        <v>4419000</v>
      </c>
      <c r="M41" s="30"/>
      <c r="N41" s="30"/>
    </row>
    <row r="42" spans="1:14" ht="25.5">
      <c r="A42" s="29"/>
      <c r="B42" s="105" t="s">
        <v>764</v>
      </c>
      <c r="C42" s="133" t="s">
        <v>765</v>
      </c>
      <c r="D42" s="569"/>
      <c r="E42" s="550"/>
      <c r="F42" s="551"/>
      <c r="G42" s="549">
        <v>2</v>
      </c>
      <c r="H42" s="552">
        <v>2993000</v>
      </c>
      <c r="I42" s="552"/>
      <c r="J42" s="550"/>
      <c r="K42" s="551">
        <f>G42*H42</f>
        <v>5986000</v>
      </c>
      <c r="L42" s="571">
        <f t="shared" si="1"/>
        <v>5986000</v>
      </c>
      <c r="M42" s="30"/>
      <c r="N42" s="30"/>
    </row>
    <row r="43" spans="1:14" ht="12.75">
      <c r="A43" s="29"/>
      <c r="B43" s="105" t="s">
        <v>766</v>
      </c>
      <c r="C43" s="133" t="s">
        <v>767</v>
      </c>
      <c r="D43" s="569"/>
      <c r="E43" s="550"/>
      <c r="F43" s="551"/>
      <c r="G43" s="549"/>
      <c r="H43" s="552"/>
      <c r="I43" s="552"/>
      <c r="J43" s="550"/>
      <c r="K43" s="551">
        <v>882000</v>
      </c>
      <c r="L43" s="571">
        <f t="shared" si="1"/>
        <v>882000</v>
      </c>
      <c r="M43" s="30"/>
      <c r="N43" s="30"/>
    </row>
    <row r="44" spans="1:14" ht="25.5">
      <c r="A44" s="29"/>
      <c r="B44" s="105"/>
      <c r="C44" s="133" t="s">
        <v>938</v>
      </c>
      <c r="D44" s="569"/>
      <c r="E44" s="550"/>
      <c r="F44" s="551"/>
      <c r="G44" s="549"/>
      <c r="H44" s="552"/>
      <c r="I44" s="552"/>
      <c r="J44" s="550"/>
      <c r="K44" s="551">
        <v>195364</v>
      </c>
      <c r="L44" s="571">
        <f t="shared" si="1"/>
        <v>195364</v>
      </c>
      <c r="M44" s="30"/>
      <c r="N44" s="30"/>
    </row>
    <row r="45" spans="1:256" ht="12.75">
      <c r="A45" s="116" t="s">
        <v>476</v>
      </c>
      <c r="B45" s="124"/>
      <c r="C45" s="118" t="s">
        <v>457</v>
      </c>
      <c r="D45" s="119"/>
      <c r="E45" s="120"/>
      <c r="F45" s="121">
        <f>SUM(F47:F49)</f>
        <v>11761173</v>
      </c>
      <c r="G45" s="565"/>
      <c r="H45" s="122"/>
      <c r="I45" s="566"/>
      <c r="J45" s="120"/>
      <c r="K45" s="121"/>
      <c r="L45" s="129">
        <f t="shared" si="1"/>
        <v>11761173</v>
      </c>
      <c r="M45" s="110"/>
      <c r="N45" s="130">
        <f>SUM(L47:L49)</f>
        <v>11761173</v>
      </c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  <c r="IR45" s="111"/>
      <c r="IS45" s="111"/>
      <c r="IT45" s="111"/>
      <c r="IU45" s="111"/>
      <c r="IV45" s="111"/>
    </row>
    <row r="46" spans="1:256" ht="12.75">
      <c r="A46" s="107"/>
      <c r="B46" s="108" t="s">
        <v>532</v>
      </c>
      <c r="C46" s="112" t="s">
        <v>533</v>
      </c>
      <c r="D46" s="559"/>
      <c r="E46" s="560"/>
      <c r="F46" s="545"/>
      <c r="G46" s="561"/>
      <c r="H46" s="547"/>
      <c r="I46" s="562"/>
      <c r="J46" s="544"/>
      <c r="K46" s="545"/>
      <c r="L46" s="548"/>
      <c r="M46" s="110"/>
      <c r="N46" s="134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  <c r="IR46" s="111"/>
      <c r="IS46" s="111"/>
      <c r="IT46" s="111"/>
      <c r="IU46" s="111"/>
      <c r="IV46" s="111"/>
    </row>
    <row r="47" spans="1:14" ht="25.5">
      <c r="A47" s="29"/>
      <c r="B47" s="105" t="s">
        <v>531</v>
      </c>
      <c r="C47" s="133" t="s">
        <v>126</v>
      </c>
      <c r="D47" s="549">
        <v>8811</v>
      </c>
      <c r="E47" s="550">
        <v>1210</v>
      </c>
      <c r="F47" s="551">
        <f>D47*E47</f>
        <v>10661310</v>
      </c>
      <c r="G47" s="572"/>
      <c r="H47" s="573"/>
      <c r="I47" s="568"/>
      <c r="J47" s="570"/>
      <c r="K47" s="551"/>
      <c r="L47" s="553">
        <f t="shared" si="1"/>
        <v>10661310</v>
      </c>
      <c r="M47" s="30"/>
      <c r="N47" s="30"/>
    </row>
    <row r="48" spans="1:14" ht="12.75">
      <c r="A48" s="29"/>
      <c r="B48" s="105" t="s">
        <v>1030</v>
      </c>
      <c r="C48" s="133" t="s">
        <v>1031</v>
      </c>
      <c r="D48" s="549"/>
      <c r="E48" s="550"/>
      <c r="F48" s="551">
        <v>95585</v>
      </c>
      <c r="G48" s="572"/>
      <c r="H48" s="573"/>
      <c r="I48" s="568"/>
      <c r="J48" s="570"/>
      <c r="K48" s="551"/>
      <c r="L48" s="553">
        <f t="shared" si="1"/>
        <v>95585</v>
      </c>
      <c r="M48" s="30"/>
      <c r="N48" s="30"/>
    </row>
    <row r="49" spans="1:14" ht="12.75">
      <c r="A49" s="29"/>
      <c r="B49" s="105" t="s">
        <v>936</v>
      </c>
      <c r="C49" s="133" t="s">
        <v>937</v>
      </c>
      <c r="D49" s="549"/>
      <c r="E49" s="550"/>
      <c r="F49" s="551">
        <v>1004278</v>
      </c>
      <c r="G49" s="572"/>
      <c r="H49" s="573"/>
      <c r="I49" s="568"/>
      <c r="J49" s="570"/>
      <c r="K49" s="551"/>
      <c r="L49" s="553">
        <f t="shared" si="1"/>
        <v>1004278</v>
      </c>
      <c r="M49" s="30"/>
      <c r="N49" s="30"/>
    </row>
    <row r="50" spans="1:256" ht="15">
      <c r="A50" s="1276" t="s">
        <v>479</v>
      </c>
      <c r="B50" s="1276"/>
      <c r="C50" s="1277"/>
      <c r="D50" s="574" t="s">
        <v>449</v>
      </c>
      <c r="E50" s="575" t="s">
        <v>449</v>
      </c>
      <c r="F50" s="576">
        <f>SUM(F45,F30,F19,F8)</f>
        <v>347628529</v>
      </c>
      <c r="G50" s="574" t="s">
        <v>449</v>
      </c>
      <c r="H50" s="577" t="s">
        <v>449</v>
      </c>
      <c r="I50" s="577" t="s">
        <v>449</v>
      </c>
      <c r="J50" s="575" t="s">
        <v>449</v>
      </c>
      <c r="K50" s="576">
        <f>SUM(K45,K30,K19,K8)</f>
        <v>153579152</v>
      </c>
      <c r="L50" s="578">
        <f>SUM(L45,L30,L19,L8)</f>
        <v>501207681</v>
      </c>
      <c r="M50" s="32"/>
      <c r="N50" s="33">
        <f>SUM(N45,N30,N19,N8)</f>
        <v>501207681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s="803" customFormat="1" ht="15">
      <c r="A51" s="796"/>
      <c r="B51" s="796"/>
      <c r="C51" s="796"/>
      <c r="D51" s="797"/>
      <c r="E51" s="797"/>
      <c r="F51" s="798"/>
      <c r="G51" s="797"/>
      <c r="H51" s="797"/>
      <c r="I51" s="797"/>
      <c r="J51" s="797"/>
      <c r="K51" s="798"/>
      <c r="L51" s="799"/>
      <c r="M51" s="800"/>
      <c r="N51" s="801"/>
      <c r="O51" s="802"/>
      <c r="P51" s="802"/>
      <c r="Q51" s="802"/>
      <c r="R51" s="802"/>
      <c r="S51" s="802"/>
      <c r="T51" s="802"/>
      <c r="U51" s="802"/>
      <c r="V51" s="802"/>
      <c r="W51" s="802"/>
      <c r="X51" s="802"/>
      <c r="Y51" s="802"/>
      <c r="Z51" s="802"/>
      <c r="AA51" s="802"/>
      <c r="AB51" s="802"/>
      <c r="AC51" s="802"/>
      <c r="AD51" s="802"/>
      <c r="AE51" s="802"/>
      <c r="AF51" s="802"/>
      <c r="AG51" s="802"/>
      <c r="AH51" s="802"/>
      <c r="AI51" s="802"/>
      <c r="AJ51" s="802"/>
      <c r="AK51" s="802"/>
      <c r="AL51" s="802"/>
      <c r="AM51" s="802"/>
      <c r="AN51" s="802"/>
      <c r="AO51" s="802"/>
      <c r="AP51" s="802"/>
      <c r="AQ51" s="802"/>
      <c r="AR51" s="802"/>
      <c r="AS51" s="802"/>
      <c r="AT51" s="802"/>
      <c r="AU51" s="802"/>
      <c r="AV51" s="802"/>
      <c r="AW51" s="802"/>
      <c r="AX51" s="802"/>
      <c r="AY51" s="802"/>
      <c r="AZ51" s="802"/>
      <c r="BA51" s="802"/>
      <c r="BB51" s="802"/>
      <c r="BC51" s="802"/>
      <c r="BD51" s="802"/>
      <c r="BE51" s="802"/>
      <c r="BF51" s="802"/>
      <c r="BG51" s="802"/>
      <c r="BH51" s="802"/>
      <c r="BI51" s="802"/>
      <c r="BJ51" s="802"/>
      <c r="BK51" s="802"/>
      <c r="BL51" s="802"/>
      <c r="BM51" s="802"/>
      <c r="BN51" s="802"/>
      <c r="BO51" s="802"/>
      <c r="BP51" s="802"/>
      <c r="BQ51" s="802"/>
      <c r="BR51" s="802"/>
      <c r="BS51" s="802"/>
      <c r="BT51" s="802"/>
      <c r="BU51" s="802"/>
      <c r="BV51" s="802"/>
      <c r="BW51" s="802"/>
      <c r="BX51" s="802"/>
      <c r="BY51" s="802"/>
      <c r="BZ51" s="802"/>
      <c r="CA51" s="802"/>
      <c r="CB51" s="802"/>
      <c r="CC51" s="802"/>
      <c r="CD51" s="802"/>
      <c r="CE51" s="802"/>
      <c r="CF51" s="802"/>
      <c r="CG51" s="802"/>
      <c r="CH51" s="802"/>
      <c r="CI51" s="802"/>
      <c r="CJ51" s="802"/>
      <c r="CK51" s="802"/>
      <c r="CL51" s="802"/>
      <c r="CM51" s="802"/>
      <c r="CN51" s="802"/>
      <c r="CO51" s="802"/>
      <c r="CP51" s="802"/>
      <c r="CQ51" s="802"/>
      <c r="CR51" s="802"/>
      <c r="CS51" s="802"/>
      <c r="CT51" s="802"/>
      <c r="CU51" s="802"/>
      <c r="CV51" s="802"/>
      <c r="CW51" s="802"/>
      <c r="CX51" s="802"/>
      <c r="CY51" s="802"/>
      <c r="CZ51" s="802"/>
      <c r="DA51" s="802"/>
      <c r="DB51" s="802"/>
      <c r="DC51" s="802"/>
      <c r="DD51" s="802"/>
      <c r="DE51" s="802"/>
      <c r="DF51" s="802"/>
      <c r="DG51" s="802"/>
      <c r="DH51" s="802"/>
      <c r="DI51" s="802"/>
      <c r="DJ51" s="802"/>
      <c r="DK51" s="802"/>
      <c r="DL51" s="802"/>
      <c r="DM51" s="802"/>
      <c r="DN51" s="802"/>
      <c r="DO51" s="802"/>
      <c r="DP51" s="802"/>
      <c r="DQ51" s="802"/>
      <c r="DR51" s="802"/>
      <c r="DS51" s="802"/>
      <c r="DT51" s="802"/>
      <c r="DU51" s="802"/>
      <c r="DV51" s="802"/>
      <c r="DW51" s="802"/>
      <c r="DX51" s="802"/>
      <c r="DY51" s="802"/>
      <c r="DZ51" s="802"/>
      <c r="EA51" s="802"/>
      <c r="EB51" s="802"/>
      <c r="EC51" s="802"/>
      <c r="ED51" s="802"/>
      <c r="EE51" s="802"/>
      <c r="EF51" s="802"/>
      <c r="EG51" s="802"/>
      <c r="EH51" s="802"/>
      <c r="EI51" s="802"/>
      <c r="EJ51" s="802"/>
      <c r="EK51" s="802"/>
      <c r="EL51" s="802"/>
      <c r="EM51" s="802"/>
      <c r="EN51" s="802"/>
      <c r="EO51" s="802"/>
      <c r="EP51" s="802"/>
      <c r="EQ51" s="802"/>
      <c r="ER51" s="802"/>
      <c r="ES51" s="802"/>
      <c r="ET51" s="802"/>
      <c r="EU51" s="802"/>
      <c r="EV51" s="802"/>
      <c r="EW51" s="802"/>
      <c r="EX51" s="802"/>
      <c r="EY51" s="802"/>
      <c r="EZ51" s="802"/>
      <c r="FA51" s="802"/>
      <c r="FB51" s="802"/>
      <c r="FC51" s="802"/>
      <c r="FD51" s="802"/>
      <c r="FE51" s="802"/>
      <c r="FF51" s="802"/>
      <c r="FG51" s="802"/>
      <c r="FH51" s="802"/>
      <c r="FI51" s="802"/>
      <c r="FJ51" s="802"/>
      <c r="FK51" s="802"/>
      <c r="FL51" s="802"/>
      <c r="FM51" s="802"/>
      <c r="FN51" s="802"/>
      <c r="FO51" s="802"/>
      <c r="FP51" s="802"/>
      <c r="FQ51" s="802"/>
      <c r="FR51" s="802"/>
      <c r="FS51" s="802"/>
      <c r="FT51" s="802"/>
      <c r="FU51" s="802"/>
      <c r="FV51" s="802"/>
      <c r="FW51" s="802"/>
      <c r="FX51" s="802"/>
      <c r="FY51" s="802"/>
      <c r="FZ51" s="802"/>
      <c r="GA51" s="802"/>
      <c r="GB51" s="802"/>
      <c r="GC51" s="802"/>
      <c r="GD51" s="802"/>
      <c r="GE51" s="802"/>
      <c r="GF51" s="802"/>
      <c r="GG51" s="802"/>
      <c r="GH51" s="802"/>
      <c r="GI51" s="802"/>
      <c r="GJ51" s="802"/>
      <c r="GK51" s="802"/>
      <c r="GL51" s="802"/>
      <c r="GM51" s="802"/>
      <c r="GN51" s="802"/>
      <c r="GO51" s="802"/>
      <c r="GP51" s="802"/>
      <c r="GQ51" s="802"/>
      <c r="GR51" s="802"/>
      <c r="GS51" s="802"/>
      <c r="GT51" s="802"/>
      <c r="GU51" s="802"/>
      <c r="GV51" s="802"/>
      <c r="GW51" s="802"/>
      <c r="GX51" s="802"/>
      <c r="GY51" s="802"/>
      <c r="GZ51" s="802"/>
      <c r="HA51" s="802"/>
      <c r="HB51" s="802"/>
      <c r="HC51" s="802"/>
      <c r="HD51" s="802"/>
      <c r="HE51" s="802"/>
      <c r="HF51" s="802"/>
      <c r="HG51" s="802"/>
      <c r="HH51" s="802"/>
      <c r="HI51" s="802"/>
      <c r="HJ51" s="802"/>
      <c r="HK51" s="802"/>
      <c r="HL51" s="802"/>
      <c r="HM51" s="802"/>
      <c r="HN51" s="802"/>
      <c r="HO51" s="802"/>
      <c r="HP51" s="802"/>
      <c r="HQ51" s="802"/>
      <c r="HR51" s="802"/>
      <c r="HS51" s="802"/>
      <c r="HT51" s="802"/>
      <c r="HU51" s="802"/>
      <c r="HV51" s="802"/>
      <c r="HW51" s="802"/>
      <c r="HX51" s="802"/>
      <c r="HY51" s="802"/>
      <c r="HZ51" s="802"/>
      <c r="IA51" s="802"/>
      <c r="IB51" s="802"/>
      <c r="IC51" s="802"/>
      <c r="ID51" s="802"/>
      <c r="IE51" s="802"/>
      <c r="IF51" s="802"/>
      <c r="IG51" s="802"/>
      <c r="IH51" s="802"/>
      <c r="II51" s="802"/>
      <c r="IJ51" s="802"/>
      <c r="IK51" s="802"/>
      <c r="IL51" s="802"/>
      <c r="IM51" s="802"/>
      <c r="IN51" s="802"/>
      <c r="IO51" s="802"/>
      <c r="IP51" s="802"/>
      <c r="IQ51" s="802"/>
      <c r="IR51" s="802"/>
      <c r="IS51" s="802"/>
      <c r="IT51" s="802"/>
      <c r="IU51" s="802"/>
      <c r="IV51" s="802"/>
    </row>
    <row r="52" spans="1:14" ht="12.75">
      <c r="A52" s="29" t="s">
        <v>465</v>
      </c>
      <c r="B52" s="105"/>
      <c r="C52" s="133" t="s">
        <v>935</v>
      </c>
      <c r="D52" s="569"/>
      <c r="E52" s="550"/>
      <c r="F52" s="551">
        <v>1096532</v>
      </c>
      <c r="G52" s="549"/>
      <c r="H52" s="552"/>
      <c r="I52" s="552"/>
      <c r="J52" s="550"/>
      <c r="K52" s="551"/>
      <c r="L52" s="553">
        <f>F52+K52</f>
        <v>1096532</v>
      </c>
      <c r="M52" s="30"/>
      <c r="N52" s="30"/>
    </row>
    <row r="53" spans="1:14" ht="25.5">
      <c r="A53" s="29"/>
      <c r="B53" s="105" t="s">
        <v>1029</v>
      </c>
      <c r="C53" s="133" t="s">
        <v>1028</v>
      </c>
      <c r="D53" s="569"/>
      <c r="E53" s="550"/>
      <c r="F53" s="551">
        <v>7265000</v>
      </c>
      <c r="G53" s="549"/>
      <c r="H53" s="552"/>
      <c r="I53" s="552"/>
      <c r="J53" s="550"/>
      <c r="K53" s="551"/>
      <c r="L53" s="553">
        <f>F53+K53</f>
        <v>7265000</v>
      </c>
      <c r="M53" s="30"/>
      <c r="N53" s="30"/>
    </row>
    <row r="54" spans="1:14" ht="12.75">
      <c r="A54" s="29"/>
      <c r="B54" s="105"/>
      <c r="C54" s="133" t="s">
        <v>1014</v>
      </c>
      <c r="D54" s="569"/>
      <c r="E54" s="550"/>
      <c r="F54" s="551">
        <v>30000000</v>
      </c>
      <c r="G54" s="549"/>
      <c r="H54" s="552"/>
      <c r="I54" s="552"/>
      <c r="J54" s="550"/>
      <c r="K54" s="551"/>
      <c r="L54" s="553">
        <f>F54+K54</f>
        <v>30000000</v>
      </c>
      <c r="M54" s="30"/>
      <c r="N54" s="30"/>
    </row>
    <row r="55" spans="1:256" ht="15">
      <c r="A55" s="1276" t="s">
        <v>939</v>
      </c>
      <c r="B55" s="1276"/>
      <c r="C55" s="1277"/>
      <c r="D55" s="574" t="s">
        <v>449</v>
      </c>
      <c r="E55" s="575" t="s">
        <v>449</v>
      </c>
      <c r="F55" s="576">
        <f>SUM(F52:F54)</f>
        <v>38361532</v>
      </c>
      <c r="G55" s="574" t="s">
        <v>449</v>
      </c>
      <c r="H55" s="577" t="s">
        <v>449</v>
      </c>
      <c r="I55" s="577" t="s">
        <v>449</v>
      </c>
      <c r="J55" s="575" t="s">
        <v>449</v>
      </c>
      <c r="K55" s="576">
        <f>SUM(K52:K54)</f>
        <v>0</v>
      </c>
      <c r="L55" s="578">
        <f>SUM(L52:L54)</f>
        <v>38361532</v>
      </c>
      <c r="M55" s="32"/>
      <c r="N55" s="33">
        <f>SUM(L55)</f>
        <v>38361532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4:12" ht="12.75">
      <c r="D56" s="579"/>
      <c r="E56" s="579"/>
      <c r="F56" s="579"/>
      <c r="G56" s="579"/>
      <c r="H56" s="579"/>
      <c r="I56" s="579"/>
      <c r="J56" s="579"/>
      <c r="K56" s="579"/>
      <c r="L56" s="579"/>
    </row>
    <row r="57" spans="1:256" ht="16.5">
      <c r="A57" s="1259" t="s">
        <v>127</v>
      </c>
      <c r="B57" s="1259"/>
      <c r="C57" s="1260"/>
      <c r="D57" s="580" t="s">
        <v>449</v>
      </c>
      <c r="E57" s="581" t="s">
        <v>449</v>
      </c>
      <c r="F57" s="582">
        <f>SUM(F50+F55)</f>
        <v>385990061</v>
      </c>
      <c r="G57" s="580" t="s">
        <v>449</v>
      </c>
      <c r="H57" s="583" t="s">
        <v>449</v>
      </c>
      <c r="I57" s="583" t="s">
        <v>449</v>
      </c>
      <c r="J57" s="581" t="s">
        <v>449</v>
      </c>
      <c r="K57" s="582">
        <f>SUM(K50+K55)</f>
        <v>153579152</v>
      </c>
      <c r="L57" s="584">
        <f>SUM(K57+F57)</f>
        <v>539569213</v>
      </c>
      <c r="M57" s="32"/>
      <c r="N57" s="33">
        <f>SUM(N55,N50)</f>
        <v>539569213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</sheetData>
  <sheetProtection/>
  <mergeCells count="11">
    <mergeCell ref="A50:C50"/>
    <mergeCell ref="A57:C57"/>
    <mergeCell ref="L5:L6"/>
    <mergeCell ref="A6:B6"/>
    <mergeCell ref="A7:B7"/>
    <mergeCell ref="A2:K2"/>
    <mergeCell ref="A3:K3"/>
    <mergeCell ref="A5:C5"/>
    <mergeCell ref="D5:F5"/>
    <mergeCell ref="G5:K5"/>
    <mergeCell ref="A55:C55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1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625" style="665" customWidth="1"/>
    <col min="2" max="2" width="36.125" style="142" customWidth="1"/>
    <col min="3" max="3" width="15.00390625" style="142" customWidth="1"/>
    <col min="4" max="4" width="11.125" style="142" bestFit="1" customWidth="1"/>
    <col min="5" max="5" width="11.875" style="142" customWidth="1"/>
    <col min="6" max="6" width="11.75390625" style="142" customWidth="1"/>
    <col min="7" max="8" width="11.25390625" style="142" customWidth="1"/>
    <col min="9" max="9" width="11.75390625" style="142" customWidth="1"/>
    <col min="10" max="10" width="15.375" style="142" customWidth="1"/>
    <col min="11" max="11" width="16.625" style="142" customWidth="1"/>
  </cols>
  <sheetData>
    <row r="1" spans="2:11" ht="15">
      <c r="B1" s="1301" t="s">
        <v>1146</v>
      </c>
      <c r="C1" s="1301"/>
      <c r="D1" s="1301"/>
      <c r="E1" s="1301"/>
      <c r="F1" s="1301"/>
      <c r="G1" s="1301"/>
      <c r="H1" s="1301"/>
      <c r="I1" s="1301"/>
      <c r="J1" s="1301"/>
      <c r="K1" s="1301"/>
    </row>
    <row r="4" spans="2:11" ht="41.25" customHeight="1">
      <c r="B4" s="1302" t="s">
        <v>854</v>
      </c>
      <c r="C4" s="1302"/>
      <c r="D4" s="1302"/>
      <c r="E4" s="1302"/>
      <c r="F4" s="1302"/>
      <c r="G4" s="1302"/>
      <c r="H4" s="1302"/>
      <c r="I4" s="1302"/>
      <c r="J4" s="1302"/>
      <c r="K4" s="1302"/>
    </row>
    <row r="7" ht="13.5" thickBot="1"/>
    <row r="8" spans="1:11" ht="12.75">
      <c r="A8" s="1303" t="s">
        <v>426</v>
      </c>
      <c r="B8" s="1306" t="s">
        <v>357</v>
      </c>
      <c r="C8" s="1309" t="s">
        <v>840</v>
      </c>
      <c r="D8" s="1310"/>
      <c r="E8" s="1310"/>
      <c r="F8" s="1310"/>
      <c r="G8" s="1310"/>
      <c r="H8" s="1311"/>
      <c r="I8" s="1311"/>
      <c r="J8" s="1312" t="s">
        <v>890</v>
      </c>
      <c r="K8" s="1312" t="s">
        <v>855</v>
      </c>
    </row>
    <row r="9" spans="1:11" ht="12.75">
      <c r="A9" s="1304"/>
      <c r="B9" s="1307"/>
      <c r="C9" s="1315" t="s">
        <v>415</v>
      </c>
      <c r="D9" s="1316" t="s">
        <v>841</v>
      </c>
      <c r="E9" s="1317"/>
      <c r="F9" s="1317"/>
      <c r="G9" s="1317"/>
      <c r="H9" s="1318"/>
      <c r="I9" s="1318"/>
      <c r="J9" s="1313"/>
      <c r="K9" s="1313"/>
    </row>
    <row r="10" spans="1:11" ht="42" customHeight="1">
      <c r="A10" s="1305"/>
      <c r="B10" s="1308"/>
      <c r="C10" s="1315"/>
      <c r="D10" s="667" t="s">
        <v>436</v>
      </c>
      <c r="E10" s="667" t="s">
        <v>437</v>
      </c>
      <c r="F10" s="667" t="s">
        <v>438</v>
      </c>
      <c r="G10" s="667" t="s">
        <v>439</v>
      </c>
      <c r="H10" s="668" t="s">
        <v>440</v>
      </c>
      <c r="I10" s="668" t="s">
        <v>441</v>
      </c>
      <c r="J10" s="1314"/>
      <c r="K10" s="1314"/>
    </row>
    <row r="11" spans="1:11" ht="13.5" thickBot="1">
      <c r="A11" s="666" t="s">
        <v>420</v>
      </c>
      <c r="B11" s="669" t="s">
        <v>421</v>
      </c>
      <c r="C11" s="670" t="s">
        <v>422</v>
      </c>
      <c r="D11" s="671" t="s">
        <v>423</v>
      </c>
      <c r="E11" s="672" t="s">
        <v>424</v>
      </c>
      <c r="F11" s="672" t="s">
        <v>425</v>
      </c>
      <c r="G11" s="672" t="s">
        <v>427</v>
      </c>
      <c r="H11" s="672" t="s">
        <v>428</v>
      </c>
      <c r="I11" s="672" t="s">
        <v>381</v>
      </c>
      <c r="J11" s="673" t="s">
        <v>382</v>
      </c>
      <c r="K11" s="674" t="s">
        <v>383</v>
      </c>
    </row>
    <row r="12" spans="1:11" ht="19.5" thickBot="1" thickTop="1">
      <c r="A12" s="839">
        <v>1</v>
      </c>
      <c r="B12" s="1294" t="s">
        <v>89</v>
      </c>
      <c r="C12" s="1295"/>
      <c r="D12" s="1295"/>
      <c r="E12" s="1295"/>
      <c r="F12" s="1295"/>
      <c r="G12" s="1295"/>
      <c r="H12" s="1295"/>
      <c r="I12" s="1295"/>
      <c r="J12" s="1295"/>
      <c r="K12" s="1296"/>
    </row>
    <row r="13" spans="1:11" s="829" customFormat="1" ht="24" customHeight="1" thickBot="1" thickTop="1">
      <c r="A13" s="837">
        <v>2</v>
      </c>
      <c r="B13" s="1291" t="s">
        <v>949</v>
      </c>
      <c r="C13" s="1292"/>
      <c r="D13" s="1292"/>
      <c r="E13" s="1292"/>
      <c r="F13" s="1292"/>
      <c r="G13" s="1292"/>
      <c r="H13" s="1292"/>
      <c r="I13" s="1292"/>
      <c r="J13" s="1293"/>
      <c r="K13" s="830"/>
    </row>
    <row r="14" spans="1:11" ht="12.75">
      <c r="A14" s="675">
        <v>3</v>
      </c>
      <c r="B14" s="678" t="s">
        <v>842</v>
      </c>
      <c r="C14" s="679">
        <f>SUM(I14+G14+F14+E14+D14)</f>
        <v>0</v>
      </c>
      <c r="D14" s="680">
        <v>0</v>
      </c>
      <c r="E14" s="680">
        <v>0</v>
      </c>
      <c r="F14" s="681"/>
      <c r="G14" s="681"/>
      <c r="H14" s="681"/>
      <c r="I14" s="681"/>
      <c r="J14" s="682">
        <v>0</v>
      </c>
      <c r="K14" s="1284"/>
    </row>
    <row r="15" spans="1:11" ht="13.5" thickBot="1">
      <c r="A15" s="677">
        <v>4</v>
      </c>
      <c r="B15" s="683" t="s">
        <v>843</v>
      </c>
      <c r="C15" s="684">
        <v>7000000</v>
      </c>
      <c r="D15" s="685">
        <v>7000000</v>
      </c>
      <c r="E15" s="686">
        <v>0</v>
      </c>
      <c r="F15" s="687"/>
      <c r="G15" s="687"/>
      <c r="H15" s="687"/>
      <c r="I15" s="687"/>
      <c r="J15" s="688">
        <v>257950</v>
      </c>
      <c r="K15" s="1285"/>
    </row>
    <row r="16" spans="1:11" ht="13.5" thickBot="1">
      <c r="A16" s="677">
        <v>5</v>
      </c>
      <c r="B16" s="689" t="s">
        <v>844</v>
      </c>
      <c r="C16" s="690">
        <f>SUM(I16+G16+F16+E16+D16)</f>
        <v>7000000</v>
      </c>
      <c r="D16" s="691">
        <f aca="true" t="shared" si="0" ref="D16:J16">SUM(D14+D15)</f>
        <v>7000000</v>
      </c>
      <c r="E16" s="691">
        <f t="shared" si="0"/>
        <v>0</v>
      </c>
      <c r="F16" s="692"/>
      <c r="G16" s="692"/>
      <c r="H16" s="693"/>
      <c r="I16" s="694"/>
      <c r="J16" s="695">
        <f t="shared" si="0"/>
        <v>257950</v>
      </c>
      <c r="K16" s="1286"/>
    </row>
    <row r="17" spans="1:11" ht="13.5" thickBot="1">
      <c r="A17" s="677"/>
      <c r="B17" s="1297"/>
      <c r="C17" s="1298"/>
      <c r="D17" s="1299"/>
      <c r="E17" s="1299"/>
      <c r="F17" s="1299"/>
      <c r="G17" s="1299"/>
      <c r="H17" s="1299"/>
      <c r="I17" s="1299"/>
      <c r="J17" s="1300"/>
      <c r="K17" s="676"/>
    </row>
    <row r="18" spans="1:11" ht="12.75">
      <c r="A18" s="696">
        <v>6</v>
      </c>
      <c r="B18" s="697" t="s">
        <v>845</v>
      </c>
      <c r="C18" s="698">
        <v>3150000</v>
      </c>
      <c r="D18" s="680">
        <v>3150000</v>
      </c>
      <c r="E18" s="699">
        <v>0</v>
      </c>
      <c r="F18" s="681"/>
      <c r="G18" s="681"/>
      <c r="H18" s="681"/>
      <c r="I18" s="681"/>
      <c r="J18" s="1284"/>
      <c r="K18" s="682">
        <v>0</v>
      </c>
    </row>
    <row r="19" spans="1:11" ht="13.5" thickBot="1">
      <c r="A19" s="696">
        <v>7</v>
      </c>
      <c r="B19" s="700" t="s">
        <v>846</v>
      </c>
      <c r="C19" s="701">
        <v>3850000</v>
      </c>
      <c r="D19" s="685">
        <f>3850000-257950</f>
        <v>3592050</v>
      </c>
      <c r="E19" s="685">
        <v>257950</v>
      </c>
      <c r="F19" s="687"/>
      <c r="G19" s="687"/>
      <c r="H19" s="687"/>
      <c r="I19" s="687"/>
      <c r="J19" s="1285"/>
      <c r="K19" s="688">
        <v>257950</v>
      </c>
    </row>
    <row r="20" spans="1:11" ht="13.5" thickBot="1">
      <c r="A20" s="702">
        <v>8</v>
      </c>
      <c r="B20" s="703" t="s">
        <v>366</v>
      </c>
      <c r="C20" s="704">
        <f>SUM(C18:C19)</f>
        <v>7000000</v>
      </c>
      <c r="D20" s="705">
        <f>SUM(D18:D19)</f>
        <v>6742050</v>
      </c>
      <c r="E20" s="705">
        <f>SUM(E18:E19)</f>
        <v>257950</v>
      </c>
      <c r="F20" s="692"/>
      <c r="G20" s="692"/>
      <c r="H20" s="693"/>
      <c r="I20" s="694"/>
      <c r="J20" s="1286"/>
      <c r="K20" s="706">
        <f>SUM(K18:K19)</f>
        <v>257950</v>
      </c>
    </row>
    <row r="21" spans="1:11" ht="14.25" thickBot="1" thickTop="1">
      <c r="A21" s="707"/>
      <c r="B21" s="1278"/>
      <c r="C21" s="1279"/>
      <c r="D21" s="1279"/>
      <c r="E21" s="1279"/>
      <c r="F21" s="1279"/>
      <c r="G21" s="1279"/>
      <c r="H21" s="1279"/>
      <c r="I21" s="1279"/>
      <c r="J21" s="1279"/>
      <c r="K21" s="1280"/>
    </row>
    <row r="22" spans="1:11" s="829" customFormat="1" ht="32.25" customHeight="1" thickBot="1" thickTop="1">
      <c r="A22" s="837">
        <v>9</v>
      </c>
      <c r="B22" s="1281" t="s">
        <v>891</v>
      </c>
      <c r="C22" s="1282"/>
      <c r="D22" s="1282"/>
      <c r="E22" s="1282"/>
      <c r="F22" s="1282"/>
      <c r="G22" s="1282"/>
      <c r="H22" s="1282"/>
      <c r="I22" s="1282"/>
      <c r="J22" s="1283"/>
      <c r="K22" s="828"/>
    </row>
    <row r="23" spans="1:11" ht="12.75">
      <c r="A23" s="675">
        <v>10</v>
      </c>
      <c r="B23" s="678" t="s">
        <v>847</v>
      </c>
      <c r="C23" s="708">
        <v>0</v>
      </c>
      <c r="D23" s="709">
        <v>0</v>
      </c>
      <c r="E23" s="709">
        <v>0</v>
      </c>
      <c r="F23" s="709">
        <v>0</v>
      </c>
      <c r="G23" s="709">
        <v>0</v>
      </c>
      <c r="H23" s="709">
        <v>0</v>
      </c>
      <c r="I23" s="709">
        <v>0</v>
      </c>
      <c r="J23" s="682">
        <v>0</v>
      </c>
      <c r="K23" s="1284"/>
    </row>
    <row r="24" spans="1:11" ht="13.5" thickBot="1">
      <c r="A24" s="710">
        <v>11</v>
      </c>
      <c r="B24" s="683" t="s">
        <v>843</v>
      </c>
      <c r="C24" s="711">
        <f>SUM(D24:I24)</f>
        <v>250634800</v>
      </c>
      <c r="D24" s="712">
        <v>16135642</v>
      </c>
      <c r="E24" s="686">
        <v>46899832</v>
      </c>
      <c r="F24" s="686">
        <v>46899832</v>
      </c>
      <c r="G24" s="686">
        <v>46899831</v>
      </c>
      <c r="H24" s="686">
        <v>46899831</v>
      </c>
      <c r="I24" s="686">
        <v>46899832</v>
      </c>
      <c r="J24" s="688">
        <v>63035474</v>
      </c>
      <c r="K24" s="1285"/>
    </row>
    <row r="25" spans="1:11" ht="13.5" thickBot="1">
      <c r="A25" s="677">
        <v>12</v>
      </c>
      <c r="B25" s="689" t="s">
        <v>844</v>
      </c>
      <c r="C25" s="690">
        <f aca="true" t="shared" si="1" ref="C25:J25">SUM(C23:C24)</f>
        <v>250634800</v>
      </c>
      <c r="D25" s="691">
        <f t="shared" si="1"/>
        <v>16135642</v>
      </c>
      <c r="E25" s="691">
        <f t="shared" si="1"/>
        <v>46899832</v>
      </c>
      <c r="F25" s="691">
        <f t="shared" si="1"/>
        <v>46899832</v>
      </c>
      <c r="G25" s="691">
        <f t="shared" si="1"/>
        <v>46899831</v>
      </c>
      <c r="H25" s="691">
        <f t="shared" si="1"/>
        <v>46899831</v>
      </c>
      <c r="I25" s="691">
        <f t="shared" si="1"/>
        <v>46899832</v>
      </c>
      <c r="J25" s="695">
        <f t="shared" si="1"/>
        <v>63035474</v>
      </c>
      <c r="K25" s="1286"/>
    </row>
    <row r="26" spans="1:11" ht="13.5" thickBot="1">
      <c r="A26" s="677"/>
      <c r="B26" s="1287"/>
      <c r="C26" s="1288"/>
      <c r="D26" s="1288"/>
      <c r="E26" s="1288"/>
      <c r="F26" s="1288"/>
      <c r="G26" s="1288"/>
      <c r="H26" s="1288"/>
      <c r="I26" s="1288"/>
      <c r="J26" s="1289"/>
      <c r="K26" s="676"/>
    </row>
    <row r="27" spans="1:11" ht="13.5" thickBot="1">
      <c r="A27" s="713">
        <v>13</v>
      </c>
      <c r="B27" s="714" t="s">
        <v>848</v>
      </c>
      <c r="C27" s="698">
        <f>SUM(D27:I27)</f>
        <v>148329760</v>
      </c>
      <c r="D27" s="712">
        <v>8950110</v>
      </c>
      <c r="E27" s="712">
        <v>27875930</v>
      </c>
      <c r="F27" s="712">
        <v>27875930</v>
      </c>
      <c r="G27" s="712">
        <v>27875930</v>
      </c>
      <c r="H27" s="712">
        <v>27875930</v>
      </c>
      <c r="I27" s="712">
        <v>27875930</v>
      </c>
      <c r="J27" s="1284"/>
      <c r="K27" s="682">
        <v>34144480</v>
      </c>
    </row>
    <row r="28" spans="1:11" ht="13.5" thickBot="1">
      <c r="A28" s="696">
        <v>14</v>
      </c>
      <c r="B28" s="700" t="s">
        <v>846</v>
      </c>
      <c r="C28" s="698">
        <f>SUM(D28:I28)</f>
        <v>102305040</v>
      </c>
      <c r="D28" s="712">
        <v>7185532</v>
      </c>
      <c r="E28" s="712">
        <v>19023902</v>
      </c>
      <c r="F28" s="712">
        <v>19023902</v>
      </c>
      <c r="G28" s="712">
        <v>19023901</v>
      </c>
      <c r="H28" s="712">
        <v>19023901</v>
      </c>
      <c r="I28" s="712">
        <v>19023902</v>
      </c>
      <c r="J28" s="1285"/>
      <c r="K28" s="688">
        <v>26209434</v>
      </c>
    </row>
    <row r="29" spans="1:11" ht="13.5" thickBot="1">
      <c r="A29" s="715">
        <v>15</v>
      </c>
      <c r="B29" s="716" t="s">
        <v>366</v>
      </c>
      <c r="C29" s="704">
        <f aca="true" t="shared" si="2" ref="C29:I29">SUM(C27:C28)</f>
        <v>250634800</v>
      </c>
      <c r="D29" s="717">
        <f t="shared" si="2"/>
        <v>16135642</v>
      </c>
      <c r="E29" s="717">
        <f t="shared" si="2"/>
        <v>46899832</v>
      </c>
      <c r="F29" s="717">
        <f t="shared" si="2"/>
        <v>46899832</v>
      </c>
      <c r="G29" s="717">
        <f t="shared" si="2"/>
        <v>46899831</v>
      </c>
      <c r="H29" s="717">
        <f t="shared" si="2"/>
        <v>46899831</v>
      </c>
      <c r="I29" s="717">
        <f t="shared" si="2"/>
        <v>46899832</v>
      </c>
      <c r="J29" s="1290"/>
      <c r="K29" s="706">
        <f>SUM(K27:K28)</f>
        <v>60353914</v>
      </c>
    </row>
    <row r="30" spans="1:11" ht="14.25" thickBot="1" thickTop="1">
      <c r="A30" s="831"/>
      <c r="B30" s="1278"/>
      <c r="C30" s="1279"/>
      <c r="D30" s="1279"/>
      <c r="E30" s="1279"/>
      <c r="F30" s="1279"/>
      <c r="G30" s="1279"/>
      <c r="H30" s="1279"/>
      <c r="I30" s="1279"/>
      <c r="J30" s="1279"/>
      <c r="K30" s="1280"/>
    </row>
    <row r="31" spans="1:11" s="829" customFormat="1" ht="24" customHeight="1" thickBot="1" thickTop="1">
      <c r="A31" s="837">
        <v>16</v>
      </c>
      <c r="B31" s="1291" t="s">
        <v>849</v>
      </c>
      <c r="C31" s="1292"/>
      <c r="D31" s="1292"/>
      <c r="E31" s="1292"/>
      <c r="F31" s="1292"/>
      <c r="G31" s="1292"/>
      <c r="H31" s="1292"/>
      <c r="I31" s="1292"/>
      <c r="J31" s="1293"/>
      <c r="K31" s="830"/>
    </row>
    <row r="32" spans="1:11" ht="12.75">
      <c r="A32" s="675">
        <v>17</v>
      </c>
      <c r="B32" s="733" t="s">
        <v>847</v>
      </c>
      <c r="C32" s="698">
        <v>0</v>
      </c>
      <c r="D32" s="718">
        <v>0</v>
      </c>
      <c r="E32" s="718">
        <v>0</v>
      </c>
      <c r="F32" s="718">
        <v>0</v>
      </c>
      <c r="G32" s="719"/>
      <c r="H32" s="719"/>
      <c r="I32" s="719"/>
      <c r="J32" s="682">
        <v>151044</v>
      </c>
      <c r="K32" s="1284"/>
    </row>
    <row r="33" spans="1:11" ht="13.5" thickBot="1">
      <c r="A33" s="677">
        <v>18</v>
      </c>
      <c r="B33" s="683" t="s">
        <v>843</v>
      </c>
      <c r="C33" s="701">
        <v>242560000</v>
      </c>
      <c r="D33" s="712">
        <v>242560000</v>
      </c>
      <c r="E33" s="686">
        <v>0</v>
      </c>
      <c r="F33" s="686">
        <v>0</v>
      </c>
      <c r="G33" s="720"/>
      <c r="H33" s="720"/>
      <c r="I33" s="721"/>
      <c r="J33" s="688">
        <v>242490975</v>
      </c>
      <c r="K33" s="1285"/>
    </row>
    <row r="34" spans="1:11" ht="13.5" thickBot="1">
      <c r="A34" s="677">
        <v>19</v>
      </c>
      <c r="B34" s="689" t="s">
        <v>844</v>
      </c>
      <c r="C34" s="690">
        <f aca="true" t="shared" si="3" ref="C34:J34">SUM(C32:C33)</f>
        <v>242560000</v>
      </c>
      <c r="D34" s="691">
        <f t="shared" si="3"/>
        <v>242560000</v>
      </c>
      <c r="E34" s="691">
        <f t="shared" si="3"/>
        <v>0</v>
      </c>
      <c r="F34" s="691">
        <f t="shared" si="3"/>
        <v>0</v>
      </c>
      <c r="G34" s="681"/>
      <c r="H34" s="681"/>
      <c r="I34" s="681"/>
      <c r="J34" s="695">
        <f t="shared" si="3"/>
        <v>242642019</v>
      </c>
      <c r="K34" s="1286"/>
    </row>
    <row r="35" spans="1:11" ht="13.5" thickBot="1">
      <c r="A35" s="677"/>
      <c r="B35" s="1287"/>
      <c r="C35" s="1288"/>
      <c r="D35" s="1288"/>
      <c r="E35" s="1288"/>
      <c r="F35" s="1288"/>
      <c r="G35" s="1288"/>
      <c r="H35" s="1288"/>
      <c r="I35" s="1288"/>
      <c r="J35" s="1289"/>
      <c r="K35" s="676"/>
    </row>
    <row r="36" spans="1:11" ht="12.75">
      <c r="A36" s="696">
        <v>20</v>
      </c>
      <c r="B36" s="714" t="s">
        <v>845</v>
      </c>
      <c r="C36" s="698">
        <v>242560000</v>
      </c>
      <c r="D36" s="722">
        <v>0</v>
      </c>
      <c r="E36" s="680">
        <v>242560000</v>
      </c>
      <c r="F36" s="722">
        <v>0</v>
      </c>
      <c r="G36" s="719"/>
      <c r="H36" s="719"/>
      <c r="I36" s="719"/>
      <c r="J36" s="1284"/>
      <c r="K36" s="682">
        <v>242490975</v>
      </c>
    </row>
    <row r="37" spans="1:11" ht="13.5" thickBot="1">
      <c r="A37" s="696">
        <v>21</v>
      </c>
      <c r="B37" s="723" t="s">
        <v>850</v>
      </c>
      <c r="C37" s="701">
        <v>0</v>
      </c>
      <c r="D37" s="724">
        <v>0</v>
      </c>
      <c r="E37" s="724">
        <v>0</v>
      </c>
      <c r="F37" s="724">
        <v>0</v>
      </c>
      <c r="G37" s="720"/>
      <c r="H37" s="720"/>
      <c r="I37" s="721"/>
      <c r="J37" s="1285"/>
      <c r="K37" s="688">
        <v>151044</v>
      </c>
    </row>
    <row r="38" spans="1:11" ht="13.5" thickBot="1">
      <c r="A38" s="715">
        <v>22</v>
      </c>
      <c r="B38" s="716" t="s">
        <v>366</v>
      </c>
      <c r="C38" s="704">
        <f>SUM(C36:C37)</f>
        <v>242560000</v>
      </c>
      <c r="D38" s="717">
        <f>SUM(D36:D37)</f>
        <v>0</v>
      </c>
      <c r="E38" s="717">
        <f>SUM(E36:E37)</f>
        <v>242560000</v>
      </c>
      <c r="F38" s="717">
        <f>SUM(F36:F37)</f>
        <v>0</v>
      </c>
      <c r="G38" s="681"/>
      <c r="H38" s="681"/>
      <c r="I38" s="681"/>
      <c r="J38" s="1290"/>
      <c r="K38" s="706">
        <f>SUM(K36:K37)</f>
        <v>242642019</v>
      </c>
    </row>
    <row r="39" spans="1:11" ht="14.25" thickBot="1" thickTop="1">
      <c r="A39" s="831"/>
      <c r="B39" s="1278"/>
      <c r="C39" s="1279"/>
      <c r="D39" s="1279"/>
      <c r="E39" s="1279"/>
      <c r="F39" s="1279"/>
      <c r="G39" s="1279"/>
      <c r="H39" s="1279"/>
      <c r="I39" s="1279"/>
      <c r="J39" s="1279"/>
      <c r="K39" s="1280"/>
    </row>
    <row r="40" spans="1:11" s="829" customFormat="1" ht="24" customHeight="1" thickBot="1" thickTop="1">
      <c r="A40" s="837">
        <v>23</v>
      </c>
      <c r="B40" s="1291" t="s">
        <v>851</v>
      </c>
      <c r="C40" s="1292"/>
      <c r="D40" s="1292"/>
      <c r="E40" s="1292"/>
      <c r="F40" s="1292"/>
      <c r="G40" s="1292"/>
      <c r="H40" s="1292"/>
      <c r="I40" s="1292"/>
      <c r="J40" s="1293"/>
      <c r="K40" s="830"/>
    </row>
    <row r="41" spans="1:11" ht="12.75">
      <c r="A41" s="675">
        <v>24</v>
      </c>
      <c r="B41" s="725" t="s">
        <v>847</v>
      </c>
      <c r="C41" s="698">
        <v>1576053</v>
      </c>
      <c r="D41" s="718">
        <v>1576053</v>
      </c>
      <c r="E41" s="719"/>
      <c r="F41" s="719"/>
      <c r="G41" s="719"/>
      <c r="H41" s="719"/>
      <c r="I41" s="719"/>
      <c r="J41" s="688">
        <f>2500000+850900</f>
        <v>3350900</v>
      </c>
      <c r="K41" s="1284"/>
    </row>
    <row r="42" spans="1:11" ht="13.5" thickBot="1">
      <c r="A42" s="677">
        <v>25</v>
      </c>
      <c r="B42" s="683" t="s">
        <v>843</v>
      </c>
      <c r="C42" s="726">
        <v>19779919</v>
      </c>
      <c r="D42" s="712">
        <v>19779919</v>
      </c>
      <c r="E42" s="720"/>
      <c r="F42" s="720"/>
      <c r="G42" s="720"/>
      <c r="H42" s="720"/>
      <c r="I42" s="721"/>
      <c r="J42" s="688">
        <v>19779919</v>
      </c>
      <c r="K42" s="1285"/>
    </row>
    <row r="43" spans="1:11" ht="13.5" thickBot="1">
      <c r="A43" s="677">
        <v>26</v>
      </c>
      <c r="B43" s="689" t="s">
        <v>844</v>
      </c>
      <c r="C43" s="690">
        <f>SUM(C41:C42)</f>
        <v>21355972</v>
      </c>
      <c r="D43" s="691">
        <f>SUM(D41:D42)</f>
        <v>21355972</v>
      </c>
      <c r="E43" s="727"/>
      <c r="F43" s="727"/>
      <c r="G43" s="727"/>
      <c r="H43" s="727"/>
      <c r="I43" s="728"/>
      <c r="J43" s="695">
        <f>SUM(J41+J42)</f>
        <v>23130819</v>
      </c>
      <c r="K43" s="1286"/>
    </row>
    <row r="44" spans="1:11" ht="13.5" thickBot="1">
      <c r="A44" s="677"/>
      <c r="B44" s="1287"/>
      <c r="C44" s="1288"/>
      <c r="D44" s="1288"/>
      <c r="E44" s="1288"/>
      <c r="F44" s="1288"/>
      <c r="G44" s="1288"/>
      <c r="H44" s="1288"/>
      <c r="I44" s="1288"/>
      <c r="J44" s="1289"/>
      <c r="K44" s="676"/>
    </row>
    <row r="45" spans="1:11" ht="12.75">
      <c r="A45" s="696">
        <v>27</v>
      </c>
      <c r="B45" s="714" t="s">
        <v>852</v>
      </c>
      <c r="C45" s="698">
        <v>20820975</v>
      </c>
      <c r="D45" s="718"/>
      <c r="E45" s="718">
        <v>20820975</v>
      </c>
      <c r="F45" s="719"/>
      <c r="G45" s="719"/>
      <c r="H45" s="719"/>
      <c r="I45" s="719"/>
      <c r="J45" s="1284"/>
      <c r="K45" s="682">
        <f>19779919+52056+989000</f>
        <v>20820975</v>
      </c>
    </row>
    <row r="46" spans="1:11" ht="13.5" thickBot="1">
      <c r="A46" s="696">
        <v>28</v>
      </c>
      <c r="B46" s="723" t="s">
        <v>853</v>
      </c>
      <c r="C46" s="701">
        <v>534997</v>
      </c>
      <c r="D46" s="712"/>
      <c r="E46" s="712">
        <v>534997</v>
      </c>
      <c r="F46" s="720"/>
      <c r="G46" s="720"/>
      <c r="H46" s="720"/>
      <c r="I46" s="721"/>
      <c r="J46" s="1285"/>
      <c r="K46" s="688">
        <f>1458944+850900</f>
        <v>2309844</v>
      </c>
    </row>
    <row r="47" spans="1:11" ht="13.5" thickBot="1">
      <c r="A47" s="715">
        <v>29</v>
      </c>
      <c r="B47" s="716" t="s">
        <v>366</v>
      </c>
      <c r="C47" s="704">
        <f>SUM(C45:C46)</f>
        <v>21355972</v>
      </c>
      <c r="D47" s="717">
        <f>SUM(D45:D46)</f>
        <v>0</v>
      </c>
      <c r="E47" s="717">
        <f>SUM(E45:E46)</f>
        <v>21355972</v>
      </c>
      <c r="F47" s="729"/>
      <c r="G47" s="729"/>
      <c r="H47" s="729"/>
      <c r="I47" s="730"/>
      <c r="J47" s="1286"/>
      <c r="K47" s="706">
        <f>SUM(K44:K46)</f>
        <v>23130819</v>
      </c>
    </row>
    <row r="48" spans="1:11" ht="14.25" thickBot="1" thickTop="1">
      <c r="A48" s="707"/>
      <c r="B48" s="1278"/>
      <c r="C48" s="1279"/>
      <c r="D48" s="1279"/>
      <c r="E48" s="1279"/>
      <c r="F48" s="1279"/>
      <c r="G48" s="1279"/>
      <c r="H48" s="1279"/>
      <c r="I48" s="1279"/>
      <c r="J48" s="1279"/>
      <c r="K48" s="1280"/>
    </row>
    <row r="49" spans="1:11" s="829" customFormat="1" ht="30" customHeight="1" thickBot="1" thickTop="1">
      <c r="A49" s="837">
        <v>30</v>
      </c>
      <c r="B49" s="1281" t="s">
        <v>941</v>
      </c>
      <c r="C49" s="1282"/>
      <c r="D49" s="1282"/>
      <c r="E49" s="1282"/>
      <c r="F49" s="1282"/>
      <c r="G49" s="1282"/>
      <c r="H49" s="1282"/>
      <c r="I49" s="1282"/>
      <c r="J49" s="1283"/>
      <c r="K49" s="828"/>
    </row>
    <row r="50" spans="1:11" ht="12.75">
      <c r="A50" s="675">
        <v>31</v>
      </c>
      <c r="B50" s="678" t="s">
        <v>847</v>
      </c>
      <c r="C50" s="708">
        <v>0</v>
      </c>
      <c r="D50" s="807"/>
      <c r="E50" s="709">
        <v>0</v>
      </c>
      <c r="F50" s="709">
        <v>0</v>
      </c>
      <c r="G50" s="709">
        <v>0</v>
      </c>
      <c r="H50" s="807"/>
      <c r="I50" s="807"/>
      <c r="J50" s="682">
        <v>0</v>
      </c>
      <c r="K50" s="1284"/>
    </row>
    <row r="51" spans="1:11" ht="13.5" thickBot="1">
      <c r="A51" s="710">
        <v>32</v>
      </c>
      <c r="B51" s="683" t="s">
        <v>843</v>
      </c>
      <c r="C51" s="711">
        <v>202321812</v>
      </c>
      <c r="D51" s="808"/>
      <c r="E51" s="686">
        <f>104483115+10976885</f>
        <v>115460000</v>
      </c>
      <c r="F51" s="686">
        <f>86307318-10976885</f>
        <v>75330433</v>
      </c>
      <c r="G51" s="686">
        <v>11531379</v>
      </c>
      <c r="H51" s="808"/>
      <c r="I51" s="808"/>
      <c r="J51" s="688">
        <f>104483115+10976885</f>
        <v>115460000</v>
      </c>
      <c r="K51" s="1285"/>
    </row>
    <row r="52" spans="1:11" ht="13.5" thickBot="1">
      <c r="A52" s="677">
        <v>33</v>
      </c>
      <c r="B52" s="689" t="s">
        <v>844</v>
      </c>
      <c r="C52" s="690">
        <f aca="true" t="shared" si="4" ref="C52:J52">SUM(C50:C51)</f>
        <v>202321812</v>
      </c>
      <c r="D52" s="692"/>
      <c r="E52" s="691">
        <f t="shared" si="4"/>
        <v>115460000</v>
      </c>
      <c r="F52" s="691">
        <f t="shared" si="4"/>
        <v>75330433</v>
      </c>
      <c r="G52" s="691">
        <f t="shared" si="4"/>
        <v>11531379</v>
      </c>
      <c r="H52" s="692"/>
      <c r="I52" s="692"/>
      <c r="J52" s="695">
        <f t="shared" si="4"/>
        <v>115460000</v>
      </c>
      <c r="K52" s="1286"/>
    </row>
    <row r="53" spans="1:11" ht="13.5" thickBot="1">
      <c r="A53" s="677"/>
      <c r="B53" s="1287"/>
      <c r="C53" s="1288"/>
      <c r="D53" s="1288"/>
      <c r="E53" s="1288"/>
      <c r="F53" s="1288"/>
      <c r="G53" s="1288"/>
      <c r="H53" s="1288"/>
      <c r="I53" s="1288"/>
      <c r="J53" s="1289"/>
      <c r="K53" s="676"/>
    </row>
    <row r="54" spans="1:11" ht="12.75">
      <c r="A54" s="713">
        <v>34</v>
      </c>
      <c r="B54" s="714" t="s">
        <v>848</v>
      </c>
      <c r="C54" s="698">
        <v>89908666</v>
      </c>
      <c r="D54" s="811"/>
      <c r="E54" s="680">
        <v>34554203</v>
      </c>
      <c r="F54" s="718">
        <v>44954333</v>
      </c>
      <c r="G54" s="718">
        <v>10400130</v>
      </c>
      <c r="H54" s="811"/>
      <c r="I54" s="811"/>
      <c r="J54" s="1284"/>
      <c r="K54" s="682">
        <v>34554203</v>
      </c>
    </row>
    <row r="55" spans="1:11" ht="12.75">
      <c r="A55" s="696">
        <v>35</v>
      </c>
      <c r="B55" s="700" t="s">
        <v>846</v>
      </c>
      <c r="C55" s="809">
        <v>96901455</v>
      </c>
      <c r="D55" s="812"/>
      <c r="E55" s="686">
        <f>54417221+10976885</f>
        <v>65394106</v>
      </c>
      <c r="F55" s="712">
        <f>41352985-10976885</f>
        <v>30376100</v>
      </c>
      <c r="G55" s="712">
        <v>1131249</v>
      </c>
      <c r="H55" s="812"/>
      <c r="I55" s="812"/>
      <c r="J55" s="1285"/>
      <c r="K55" s="688">
        <f>54417221+10976885</f>
        <v>65394106</v>
      </c>
    </row>
    <row r="56" spans="1:11" ht="12.75">
      <c r="A56" s="696">
        <v>36</v>
      </c>
      <c r="B56" s="805" t="s">
        <v>845</v>
      </c>
      <c r="C56" s="810">
        <v>8983129</v>
      </c>
      <c r="D56" s="813"/>
      <c r="E56" s="686">
        <v>8983129</v>
      </c>
      <c r="F56" s="712">
        <v>0</v>
      </c>
      <c r="G56" s="712">
        <v>0</v>
      </c>
      <c r="H56" s="813"/>
      <c r="I56" s="813"/>
      <c r="J56" s="1285"/>
      <c r="K56" s="688">
        <v>8983129</v>
      </c>
    </row>
    <row r="57" spans="1:11" ht="13.5" thickBot="1">
      <c r="A57" s="696">
        <v>37</v>
      </c>
      <c r="B57" s="806" t="s">
        <v>852</v>
      </c>
      <c r="C57" s="809">
        <v>6528562</v>
      </c>
      <c r="D57" s="814"/>
      <c r="E57" s="685">
        <v>6528562</v>
      </c>
      <c r="F57" s="815">
        <v>0</v>
      </c>
      <c r="G57" s="815">
        <v>0</v>
      </c>
      <c r="H57" s="814"/>
      <c r="I57" s="814"/>
      <c r="J57" s="1285"/>
      <c r="K57" s="816">
        <v>6528562</v>
      </c>
    </row>
    <row r="58" spans="1:11" ht="13.5" thickBot="1">
      <c r="A58" s="715">
        <v>38</v>
      </c>
      <c r="B58" s="716" t="s">
        <v>366</v>
      </c>
      <c r="C58" s="704">
        <f>SUM(C54:C57)</f>
        <v>202321812</v>
      </c>
      <c r="D58" s="729"/>
      <c r="E58" s="717">
        <f>SUM(E54:E57)</f>
        <v>115460000</v>
      </c>
      <c r="F58" s="717">
        <f>SUM(F54:F57)</f>
        <v>75330433</v>
      </c>
      <c r="G58" s="717">
        <f>SUM(G54:G57)</f>
        <v>11531379</v>
      </c>
      <c r="H58" s="729"/>
      <c r="I58" s="729"/>
      <c r="J58" s="1290"/>
      <c r="K58" s="706">
        <f>SUM(K54:K57)</f>
        <v>115460000</v>
      </c>
    </row>
    <row r="59" spans="1:11" ht="14.25" thickBot="1" thickTop="1">
      <c r="A59" s="707"/>
      <c r="B59" s="1278"/>
      <c r="C59" s="1279"/>
      <c r="D59" s="1279"/>
      <c r="E59" s="1279"/>
      <c r="F59" s="1279"/>
      <c r="G59" s="1279"/>
      <c r="H59" s="1279"/>
      <c r="I59" s="1279"/>
      <c r="J59" s="1279"/>
      <c r="K59" s="1280"/>
    </row>
    <row r="60" spans="1:11" s="829" customFormat="1" ht="30" customHeight="1" thickBot="1" thickTop="1">
      <c r="A60" s="837">
        <v>39</v>
      </c>
      <c r="B60" s="1281" t="s">
        <v>948</v>
      </c>
      <c r="C60" s="1282"/>
      <c r="D60" s="1282"/>
      <c r="E60" s="1282"/>
      <c r="F60" s="1282"/>
      <c r="G60" s="1282"/>
      <c r="H60" s="1282"/>
      <c r="I60" s="1282"/>
      <c r="J60" s="1283"/>
      <c r="K60" s="828"/>
    </row>
    <row r="61" spans="1:11" ht="12.75">
      <c r="A61" s="675">
        <v>40</v>
      </c>
      <c r="B61" s="678" t="s">
        <v>847</v>
      </c>
      <c r="C61" s="708">
        <v>0</v>
      </c>
      <c r="D61" s="807"/>
      <c r="E61" s="709">
        <v>0</v>
      </c>
      <c r="F61" s="709">
        <v>0</v>
      </c>
      <c r="G61" s="709">
        <v>0</v>
      </c>
      <c r="H61" s="709"/>
      <c r="I61" s="807"/>
      <c r="J61" s="682">
        <v>0</v>
      </c>
      <c r="K61" s="1284"/>
    </row>
    <row r="62" spans="1:11" ht="13.5" thickBot="1">
      <c r="A62" s="710">
        <v>41</v>
      </c>
      <c r="B62" s="683" t="s">
        <v>843</v>
      </c>
      <c r="C62" s="711">
        <v>62107135</v>
      </c>
      <c r="D62" s="808"/>
      <c r="E62" s="686">
        <v>32379432</v>
      </c>
      <c r="F62" s="686">
        <v>8244379</v>
      </c>
      <c r="G62" s="686">
        <v>20495112</v>
      </c>
      <c r="H62" s="686">
        <v>988212</v>
      </c>
      <c r="I62" s="808"/>
      <c r="J62" s="688">
        <v>32379432</v>
      </c>
      <c r="K62" s="1285"/>
    </row>
    <row r="63" spans="1:11" ht="13.5" thickBot="1">
      <c r="A63" s="677">
        <v>42</v>
      </c>
      <c r="B63" s="689" t="s">
        <v>844</v>
      </c>
      <c r="C63" s="690">
        <f>SUM(C61:C62)</f>
        <v>62107135</v>
      </c>
      <c r="D63" s="692"/>
      <c r="E63" s="691">
        <f>SUM(E61:E62)</f>
        <v>32379432</v>
      </c>
      <c r="F63" s="691">
        <f>SUM(F61:F62)</f>
        <v>8244379</v>
      </c>
      <c r="G63" s="691">
        <f>SUM(G61:G62)</f>
        <v>20495112</v>
      </c>
      <c r="H63" s="691">
        <f>SUM(H61:H62)</f>
        <v>988212</v>
      </c>
      <c r="I63" s="692"/>
      <c r="J63" s="695">
        <f>SUM(J61:J62)</f>
        <v>32379432</v>
      </c>
      <c r="K63" s="1286"/>
    </row>
    <row r="64" spans="1:11" ht="13.5" thickBot="1">
      <c r="A64" s="677"/>
      <c r="B64" s="1287"/>
      <c r="C64" s="1288"/>
      <c r="D64" s="1288"/>
      <c r="E64" s="1288"/>
      <c r="F64" s="1288"/>
      <c r="G64" s="1288"/>
      <c r="H64" s="1288"/>
      <c r="I64" s="1288"/>
      <c r="J64" s="1289"/>
      <c r="K64" s="676"/>
    </row>
    <row r="65" spans="1:11" ht="12.75">
      <c r="A65" s="713">
        <v>43</v>
      </c>
      <c r="B65" s="714" t="s">
        <v>848</v>
      </c>
      <c r="C65" s="817">
        <f>SUM(E65:H65)</f>
        <v>30232800</v>
      </c>
      <c r="D65" s="811"/>
      <c r="E65" s="680">
        <v>9237800</v>
      </c>
      <c r="F65" s="718">
        <v>10077600</v>
      </c>
      <c r="G65" s="718">
        <v>10077600</v>
      </c>
      <c r="H65" s="718">
        <v>839800</v>
      </c>
      <c r="I65" s="811"/>
      <c r="J65" s="1284"/>
      <c r="K65" s="682">
        <v>15761811</v>
      </c>
    </row>
    <row r="66" spans="1:11" ht="12.75">
      <c r="A66" s="696">
        <v>44</v>
      </c>
      <c r="B66" s="700" t="s">
        <v>846</v>
      </c>
      <c r="C66" s="701">
        <f>SUM(E66:H66)</f>
        <v>28874335</v>
      </c>
      <c r="D66" s="812"/>
      <c r="E66" s="686">
        <v>9980899</v>
      </c>
      <c r="F66" s="712">
        <v>9427512</v>
      </c>
      <c r="G66" s="712">
        <v>9417512</v>
      </c>
      <c r="H66" s="712">
        <v>48412</v>
      </c>
      <c r="I66" s="812"/>
      <c r="J66" s="1285"/>
      <c r="K66" s="688">
        <v>15053577</v>
      </c>
    </row>
    <row r="67" spans="1:11" ht="13.5" thickBot="1">
      <c r="A67" s="696">
        <v>45</v>
      </c>
      <c r="B67" s="805" t="s">
        <v>942</v>
      </c>
      <c r="C67" s="804">
        <f>SUM(E67:H67)</f>
        <v>3000000</v>
      </c>
      <c r="D67" s="813"/>
      <c r="E67" s="686">
        <v>900000</v>
      </c>
      <c r="F67" s="712">
        <v>1000000</v>
      </c>
      <c r="G67" s="712">
        <v>1000000</v>
      </c>
      <c r="H67" s="712">
        <v>100000</v>
      </c>
      <c r="I67" s="813"/>
      <c r="J67" s="1285"/>
      <c r="K67" s="688">
        <v>1564044</v>
      </c>
    </row>
    <row r="68" spans="1:11" ht="13.5" thickBot="1">
      <c r="A68" s="715">
        <v>46</v>
      </c>
      <c r="B68" s="716" t="s">
        <v>366</v>
      </c>
      <c r="C68" s="704">
        <f>SUM(C65:C67)</f>
        <v>62107135</v>
      </c>
      <c r="D68" s="729"/>
      <c r="E68" s="717">
        <f>SUM(E65:E67)</f>
        <v>20118699</v>
      </c>
      <c r="F68" s="717">
        <f>SUM(F65:F67)</f>
        <v>20505112</v>
      </c>
      <c r="G68" s="717">
        <f>SUM(G65:G67)</f>
        <v>20495112</v>
      </c>
      <c r="H68" s="717">
        <f>SUM(H65:H67)</f>
        <v>988212</v>
      </c>
      <c r="I68" s="729"/>
      <c r="J68" s="1290"/>
      <c r="K68" s="706">
        <f>SUM(K65:K67)</f>
        <v>32379432</v>
      </c>
    </row>
    <row r="69" spans="1:11" ht="14.25" thickBot="1" thickTop="1">
      <c r="A69" s="707"/>
      <c r="B69" s="1278"/>
      <c r="C69" s="1279"/>
      <c r="D69" s="1279"/>
      <c r="E69" s="1279"/>
      <c r="F69" s="1279"/>
      <c r="G69" s="1279"/>
      <c r="H69" s="1279"/>
      <c r="I69" s="1279"/>
      <c r="J69" s="1279"/>
      <c r="K69" s="1280"/>
    </row>
    <row r="70" spans="1:11" ht="14.25" thickBot="1" thickTop="1">
      <c r="A70" s="1327"/>
      <c r="B70" s="1328"/>
      <c r="C70" s="1328"/>
      <c r="D70" s="1328"/>
      <c r="E70" s="1328"/>
      <c r="F70" s="1328"/>
      <c r="G70" s="1328"/>
      <c r="H70" s="1328"/>
      <c r="I70" s="1328"/>
      <c r="J70" s="1328"/>
      <c r="K70" s="1329"/>
    </row>
    <row r="71" spans="1:11" s="829" customFormat="1" ht="24" customHeight="1" thickBot="1" thickTop="1">
      <c r="A71" s="837">
        <v>47</v>
      </c>
      <c r="B71" s="1330" t="s">
        <v>1040</v>
      </c>
      <c r="C71" s="1331"/>
      <c r="D71" s="1331"/>
      <c r="E71" s="1331"/>
      <c r="F71" s="1331"/>
      <c r="G71" s="1331"/>
      <c r="H71" s="1331"/>
      <c r="I71" s="1331"/>
      <c r="J71" s="1331"/>
      <c r="K71" s="1332"/>
    </row>
    <row r="72" spans="1:11" ht="12.75">
      <c r="A72" s="675">
        <v>48</v>
      </c>
      <c r="B72" s="733" t="s">
        <v>847</v>
      </c>
      <c r="C72" s="698">
        <v>0</v>
      </c>
      <c r="D72" s="718">
        <v>0</v>
      </c>
      <c r="E72" s="718">
        <v>0</v>
      </c>
      <c r="F72" s="718">
        <v>0</v>
      </c>
      <c r="G72" s="719"/>
      <c r="H72" s="719"/>
      <c r="I72" s="719"/>
      <c r="J72" s="682">
        <v>0</v>
      </c>
      <c r="K72" s="1284"/>
    </row>
    <row r="73" spans="1:11" ht="13.5" thickBot="1">
      <c r="A73" s="677">
        <v>49</v>
      </c>
      <c r="B73" s="683" t="s">
        <v>843</v>
      </c>
      <c r="C73" s="701">
        <v>1920000</v>
      </c>
      <c r="D73" s="712">
        <v>0</v>
      </c>
      <c r="E73" s="686">
        <v>1920000</v>
      </c>
      <c r="F73" s="686">
        <v>0</v>
      </c>
      <c r="G73" s="720"/>
      <c r="H73" s="720"/>
      <c r="I73" s="721"/>
      <c r="J73" s="688">
        <v>1920000</v>
      </c>
      <c r="K73" s="1285"/>
    </row>
    <row r="74" spans="1:11" ht="13.5" thickBot="1">
      <c r="A74" s="677">
        <v>50</v>
      </c>
      <c r="B74" s="689" t="s">
        <v>844</v>
      </c>
      <c r="C74" s="690">
        <f>SUM(C72:C73)</f>
        <v>1920000</v>
      </c>
      <c r="D74" s="691">
        <f>SUM(D72:D73)</f>
        <v>0</v>
      </c>
      <c r="E74" s="691">
        <f>SUM(E72:E73)</f>
        <v>1920000</v>
      </c>
      <c r="F74" s="691">
        <f>SUM(F72:F73)</f>
        <v>0</v>
      </c>
      <c r="G74" s="681"/>
      <c r="H74" s="681"/>
      <c r="I74" s="681"/>
      <c r="J74" s="695">
        <f>SUM(J72:J73)</f>
        <v>1920000</v>
      </c>
      <c r="K74" s="1286"/>
    </row>
    <row r="75" spans="1:11" ht="13.5" thickBot="1">
      <c r="A75" s="677"/>
      <c r="B75" s="1287"/>
      <c r="C75" s="1288"/>
      <c r="D75" s="1288"/>
      <c r="E75" s="1288"/>
      <c r="F75" s="1288"/>
      <c r="G75" s="1288"/>
      <c r="H75" s="1288"/>
      <c r="I75" s="1288"/>
      <c r="J75" s="1289"/>
      <c r="K75" s="676"/>
    </row>
    <row r="76" spans="1:11" ht="12.75">
      <c r="A76" s="696">
        <v>51</v>
      </c>
      <c r="B76" s="714" t="s">
        <v>845</v>
      </c>
      <c r="C76" s="698">
        <v>1920000</v>
      </c>
      <c r="D76" s="722">
        <v>0</v>
      </c>
      <c r="E76" s="680">
        <v>1920000</v>
      </c>
      <c r="F76" s="722">
        <v>0</v>
      </c>
      <c r="G76" s="719"/>
      <c r="H76" s="719"/>
      <c r="I76" s="719"/>
      <c r="J76" s="1284"/>
      <c r="K76" s="682">
        <v>1920000</v>
      </c>
    </row>
    <row r="77" spans="1:11" ht="13.5" thickBot="1">
      <c r="A77" s="696">
        <v>52</v>
      </c>
      <c r="B77" s="723" t="s">
        <v>850</v>
      </c>
      <c r="C77" s="701">
        <v>0</v>
      </c>
      <c r="D77" s="724">
        <v>0</v>
      </c>
      <c r="E77" s="724">
        <v>0</v>
      </c>
      <c r="F77" s="724">
        <v>0</v>
      </c>
      <c r="G77" s="720"/>
      <c r="H77" s="720"/>
      <c r="I77" s="721"/>
      <c r="J77" s="1285"/>
      <c r="K77" s="688">
        <v>0</v>
      </c>
    </row>
    <row r="78" spans="1:11" ht="13.5" thickBot="1">
      <c r="A78" s="715">
        <v>53</v>
      </c>
      <c r="B78" s="716" t="s">
        <v>366</v>
      </c>
      <c r="C78" s="704">
        <f>SUM(C76:C77)</f>
        <v>1920000</v>
      </c>
      <c r="D78" s="717">
        <f>SUM(D76:D77)</f>
        <v>0</v>
      </c>
      <c r="E78" s="717">
        <f>SUM(E76:E77)</f>
        <v>1920000</v>
      </c>
      <c r="F78" s="717">
        <f>SUM(F76:F77)</f>
        <v>0</v>
      </c>
      <c r="G78" s="729"/>
      <c r="H78" s="729"/>
      <c r="I78" s="730"/>
      <c r="J78" s="1290"/>
      <c r="K78" s="706">
        <f>SUM(K76:K77)</f>
        <v>1920000</v>
      </c>
    </row>
    <row r="79" spans="1:11" ht="14.25" thickBot="1" thickTop="1">
      <c r="A79" s="707"/>
      <c r="B79" s="1319"/>
      <c r="C79" s="1320"/>
      <c r="D79" s="1320"/>
      <c r="E79" s="1320"/>
      <c r="F79" s="1320"/>
      <c r="G79" s="1320"/>
      <c r="H79" s="1320"/>
      <c r="I79" s="1320"/>
      <c r="J79" s="1320"/>
      <c r="K79" s="1321"/>
    </row>
    <row r="80" spans="1:11" s="829" customFormat="1" ht="30" customHeight="1" thickBot="1" thickTop="1">
      <c r="A80" s="837">
        <v>54</v>
      </c>
      <c r="B80" s="1324" t="s">
        <v>943</v>
      </c>
      <c r="C80" s="1325"/>
      <c r="D80" s="1325"/>
      <c r="E80" s="1325"/>
      <c r="F80" s="1325"/>
      <c r="G80" s="1325"/>
      <c r="H80" s="1325"/>
      <c r="I80" s="1325"/>
      <c r="J80" s="1325"/>
      <c r="K80" s="1326"/>
    </row>
    <row r="81" spans="1:11" ht="12.75">
      <c r="A81" s="675">
        <v>55</v>
      </c>
      <c r="B81" s="678" t="s">
        <v>847</v>
      </c>
      <c r="C81" s="708">
        <v>0</v>
      </c>
      <c r="D81" s="807"/>
      <c r="E81" s="709">
        <v>0</v>
      </c>
      <c r="F81" s="709">
        <v>0</v>
      </c>
      <c r="G81" s="807"/>
      <c r="H81" s="807"/>
      <c r="I81" s="807"/>
      <c r="J81" s="682">
        <v>0</v>
      </c>
      <c r="K81" s="1284"/>
    </row>
    <row r="82" spans="1:11" ht="13.5" thickBot="1">
      <c r="A82" s="710">
        <v>56</v>
      </c>
      <c r="B82" s="683" t="s">
        <v>843</v>
      </c>
      <c r="C82" s="711">
        <v>25000000</v>
      </c>
      <c r="D82" s="808"/>
      <c r="E82" s="686">
        <v>20269866</v>
      </c>
      <c r="F82" s="686">
        <v>4730134</v>
      </c>
      <c r="G82" s="808"/>
      <c r="H82" s="808"/>
      <c r="I82" s="808"/>
      <c r="J82" s="688">
        <v>20269866</v>
      </c>
      <c r="K82" s="1285"/>
    </row>
    <row r="83" spans="1:11" ht="13.5" thickBot="1">
      <c r="A83" s="677">
        <v>57</v>
      </c>
      <c r="B83" s="689" t="s">
        <v>844</v>
      </c>
      <c r="C83" s="690">
        <f>SUM(C81:C82)</f>
        <v>25000000</v>
      </c>
      <c r="D83" s="692"/>
      <c r="E83" s="691">
        <f>SUM(E81:E82)</f>
        <v>20269866</v>
      </c>
      <c r="F83" s="691">
        <f>SUM(F81:F82)</f>
        <v>4730134</v>
      </c>
      <c r="G83" s="692"/>
      <c r="H83" s="692"/>
      <c r="I83" s="692"/>
      <c r="J83" s="695">
        <f>SUM(J81:J82)</f>
        <v>20269866</v>
      </c>
      <c r="K83" s="1286"/>
    </row>
    <row r="84" spans="1:11" ht="13.5" thickBot="1">
      <c r="A84" s="677"/>
      <c r="B84" s="1287"/>
      <c r="C84" s="1288"/>
      <c r="D84" s="1288"/>
      <c r="E84" s="1288"/>
      <c r="F84" s="1288"/>
      <c r="G84" s="1288"/>
      <c r="H84" s="1288"/>
      <c r="I84" s="1288"/>
      <c r="J84" s="1289"/>
      <c r="K84" s="676"/>
    </row>
    <row r="85" spans="1:11" ht="12.75">
      <c r="A85" s="713">
        <v>58</v>
      </c>
      <c r="B85" s="714" t="s">
        <v>848</v>
      </c>
      <c r="C85" s="817">
        <f>SUM(E85:H85)</f>
        <v>8483294</v>
      </c>
      <c r="D85" s="811"/>
      <c r="E85" s="680">
        <v>4435163</v>
      </c>
      <c r="F85" s="718">
        <v>4048131</v>
      </c>
      <c r="G85" s="811"/>
      <c r="H85" s="811"/>
      <c r="I85" s="811"/>
      <c r="J85" s="1284"/>
      <c r="K85" s="682">
        <v>4435163</v>
      </c>
    </row>
    <row r="86" spans="1:11" ht="12.75">
      <c r="A86" s="696">
        <v>59</v>
      </c>
      <c r="B86" s="700" t="s">
        <v>846</v>
      </c>
      <c r="C86" s="701">
        <f>SUM(E86:H86)</f>
        <v>14019606</v>
      </c>
      <c r="D86" s="812"/>
      <c r="E86" s="686">
        <v>9556414</v>
      </c>
      <c r="F86" s="712">
        <v>4463192</v>
      </c>
      <c r="G86" s="812"/>
      <c r="H86" s="812"/>
      <c r="I86" s="812"/>
      <c r="J86" s="1285"/>
      <c r="K86" s="688">
        <v>13337603</v>
      </c>
    </row>
    <row r="87" spans="1:11" ht="13.5" thickBot="1">
      <c r="A87" s="696">
        <v>60</v>
      </c>
      <c r="B87" s="805" t="s">
        <v>845</v>
      </c>
      <c r="C87" s="804">
        <f>SUM(E87:H87)</f>
        <v>2497100</v>
      </c>
      <c r="D87" s="813"/>
      <c r="E87" s="686">
        <v>2497100</v>
      </c>
      <c r="F87" s="712">
        <v>0</v>
      </c>
      <c r="G87" s="813"/>
      <c r="H87" s="813"/>
      <c r="I87" s="813"/>
      <c r="J87" s="1285"/>
      <c r="K87" s="688">
        <v>2497100</v>
      </c>
    </row>
    <row r="88" spans="1:11" ht="13.5" thickBot="1">
      <c r="A88" s="715">
        <v>61</v>
      </c>
      <c r="B88" s="716" t="s">
        <v>366</v>
      </c>
      <c r="C88" s="704">
        <f>SUM(C85:C87)</f>
        <v>25000000</v>
      </c>
      <c r="D88" s="729"/>
      <c r="E88" s="717">
        <f>SUM(E85:E87)</f>
        <v>16488677</v>
      </c>
      <c r="F88" s="717">
        <f>SUM(F85:F87)</f>
        <v>8511323</v>
      </c>
      <c r="G88" s="729"/>
      <c r="H88" s="729"/>
      <c r="I88" s="729"/>
      <c r="J88" s="1290"/>
      <c r="K88" s="706">
        <f>SUM(K85:K87)</f>
        <v>20269866</v>
      </c>
    </row>
    <row r="89" spans="1:11" ht="14.25" thickBot="1" thickTop="1">
      <c r="A89" s="707"/>
      <c r="B89" s="1278"/>
      <c r="C89" s="1279"/>
      <c r="D89" s="1279"/>
      <c r="E89" s="1279"/>
      <c r="F89" s="1279"/>
      <c r="G89" s="1279"/>
      <c r="H89" s="1279"/>
      <c r="I89" s="1279"/>
      <c r="J89" s="1279"/>
      <c r="K89" s="1280"/>
    </row>
    <row r="90" spans="1:11" ht="19.5" thickBot="1" thickTop="1">
      <c r="A90" s="832">
        <v>62</v>
      </c>
      <c r="B90" s="1294" t="s">
        <v>771</v>
      </c>
      <c r="C90" s="1295"/>
      <c r="D90" s="1295"/>
      <c r="E90" s="1295"/>
      <c r="F90" s="1295"/>
      <c r="G90" s="1295"/>
      <c r="H90" s="1295"/>
      <c r="I90" s="1295"/>
      <c r="J90" s="1295"/>
      <c r="K90" s="1296"/>
    </row>
    <row r="91" spans="1:11" ht="14.25" thickBot="1" thickTop="1">
      <c r="A91" s="707"/>
      <c r="B91" s="1278"/>
      <c r="C91" s="1279"/>
      <c r="D91" s="1279"/>
      <c r="E91" s="1279"/>
      <c r="F91" s="1279"/>
      <c r="G91" s="1279"/>
      <c r="H91" s="1279"/>
      <c r="I91" s="1279"/>
      <c r="J91" s="1279"/>
      <c r="K91" s="1280"/>
    </row>
    <row r="92" spans="1:11" s="829" customFormat="1" ht="30" customHeight="1" thickBot="1" thickTop="1">
      <c r="A92" s="837">
        <v>63</v>
      </c>
      <c r="B92" s="1322" t="s">
        <v>948</v>
      </c>
      <c r="C92" s="1323"/>
      <c r="D92" s="1323"/>
      <c r="E92" s="1323"/>
      <c r="F92" s="1323"/>
      <c r="G92" s="1323"/>
      <c r="H92" s="1323"/>
      <c r="I92" s="1323"/>
      <c r="J92" s="1323"/>
      <c r="K92" s="838"/>
    </row>
    <row r="93" spans="1:11" ht="12.75">
      <c r="A93" s="675">
        <v>64</v>
      </c>
      <c r="B93" s="725" t="s">
        <v>847</v>
      </c>
      <c r="C93" s="833">
        <v>0</v>
      </c>
      <c r="D93" s="834"/>
      <c r="E93" s="835">
        <v>0</v>
      </c>
      <c r="F93" s="835">
        <v>0</v>
      </c>
      <c r="G93" s="835">
        <v>0</v>
      </c>
      <c r="H93" s="835"/>
      <c r="I93" s="834"/>
      <c r="J93" s="836">
        <v>0</v>
      </c>
      <c r="K93" s="1285"/>
    </row>
    <row r="94" spans="1:11" ht="13.5" thickBot="1">
      <c r="A94" s="710">
        <v>65</v>
      </c>
      <c r="B94" s="683" t="s">
        <v>843</v>
      </c>
      <c r="C94" s="711">
        <v>88217316</v>
      </c>
      <c r="D94" s="808"/>
      <c r="E94" s="686">
        <v>45094449</v>
      </c>
      <c r="F94" s="686"/>
      <c r="G94" s="686"/>
      <c r="H94" s="686"/>
      <c r="I94" s="808"/>
      <c r="J94" s="688">
        <v>45094449</v>
      </c>
      <c r="K94" s="1285"/>
    </row>
    <row r="95" spans="1:11" ht="13.5" thickBot="1">
      <c r="A95" s="677">
        <v>66</v>
      </c>
      <c r="B95" s="689" t="s">
        <v>844</v>
      </c>
      <c r="C95" s="690">
        <f>SUM(C93:C94)</f>
        <v>88217316</v>
      </c>
      <c r="D95" s="692"/>
      <c r="E95" s="691">
        <f>SUM(E93:E94)</f>
        <v>45094449</v>
      </c>
      <c r="F95" s="691">
        <f>SUM(F93:F94)</f>
        <v>0</v>
      </c>
      <c r="G95" s="691">
        <f>SUM(G93:G94)</f>
        <v>0</v>
      </c>
      <c r="H95" s="691">
        <f>SUM(H93:H94)</f>
        <v>0</v>
      </c>
      <c r="I95" s="692"/>
      <c r="J95" s="695">
        <f>SUM(J93:J94)</f>
        <v>45094449</v>
      </c>
      <c r="K95" s="1286"/>
    </row>
    <row r="96" spans="1:11" ht="13.5" thickBot="1">
      <c r="A96" s="677"/>
      <c r="B96" s="1287"/>
      <c r="C96" s="1288"/>
      <c r="D96" s="1288"/>
      <c r="E96" s="1288"/>
      <c r="F96" s="1288"/>
      <c r="G96" s="1288"/>
      <c r="H96" s="1288"/>
      <c r="I96" s="1288"/>
      <c r="J96" s="1289"/>
      <c r="K96" s="676"/>
    </row>
    <row r="97" spans="1:11" ht="12.75">
      <c r="A97" s="713">
        <v>67</v>
      </c>
      <c r="B97" s="714" t="s">
        <v>848</v>
      </c>
      <c r="C97" s="817">
        <f>SUM(E97:H97)</f>
        <v>53041950</v>
      </c>
      <c r="D97" s="811"/>
      <c r="E97" s="680">
        <v>16267810</v>
      </c>
      <c r="F97" s="718">
        <v>17680650</v>
      </c>
      <c r="G97" s="718">
        <v>17680650</v>
      </c>
      <c r="H97" s="718">
        <v>1412840</v>
      </c>
      <c r="I97" s="811"/>
      <c r="J97" s="1284"/>
      <c r="K97" s="682">
        <v>26737000</v>
      </c>
    </row>
    <row r="98" spans="1:11" ht="12.75">
      <c r="A98" s="696">
        <v>68</v>
      </c>
      <c r="B98" s="700" t="s">
        <v>846</v>
      </c>
      <c r="C98" s="701">
        <f>SUM(E98:H98)</f>
        <v>33488176</v>
      </c>
      <c r="D98" s="812"/>
      <c r="E98" s="686">
        <v>11524620</v>
      </c>
      <c r="F98" s="712">
        <v>10704096</v>
      </c>
      <c r="G98" s="712">
        <v>10494095</v>
      </c>
      <c r="H98" s="712">
        <v>765365</v>
      </c>
      <c r="I98" s="812"/>
      <c r="J98" s="1285"/>
      <c r="K98" s="688">
        <v>16670259</v>
      </c>
    </row>
    <row r="99" spans="1:11" ht="13.5" thickBot="1">
      <c r="A99" s="696">
        <v>69</v>
      </c>
      <c r="B99" s="805" t="s">
        <v>845</v>
      </c>
      <c r="C99" s="804">
        <f>SUM(E99:H99)</f>
        <v>1687190</v>
      </c>
      <c r="D99" s="813"/>
      <c r="E99" s="686">
        <v>1687190</v>
      </c>
      <c r="F99" s="712">
        <v>0</v>
      </c>
      <c r="G99" s="712">
        <v>0</v>
      </c>
      <c r="H99" s="712">
        <v>0</v>
      </c>
      <c r="I99" s="813"/>
      <c r="J99" s="1285"/>
      <c r="K99" s="688">
        <v>1687190</v>
      </c>
    </row>
    <row r="100" spans="1:11" ht="13.5" thickBot="1">
      <c r="A100" s="715">
        <v>70</v>
      </c>
      <c r="B100" s="716" t="s">
        <v>366</v>
      </c>
      <c r="C100" s="704">
        <f>SUM(C97:C99)</f>
        <v>88217316</v>
      </c>
      <c r="D100" s="729"/>
      <c r="E100" s="717">
        <f>SUM(E97:E99)</f>
        <v>29479620</v>
      </c>
      <c r="F100" s="717">
        <f>SUM(F97:F99)</f>
        <v>28384746</v>
      </c>
      <c r="G100" s="717">
        <f>SUM(G97:G99)</f>
        <v>28174745</v>
      </c>
      <c r="H100" s="717">
        <f>SUM(H97:H99)</f>
        <v>2178205</v>
      </c>
      <c r="I100" s="729"/>
      <c r="J100" s="1290"/>
      <c r="K100" s="706">
        <f>SUM(K97:K99)</f>
        <v>45094449</v>
      </c>
    </row>
    <row r="101" spans="1:11" ht="14.25" thickBot="1" thickTop="1">
      <c r="A101" s="707"/>
      <c r="B101" s="1278"/>
      <c r="C101" s="1279"/>
      <c r="D101" s="1279"/>
      <c r="E101" s="1279"/>
      <c r="F101" s="1279"/>
      <c r="G101" s="1279"/>
      <c r="H101" s="1279"/>
      <c r="I101" s="1279"/>
      <c r="J101" s="1279"/>
      <c r="K101" s="1280"/>
    </row>
    <row r="102" spans="1:11" s="829" customFormat="1" ht="30" customHeight="1" thickBot="1" thickTop="1">
      <c r="A102" s="837">
        <v>71</v>
      </c>
      <c r="B102" s="1281" t="s">
        <v>947</v>
      </c>
      <c r="C102" s="1282"/>
      <c r="D102" s="1282"/>
      <c r="E102" s="1282"/>
      <c r="F102" s="1282"/>
      <c r="G102" s="1282"/>
      <c r="H102" s="1282"/>
      <c r="I102" s="1282"/>
      <c r="J102" s="1283"/>
      <c r="K102" s="828"/>
    </row>
    <row r="103" spans="1:11" ht="12.75">
      <c r="A103" s="675">
        <v>72</v>
      </c>
      <c r="B103" s="678" t="s">
        <v>847</v>
      </c>
      <c r="C103" s="708">
        <v>0</v>
      </c>
      <c r="D103" s="709">
        <v>0</v>
      </c>
      <c r="E103" s="709">
        <v>0</v>
      </c>
      <c r="F103" s="709">
        <v>0</v>
      </c>
      <c r="G103" s="807"/>
      <c r="H103" s="807"/>
      <c r="I103" s="807"/>
      <c r="J103" s="682">
        <v>0</v>
      </c>
      <c r="K103" s="1284"/>
    </row>
    <row r="104" spans="1:11" ht="13.5" thickBot="1">
      <c r="A104" s="710">
        <v>73</v>
      </c>
      <c r="B104" s="683" t="s">
        <v>843</v>
      </c>
      <c r="C104" s="711">
        <f>SUM(D104:F104)</f>
        <v>40000000</v>
      </c>
      <c r="D104" s="686">
        <v>39200000</v>
      </c>
      <c r="E104" s="686">
        <v>0</v>
      </c>
      <c r="F104" s="686">
        <v>800000</v>
      </c>
      <c r="G104" s="808"/>
      <c r="H104" s="808"/>
      <c r="I104" s="808"/>
      <c r="J104" s="688">
        <v>33512420</v>
      </c>
      <c r="K104" s="1285"/>
    </row>
    <row r="105" spans="1:11" ht="13.5" thickBot="1">
      <c r="A105" s="677">
        <v>74</v>
      </c>
      <c r="B105" s="689" t="s">
        <v>844</v>
      </c>
      <c r="C105" s="690">
        <f>SUM(C103:C104)</f>
        <v>40000000</v>
      </c>
      <c r="D105" s="691">
        <f>SUM(D103:D104)</f>
        <v>39200000</v>
      </c>
      <c r="E105" s="691">
        <f>SUM(E103:E104)</f>
        <v>0</v>
      </c>
      <c r="F105" s="691">
        <f>SUM(F103:F104)</f>
        <v>800000</v>
      </c>
      <c r="G105" s="692"/>
      <c r="H105" s="692"/>
      <c r="I105" s="692"/>
      <c r="J105" s="695">
        <f>SUM(J103:J104)</f>
        <v>33512420</v>
      </c>
      <c r="K105" s="1286"/>
    </row>
    <row r="106" spans="1:11" ht="13.5" thickBot="1">
      <c r="A106" s="677"/>
      <c r="B106" s="1287"/>
      <c r="C106" s="1288"/>
      <c r="D106" s="1288"/>
      <c r="E106" s="1288"/>
      <c r="F106" s="1288"/>
      <c r="G106" s="1288"/>
      <c r="H106" s="1288"/>
      <c r="I106" s="1288"/>
      <c r="J106" s="1289"/>
      <c r="K106" s="676"/>
    </row>
    <row r="107" spans="1:11" ht="13.5" thickBot="1">
      <c r="A107" s="713">
        <v>75</v>
      </c>
      <c r="B107" s="714" t="s">
        <v>848</v>
      </c>
      <c r="C107" s="817">
        <f>SUM(D107:F107)</f>
        <v>12988120</v>
      </c>
      <c r="D107" s="680">
        <v>1760137</v>
      </c>
      <c r="E107" s="680">
        <v>8420987</v>
      </c>
      <c r="F107" s="718">
        <v>2806996</v>
      </c>
      <c r="G107" s="811"/>
      <c r="H107" s="811"/>
      <c r="I107" s="811"/>
      <c r="J107" s="1284"/>
      <c r="K107" s="682">
        <v>11227983</v>
      </c>
    </row>
    <row r="108" spans="1:11" ht="13.5" thickBot="1">
      <c r="A108" s="696">
        <v>76</v>
      </c>
      <c r="B108" s="700" t="s">
        <v>846</v>
      </c>
      <c r="C108" s="817">
        <f>SUM(D108:F108)</f>
        <v>23158258</v>
      </c>
      <c r="D108" s="686">
        <v>2486374</v>
      </c>
      <c r="E108" s="686">
        <v>19871884</v>
      </c>
      <c r="F108" s="712">
        <v>800000</v>
      </c>
      <c r="G108" s="812"/>
      <c r="H108" s="812"/>
      <c r="I108" s="812"/>
      <c r="J108" s="1285"/>
      <c r="K108" s="688">
        <v>19871884</v>
      </c>
    </row>
    <row r="109" spans="1:11" ht="13.5" thickBot="1">
      <c r="A109" s="696">
        <v>77</v>
      </c>
      <c r="B109" s="805" t="s">
        <v>845</v>
      </c>
      <c r="C109" s="817">
        <f>SUM(D109:F109)</f>
        <v>3853622</v>
      </c>
      <c r="D109" s="686">
        <v>1441069</v>
      </c>
      <c r="E109" s="686">
        <v>2412553</v>
      </c>
      <c r="F109" s="712">
        <v>0</v>
      </c>
      <c r="G109" s="813"/>
      <c r="H109" s="813"/>
      <c r="I109" s="813"/>
      <c r="J109" s="1285"/>
      <c r="K109" s="688">
        <v>2412553</v>
      </c>
    </row>
    <row r="110" spans="1:11" ht="13.5" thickBot="1">
      <c r="A110" s="715">
        <v>78</v>
      </c>
      <c r="B110" s="716" t="s">
        <v>366</v>
      </c>
      <c r="C110" s="704">
        <f>SUM(C107:C109)</f>
        <v>40000000</v>
      </c>
      <c r="D110" s="717">
        <f>SUM(D107:D109)</f>
        <v>5687580</v>
      </c>
      <c r="E110" s="717">
        <f>SUM(E107:E109)</f>
        <v>30705424</v>
      </c>
      <c r="F110" s="717">
        <f>SUM(F107:F109)</f>
        <v>3606996</v>
      </c>
      <c r="G110" s="729"/>
      <c r="H110" s="729"/>
      <c r="I110" s="729"/>
      <c r="J110" s="1290"/>
      <c r="K110" s="706">
        <f>SUM(K107:K109)</f>
        <v>33512420</v>
      </c>
    </row>
    <row r="111" ht="13.5" thickTop="1"/>
  </sheetData>
  <sheetProtection/>
  <mergeCells count="62">
    <mergeCell ref="B80:K80"/>
    <mergeCell ref="K81:K83"/>
    <mergeCell ref="A70:K70"/>
    <mergeCell ref="B71:K71"/>
    <mergeCell ref="J107:J110"/>
    <mergeCell ref="B90:K90"/>
    <mergeCell ref="B91:K91"/>
    <mergeCell ref="B102:J102"/>
    <mergeCell ref="K103:K105"/>
    <mergeCell ref="B106:J106"/>
    <mergeCell ref="K93:K95"/>
    <mergeCell ref="B96:J96"/>
    <mergeCell ref="J97:J100"/>
    <mergeCell ref="B101:K101"/>
    <mergeCell ref="B84:J84"/>
    <mergeCell ref="J85:J88"/>
    <mergeCell ref="B89:K89"/>
    <mergeCell ref="B92:J92"/>
    <mergeCell ref="K72:K74"/>
    <mergeCell ref="B75:J75"/>
    <mergeCell ref="J76:J78"/>
    <mergeCell ref="B79:K79"/>
    <mergeCell ref="B59:K59"/>
    <mergeCell ref="B60:J60"/>
    <mergeCell ref="K61:K63"/>
    <mergeCell ref="B64:J64"/>
    <mergeCell ref="J65:J68"/>
    <mergeCell ref="B69:K69"/>
    <mergeCell ref="B1:K1"/>
    <mergeCell ref="B4:K4"/>
    <mergeCell ref="A8:A10"/>
    <mergeCell ref="B8:B10"/>
    <mergeCell ref="C8:I8"/>
    <mergeCell ref="J8:J10"/>
    <mergeCell ref="K8:K10"/>
    <mergeCell ref="C9:C10"/>
    <mergeCell ref="D9:I9"/>
    <mergeCell ref="B12:K12"/>
    <mergeCell ref="B13:J13"/>
    <mergeCell ref="K14:K16"/>
    <mergeCell ref="B17:J17"/>
    <mergeCell ref="J18:J20"/>
    <mergeCell ref="B21:K21"/>
    <mergeCell ref="B22:J22"/>
    <mergeCell ref="K23:K25"/>
    <mergeCell ref="B26:J26"/>
    <mergeCell ref="J27:J29"/>
    <mergeCell ref="B30:K30"/>
    <mergeCell ref="B31:J31"/>
    <mergeCell ref="K32:K34"/>
    <mergeCell ref="B35:J35"/>
    <mergeCell ref="J36:J38"/>
    <mergeCell ref="B39:K39"/>
    <mergeCell ref="K41:K43"/>
    <mergeCell ref="B40:J40"/>
    <mergeCell ref="B48:K48"/>
    <mergeCell ref="B49:J49"/>
    <mergeCell ref="K50:K52"/>
    <mergeCell ref="B53:J53"/>
    <mergeCell ref="J54:J58"/>
    <mergeCell ref="B44:J44"/>
    <mergeCell ref="J45:J4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80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6.125" style="142" customWidth="1"/>
    <col min="2" max="4" width="9.125" style="142" customWidth="1"/>
    <col min="5" max="5" width="40.375" style="142" customWidth="1"/>
    <col min="6" max="6" width="16.125" style="142" bestFit="1" customWidth="1"/>
    <col min="7" max="7" width="14.125" style="142" bestFit="1" customWidth="1"/>
    <col min="8" max="9" width="14.875" style="142" customWidth="1"/>
    <col min="10" max="10" width="16.00390625" style="142" bestFit="1" customWidth="1"/>
    <col min="11" max="16384" width="9.125" style="142" customWidth="1"/>
  </cols>
  <sheetData>
    <row r="1" spans="1:10" s="146" customFormat="1" ht="12.75">
      <c r="A1" s="960" t="s">
        <v>1135</v>
      </c>
      <c r="B1" s="960"/>
      <c r="C1" s="960"/>
      <c r="D1" s="960"/>
      <c r="E1" s="960"/>
      <c r="F1" s="960"/>
      <c r="G1" s="960"/>
      <c r="H1" s="960"/>
      <c r="I1" s="960"/>
      <c r="J1" s="960"/>
    </row>
    <row r="2" spans="1:10" s="146" customFormat="1" ht="9.7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</row>
    <row r="3" spans="1:10" s="146" customFormat="1" ht="16.5">
      <c r="A3" s="961" t="s">
        <v>774</v>
      </c>
      <c r="B3" s="961"/>
      <c r="C3" s="961"/>
      <c r="D3" s="961"/>
      <c r="E3" s="961"/>
      <c r="F3" s="961"/>
      <c r="G3" s="961"/>
      <c r="H3" s="961"/>
      <c r="I3" s="961"/>
      <c r="J3" s="961"/>
    </row>
    <row r="4" spans="1:10" s="146" customFormat="1" ht="12.75">
      <c r="A4" s="147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78" customHeight="1">
      <c r="A5" s="962" t="s">
        <v>0</v>
      </c>
      <c r="B5" s="963"/>
      <c r="C5" s="963"/>
      <c r="D5" s="963"/>
      <c r="E5" s="964"/>
      <c r="F5" s="149" t="s">
        <v>89</v>
      </c>
      <c r="G5" s="149" t="s">
        <v>367</v>
      </c>
      <c r="H5" s="149" t="s">
        <v>771</v>
      </c>
      <c r="I5" s="149" t="s">
        <v>862</v>
      </c>
      <c r="J5" s="150" t="s">
        <v>361</v>
      </c>
    </row>
    <row r="6" spans="1:10" s="153" customFormat="1" ht="15">
      <c r="A6" s="151" t="s">
        <v>420</v>
      </c>
      <c r="B6" s="965" t="s">
        <v>421</v>
      </c>
      <c r="C6" s="966"/>
      <c r="D6" s="966"/>
      <c r="E6" s="967"/>
      <c r="F6" s="152" t="s">
        <v>422</v>
      </c>
      <c r="G6" s="152" t="s">
        <v>423</v>
      </c>
      <c r="H6" s="152" t="s">
        <v>424</v>
      </c>
      <c r="I6" s="152" t="s">
        <v>425</v>
      </c>
      <c r="J6" s="152" t="s">
        <v>427</v>
      </c>
    </row>
    <row r="7" spans="1:11" ht="14.25" customHeight="1">
      <c r="A7" s="154" t="s">
        <v>1</v>
      </c>
      <c r="B7" s="968" t="s">
        <v>355</v>
      </c>
      <c r="C7" s="968"/>
      <c r="D7" s="968"/>
      <c r="E7" s="968"/>
      <c r="F7" s="141">
        <f>29033148+2158500+514000+34895474+10871880+21446460+25000+2846984+16985805+80000+2168500+27145152+40610080+28103985+27815502+12762600+30800+2200+3600833</f>
        <v>261096903</v>
      </c>
      <c r="G7" s="141">
        <f>83641200+385000+1420400+1083000+6373+34746</f>
        <v>86570719</v>
      </c>
      <c r="H7" s="141">
        <f>147547916-7297240-336000+433600+66000+21649000+9187815</f>
        <v>171251091</v>
      </c>
      <c r="I7" s="141">
        <f>2428400+7343000</f>
        <v>9771400</v>
      </c>
      <c r="J7" s="141">
        <f>SUM(F7:I7)</f>
        <v>528690113</v>
      </c>
      <c r="K7" s="601"/>
    </row>
    <row r="8" spans="1:11" ht="13.5" customHeight="1">
      <c r="A8" s="154" t="s">
        <v>3</v>
      </c>
      <c r="B8" s="968" t="s">
        <v>4</v>
      </c>
      <c r="C8" s="968"/>
      <c r="D8" s="968"/>
      <c r="E8" s="968"/>
      <c r="F8" s="141">
        <f>7533426+424933+489933+6862023+1105308+2180390+4388+573827+3345516+41361+426883+6999328+3959404+2740077+6738701+2999211+6006+429+834330+1492000</f>
        <v>48757474</v>
      </c>
      <c r="G8" s="141">
        <f>15658358+75075+293205+211188-8607</f>
        <v>16229219</v>
      </c>
      <c r="H8" s="141">
        <f>31659765-1422962-65520+84552+12870+5088000+2040168</f>
        <v>37396873</v>
      </c>
      <c r="I8" s="141">
        <f>478841+1437188</f>
        <v>1916029</v>
      </c>
      <c r="J8" s="141">
        <f aca="true" t="shared" si="0" ref="J8:J74">SUM(F8:I8)</f>
        <v>104299595</v>
      </c>
      <c r="K8" s="601"/>
    </row>
    <row r="9" spans="1:11" ht="12" customHeight="1">
      <c r="A9" s="154" t="s">
        <v>5</v>
      </c>
      <c r="B9" s="968" t="s">
        <v>6</v>
      </c>
      <c r="C9" s="968"/>
      <c r="D9" s="968"/>
      <c r="E9" s="968"/>
      <c r="F9" s="141">
        <f>14127980+26820278+55480+6220254+1157503+8729294+1270000+736016+11239754+23139400+254000+19910394+360000+18217394+120000+2736870+1917850+54297921+117194+17800000+2114700+26209434+2400000+7848600-5500000+5000000-200000-5715000-2600000+200000+936+141447+9850000+1100000+4650000+1000000-848360+2045415+8057715+54417221+15053577-120000+13337603+63500+68000+90000+146050+190500+15000000+550000-235153+7679730+601200+1417+1283275+672563+95585+3300476-233830-73660+10976885+1100000</f>
        <v>388947408</v>
      </c>
      <c r="G9" s="141">
        <f>20108238+256193+439819+2370+2234</f>
        <v>20808854</v>
      </c>
      <c r="H9" s="141">
        <f>56208129+3-96000-170000+16670259+19871884-152273-151629-84541-195000-79900+17240-198285</f>
        <v>91639887</v>
      </c>
      <c r="I9" s="141">
        <f>1100000+3400630+49530+13986001-3000000-103900</f>
        <v>15432261</v>
      </c>
      <c r="J9" s="141">
        <f t="shared" si="0"/>
        <v>516828410</v>
      </c>
      <c r="K9" s="601"/>
    </row>
    <row r="10" spans="1:11" ht="12.75">
      <c r="A10" s="154" t="s">
        <v>8</v>
      </c>
      <c r="B10" s="968" t="s">
        <v>9</v>
      </c>
      <c r="C10" s="968"/>
      <c r="D10" s="968"/>
      <c r="E10" s="968"/>
      <c r="F10" s="141">
        <f>SUM(F11,F12,F15:F20)</f>
        <v>2942222</v>
      </c>
      <c r="G10" s="141">
        <f>SUM(G11,G12,G15:G20)</f>
        <v>6018160</v>
      </c>
      <c r="H10" s="141">
        <f>SUM(H11,H12,H15:H20)</f>
        <v>0</v>
      </c>
      <c r="I10" s="141">
        <f>SUM(I11,I12,I15:I20)</f>
        <v>0</v>
      </c>
      <c r="J10" s="141">
        <f t="shared" si="0"/>
        <v>8960382</v>
      </c>
      <c r="K10" s="601"/>
    </row>
    <row r="11" spans="1:11" ht="12.75">
      <c r="A11" s="137"/>
      <c r="B11" s="137" t="s">
        <v>10</v>
      </c>
      <c r="C11" s="951" t="s">
        <v>11</v>
      </c>
      <c r="D11" s="953"/>
      <c r="E11" s="952"/>
      <c r="F11" s="140">
        <v>0</v>
      </c>
      <c r="G11" s="140">
        <v>0</v>
      </c>
      <c r="H11" s="140">
        <v>0</v>
      </c>
      <c r="I11" s="140">
        <v>0</v>
      </c>
      <c r="J11" s="141">
        <f t="shared" si="0"/>
        <v>0</v>
      </c>
      <c r="K11" s="601"/>
    </row>
    <row r="12" spans="1:11" ht="12.75">
      <c r="A12" s="137"/>
      <c r="B12" s="137" t="s">
        <v>12</v>
      </c>
      <c r="C12" s="954" t="s">
        <v>13</v>
      </c>
      <c r="D12" s="954"/>
      <c r="E12" s="954"/>
      <c r="F12" s="140">
        <f>SUM(F13:F14)</f>
        <v>0</v>
      </c>
      <c r="G12" s="140">
        <f>SUM(G13:G14)</f>
        <v>6018160</v>
      </c>
      <c r="H12" s="140">
        <f>SUM(H13:H14)</f>
        <v>0</v>
      </c>
      <c r="I12" s="140">
        <f>SUM(I13:I14)</f>
        <v>0</v>
      </c>
      <c r="J12" s="141">
        <f t="shared" si="0"/>
        <v>6018160</v>
      </c>
      <c r="K12" s="601"/>
    </row>
    <row r="13" spans="1:11" ht="23.25" customHeight="1">
      <c r="A13" s="143"/>
      <c r="B13" s="137"/>
      <c r="C13" s="143"/>
      <c r="D13" s="949" t="s">
        <v>647</v>
      </c>
      <c r="E13" s="950"/>
      <c r="F13" s="144"/>
      <c r="G13" s="819">
        <v>5650000</v>
      </c>
      <c r="H13" s="819">
        <v>0</v>
      </c>
      <c r="I13" s="819">
        <v>0</v>
      </c>
      <c r="J13" s="820">
        <f t="shared" si="0"/>
        <v>5650000</v>
      </c>
      <c r="K13" s="601"/>
    </row>
    <row r="14" spans="1:11" ht="22.5" customHeight="1">
      <c r="A14" s="143"/>
      <c r="B14" s="137"/>
      <c r="C14" s="143"/>
      <c r="D14" s="969" t="s">
        <v>648</v>
      </c>
      <c r="E14" s="970"/>
      <c r="F14" s="144"/>
      <c r="G14" s="819">
        <v>368160</v>
      </c>
      <c r="H14" s="819">
        <v>0</v>
      </c>
      <c r="I14" s="819">
        <v>0</v>
      </c>
      <c r="J14" s="820">
        <f t="shared" si="0"/>
        <v>368160</v>
      </c>
      <c r="K14" s="601"/>
    </row>
    <row r="15" spans="1:11" ht="12.75">
      <c r="A15" s="137"/>
      <c r="B15" s="137" t="s">
        <v>136</v>
      </c>
      <c r="C15" s="954" t="s">
        <v>137</v>
      </c>
      <c r="D15" s="954"/>
      <c r="E15" s="954"/>
      <c r="F15" s="140">
        <v>0</v>
      </c>
      <c r="G15" s="140">
        <v>0</v>
      </c>
      <c r="H15" s="140">
        <v>0</v>
      </c>
      <c r="I15" s="140">
        <v>0</v>
      </c>
      <c r="J15" s="141">
        <f t="shared" si="0"/>
        <v>0</v>
      </c>
      <c r="K15" s="601"/>
    </row>
    <row r="16" spans="1:11" ht="12" customHeight="1">
      <c r="A16" s="137"/>
      <c r="B16" s="137" t="s">
        <v>138</v>
      </c>
      <c r="C16" s="951" t="s">
        <v>139</v>
      </c>
      <c r="D16" s="953"/>
      <c r="E16" s="952"/>
      <c r="F16" s="140">
        <f>SUM(F17:F18)</f>
        <v>0</v>
      </c>
      <c r="G16" s="140">
        <f>SUM(G17:G18)</f>
        <v>0</v>
      </c>
      <c r="H16" s="140">
        <f>SUM(H17:H18)</f>
        <v>0</v>
      </c>
      <c r="I16" s="140">
        <f>SUM(I17:I18)</f>
        <v>0</v>
      </c>
      <c r="J16" s="141">
        <f t="shared" si="0"/>
        <v>0</v>
      </c>
      <c r="K16" s="601"/>
    </row>
    <row r="17" spans="1:11" ht="13.5" customHeight="1">
      <c r="A17" s="143"/>
      <c r="B17" s="137" t="s">
        <v>140</v>
      </c>
      <c r="C17" s="137" t="s">
        <v>141</v>
      </c>
      <c r="D17" s="138"/>
      <c r="E17" s="139"/>
      <c r="F17" s="144">
        <v>0</v>
      </c>
      <c r="G17" s="144">
        <v>0</v>
      </c>
      <c r="H17" s="144">
        <v>0</v>
      </c>
      <c r="I17" s="144">
        <v>0</v>
      </c>
      <c r="J17" s="141">
        <f t="shared" si="0"/>
        <v>0</v>
      </c>
      <c r="K17" s="601"/>
    </row>
    <row r="18" spans="1:11" ht="12.75">
      <c r="A18" s="137"/>
      <c r="B18" s="137" t="s">
        <v>142</v>
      </c>
      <c r="C18" s="951" t="s">
        <v>143</v>
      </c>
      <c r="D18" s="953"/>
      <c r="E18" s="952"/>
      <c r="F18" s="140">
        <f>SUM(F19)</f>
        <v>0</v>
      </c>
      <c r="G18" s="140">
        <f>SUM(G19)</f>
        <v>0</v>
      </c>
      <c r="H18" s="140">
        <f>SUM(H19)</f>
        <v>0</v>
      </c>
      <c r="I18" s="140">
        <f>SUM(I19)</f>
        <v>0</v>
      </c>
      <c r="J18" s="141">
        <f t="shared" si="0"/>
        <v>0</v>
      </c>
      <c r="K18" s="601"/>
    </row>
    <row r="19" spans="1:11" ht="12.75">
      <c r="A19" s="137"/>
      <c r="B19" s="137" t="s">
        <v>144</v>
      </c>
      <c r="C19" s="954" t="s">
        <v>14</v>
      </c>
      <c r="D19" s="954"/>
      <c r="E19" s="954"/>
      <c r="F19" s="140">
        <v>0</v>
      </c>
      <c r="G19" s="140">
        <v>0</v>
      </c>
      <c r="H19" s="140">
        <v>0</v>
      </c>
      <c r="I19" s="140">
        <v>0</v>
      </c>
      <c r="J19" s="141">
        <f t="shared" si="0"/>
        <v>0</v>
      </c>
      <c r="K19" s="601"/>
    </row>
    <row r="20" spans="1:11" ht="12.75">
      <c r="A20" s="137"/>
      <c r="B20" s="137" t="s">
        <v>145</v>
      </c>
      <c r="C20" s="951" t="s">
        <v>146</v>
      </c>
      <c r="D20" s="953"/>
      <c r="E20" s="952"/>
      <c r="F20" s="140">
        <f>SUM(F21:F22)</f>
        <v>2942222</v>
      </c>
      <c r="G20" s="140">
        <f>SUM(G21:G22)</f>
        <v>0</v>
      </c>
      <c r="H20" s="140">
        <f>SUM(H21:H22)</f>
        <v>0</v>
      </c>
      <c r="I20" s="140">
        <f>SUM(I21:I22)</f>
        <v>0</v>
      </c>
      <c r="J20" s="141">
        <f t="shared" si="0"/>
        <v>2942222</v>
      </c>
      <c r="K20" s="601"/>
    </row>
    <row r="21" spans="1:11" ht="12.75">
      <c r="A21" s="143"/>
      <c r="B21" s="143"/>
      <c r="C21" s="143"/>
      <c r="D21" s="951" t="s">
        <v>606</v>
      </c>
      <c r="E21" s="952"/>
      <c r="F21" s="144">
        <v>1500000</v>
      </c>
      <c r="G21" s="144">
        <v>0</v>
      </c>
      <c r="H21" s="144">
        <v>0</v>
      </c>
      <c r="I21" s="144">
        <v>0</v>
      </c>
      <c r="J21" s="141">
        <f t="shared" si="0"/>
        <v>1500000</v>
      </c>
      <c r="K21" s="601"/>
    </row>
    <row r="22" spans="1:11" s="145" customFormat="1" ht="12.75">
      <c r="A22" s="143"/>
      <c r="B22" s="143"/>
      <c r="C22" s="143"/>
      <c r="D22" s="951" t="s">
        <v>605</v>
      </c>
      <c r="E22" s="952"/>
      <c r="F22" s="144">
        <v>1442222</v>
      </c>
      <c r="G22" s="144">
        <v>0</v>
      </c>
      <c r="H22" s="144">
        <v>0</v>
      </c>
      <c r="I22" s="144">
        <v>0</v>
      </c>
      <c r="J22" s="141">
        <f t="shared" si="0"/>
        <v>1442222</v>
      </c>
      <c r="K22" s="601"/>
    </row>
    <row r="23" spans="1:11" ht="12" customHeight="1">
      <c r="A23" s="154" t="s">
        <v>147</v>
      </c>
      <c r="B23" s="955" t="s">
        <v>148</v>
      </c>
      <c r="C23" s="956"/>
      <c r="D23" s="956"/>
      <c r="E23" s="957"/>
      <c r="F23" s="141">
        <f>SUM(F57+F45+F46+F43+F42+F41+F40+F29+F28+F27+F26+F24+F25)</f>
        <v>247968891</v>
      </c>
      <c r="G23" s="141">
        <f>SUM(G57+G45+G46+G43+G42+G41+G40+G29+G28+G27+G26+G24+G25)</f>
        <v>0</v>
      </c>
      <c r="H23" s="141">
        <f>SUM(H57+H46+H43+H42+H41+H40+H29+H28+H27+H26+H24+H25)</f>
        <v>0</v>
      </c>
      <c r="I23" s="141">
        <f>SUM(I57+I46+I43+I42+I41+I40+I29+I28+I27+I26+I24+I25)</f>
        <v>0</v>
      </c>
      <c r="J23" s="141">
        <f t="shared" si="0"/>
        <v>247968891</v>
      </c>
      <c r="K23" s="601"/>
    </row>
    <row r="24" spans="1:11" ht="6" customHeight="1" hidden="1">
      <c r="A24" s="143"/>
      <c r="B24" s="143"/>
      <c r="C24" s="143" t="s">
        <v>149</v>
      </c>
      <c r="D24" s="143" t="s">
        <v>150</v>
      </c>
      <c r="E24" s="143"/>
      <c r="F24" s="144">
        <v>0</v>
      </c>
      <c r="G24" s="144">
        <v>0</v>
      </c>
      <c r="H24" s="144">
        <v>0</v>
      </c>
      <c r="I24" s="144">
        <v>0</v>
      </c>
      <c r="J24" s="155">
        <f t="shared" si="0"/>
        <v>0</v>
      </c>
      <c r="K24" s="602"/>
    </row>
    <row r="25" spans="1:11" ht="15" customHeight="1">
      <c r="A25" s="143"/>
      <c r="B25" s="143"/>
      <c r="C25" s="143" t="s">
        <v>151</v>
      </c>
      <c r="D25" s="143" t="s">
        <v>152</v>
      </c>
      <c r="E25" s="143"/>
      <c r="F25" s="144">
        <f>34037935+66110+32640+20906574</f>
        <v>55043259</v>
      </c>
      <c r="G25" s="144">
        <v>0</v>
      </c>
      <c r="H25" s="144">
        <v>0</v>
      </c>
      <c r="I25" s="144">
        <v>0</v>
      </c>
      <c r="J25" s="155">
        <f t="shared" si="0"/>
        <v>55043259</v>
      </c>
      <c r="K25" s="602"/>
    </row>
    <row r="26" spans="1:11" ht="12.75" hidden="1">
      <c r="A26" s="143"/>
      <c r="B26" s="143"/>
      <c r="C26" s="143" t="s">
        <v>153</v>
      </c>
      <c r="D26" s="958" t="s">
        <v>154</v>
      </c>
      <c r="E26" s="959"/>
      <c r="F26" s="144">
        <v>0</v>
      </c>
      <c r="G26" s="144">
        <v>0</v>
      </c>
      <c r="H26" s="144">
        <v>0</v>
      </c>
      <c r="I26" s="144">
        <v>0</v>
      </c>
      <c r="J26" s="155">
        <f t="shared" si="0"/>
        <v>0</v>
      </c>
      <c r="K26" s="602"/>
    </row>
    <row r="27" spans="1:11" ht="12.75" hidden="1">
      <c r="A27" s="143"/>
      <c r="B27" s="143"/>
      <c r="C27" s="143" t="s">
        <v>155</v>
      </c>
      <c r="D27" s="958" t="s">
        <v>156</v>
      </c>
      <c r="E27" s="959"/>
      <c r="F27" s="144">
        <v>0</v>
      </c>
      <c r="G27" s="144">
        <v>0</v>
      </c>
      <c r="H27" s="144">
        <v>0</v>
      </c>
      <c r="I27" s="144">
        <v>0</v>
      </c>
      <c r="J27" s="155">
        <f t="shared" si="0"/>
        <v>0</v>
      </c>
      <c r="K27" s="602"/>
    </row>
    <row r="28" spans="1:11" ht="12.75" hidden="1">
      <c r="A28" s="143"/>
      <c r="B28" s="143"/>
      <c r="C28" s="143" t="s">
        <v>177</v>
      </c>
      <c r="D28" s="958" t="s">
        <v>178</v>
      </c>
      <c r="E28" s="959"/>
      <c r="F28" s="144">
        <v>0</v>
      </c>
      <c r="G28" s="144">
        <v>0</v>
      </c>
      <c r="H28" s="144">
        <v>0</v>
      </c>
      <c r="I28" s="144">
        <v>0</v>
      </c>
      <c r="J28" s="155">
        <f t="shared" si="0"/>
        <v>0</v>
      </c>
      <c r="K28" s="602"/>
    </row>
    <row r="29" spans="1:11" ht="12.75" hidden="1">
      <c r="A29" s="143"/>
      <c r="B29" s="143"/>
      <c r="C29" s="143" t="s">
        <v>179</v>
      </c>
      <c r="D29" s="958" t="s">
        <v>180</v>
      </c>
      <c r="E29" s="959"/>
      <c r="F29" s="144">
        <f>SUM(F30:F39)</f>
        <v>0</v>
      </c>
      <c r="G29" s="144">
        <f>SUM(G30:G39)</f>
        <v>0</v>
      </c>
      <c r="H29" s="144">
        <f>SUM(H30:H39)</f>
        <v>0</v>
      </c>
      <c r="I29" s="144">
        <f>SUM(I30:I39)</f>
        <v>0</v>
      </c>
      <c r="J29" s="155">
        <f t="shared" si="0"/>
        <v>0</v>
      </c>
      <c r="K29" s="602"/>
    </row>
    <row r="30" spans="1:11" ht="12.75" hidden="1">
      <c r="A30" s="156"/>
      <c r="B30" s="156"/>
      <c r="C30" s="157" t="s">
        <v>2</v>
      </c>
      <c r="D30" s="157" t="s">
        <v>157</v>
      </c>
      <c r="E30" s="157" t="s">
        <v>158</v>
      </c>
      <c r="F30" s="158">
        <v>0</v>
      </c>
      <c r="G30" s="158">
        <v>0</v>
      </c>
      <c r="H30" s="158">
        <v>0</v>
      </c>
      <c r="I30" s="158">
        <v>0</v>
      </c>
      <c r="J30" s="155">
        <f t="shared" si="0"/>
        <v>0</v>
      </c>
      <c r="K30" s="602"/>
    </row>
    <row r="31" spans="1:11" ht="12.75" hidden="1">
      <c r="A31" s="156"/>
      <c r="B31" s="156"/>
      <c r="C31" s="157"/>
      <c r="D31" s="157" t="s">
        <v>159</v>
      </c>
      <c r="E31" s="157" t="s">
        <v>160</v>
      </c>
      <c r="F31" s="158">
        <v>0</v>
      </c>
      <c r="G31" s="158">
        <v>0</v>
      </c>
      <c r="H31" s="158">
        <v>0</v>
      </c>
      <c r="I31" s="158">
        <v>0</v>
      </c>
      <c r="J31" s="155">
        <f t="shared" si="0"/>
        <v>0</v>
      </c>
      <c r="K31" s="602"/>
    </row>
    <row r="32" spans="1:11" ht="12.75" hidden="1">
      <c r="A32" s="156"/>
      <c r="B32" s="156"/>
      <c r="C32" s="157"/>
      <c r="D32" s="157" t="s">
        <v>161</v>
      </c>
      <c r="E32" s="157" t="s">
        <v>162</v>
      </c>
      <c r="F32" s="158">
        <v>0</v>
      </c>
      <c r="G32" s="158">
        <v>0</v>
      </c>
      <c r="H32" s="158">
        <v>0</v>
      </c>
      <c r="I32" s="158">
        <v>0</v>
      </c>
      <c r="J32" s="155">
        <f t="shared" si="0"/>
        <v>0</v>
      </c>
      <c r="K32" s="602"/>
    </row>
    <row r="33" spans="1:11" ht="12.75" hidden="1">
      <c r="A33" s="156"/>
      <c r="B33" s="156"/>
      <c r="C33" s="157"/>
      <c r="D33" s="157" t="s">
        <v>163</v>
      </c>
      <c r="E33" s="157" t="s">
        <v>164</v>
      </c>
      <c r="F33" s="158">
        <v>0</v>
      </c>
      <c r="G33" s="158">
        <v>0</v>
      </c>
      <c r="H33" s="158">
        <v>0</v>
      </c>
      <c r="I33" s="158">
        <v>0</v>
      </c>
      <c r="J33" s="155">
        <f t="shared" si="0"/>
        <v>0</v>
      </c>
      <c r="K33" s="602"/>
    </row>
    <row r="34" spans="1:11" ht="12.75" hidden="1">
      <c r="A34" s="156"/>
      <c r="B34" s="156"/>
      <c r="C34" s="157"/>
      <c r="D34" s="157" t="s">
        <v>165</v>
      </c>
      <c r="E34" s="157" t="s">
        <v>166</v>
      </c>
      <c r="F34" s="158">
        <v>0</v>
      </c>
      <c r="G34" s="158">
        <v>0</v>
      </c>
      <c r="H34" s="158">
        <v>0</v>
      </c>
      <c r="I34" s="158">
        <v>0</v>
      </c>
      <c r="J34" s="155">
        <f t="shared" si="0"/>
        <v>0</v>
      </c>
      <c r="K34" s="602"/>
    </row>
    <row r="35" spans="1:11" ht="12.75" hidden="1">
      <c r="A35" s="156"/>
      <c r="B35" s="156"/>
      <c r="C35" s="157"/>
      <c r="D35" s="157" t="s">
        <v>167</v>
      </c>
      <c r="E35" s="157" t="s">
        <v>168</v>
      </c>
      <c r="F35" s="158">
        <v>0</v>
      </c>
      <c r="G35" s="158">
        <v>0</v>
      </c>
      <c r="H35" s="158">
        <v>0</v>
      </c>
      <c r="I35" s="158">
        <v>0</v>
      </c>
      <c r="J35" s="155">
        <f t="shared" si="0"/>
        <v>0</v>
      </c>
      <c r="K35" s="602"/>
    </row>
    <row r="36" spans="1:11" ht="0.75" customHeight="1" hidden="1">
      <c r="A36" s="156"/>
      <c r="B36" s="156"/>
      <c r="C36" s="157"/>
      <c r="D36" s="157" t="s">
        <v>169</v>
      </c>
      <c r="E36" s="157" t="s">
        <v>170</v>
      </c>
      <c r="F36" s="158">
        <v>0</v>
      </c>
      <c r="G36" s="158">
        <v>0</v>
      </c>
      <c r="H36" s="158">
        <v>0</v>
      </c>
      <c r="I36" s="158">
        <v>0</v>
      </c>
      <c r="J36" s="155">
        <f t="shared" si="0"/>
        <v>0</v>
      </c>
      <c r="K36" s="602"/>
    </row>
    <row r="37" spans="1:11" ht="12.75" hidden="1">
      <c r="A37" s="156"/>
      <c r="B37" s="156"/>
      <c r="C37" s="157"/>
      <c r="D37" s="157" t="s">
        <v>171</v>
      </c>
      <c r="E37" s="157" t="s">
        <v>172</v>
      </c>
      <c r="F37" s="158">
        <v>0</v>
      </c>
      <c r="G37" s="158">
        <v>0</v>
      </c>
      <c r="H37" s="158">
        <v>0</v>
      </c>
      <c r="I37" s="158">
        <v>0</v>
      </c>
      <c r="J37" s="155">
        <f t="shared" si="0"/>
        <v>0</v>
      </c>
      <c r="K37" s="602"/>
    </row>
    <row r="38" spans="1:11" ht="12.75" hidden="1">
      <c r="A38" s="156"/>
      <c r="B38" s="156"/>
      <c r="C38" s="157"/>
      <c r="D38" s="157" t="s">
        <v>173</v>
      </c>
      <c r="E38" s="157" t="s">
        <v>174</v>
      </c>
      <c r="F38" s="158">
        <v>0</v>
      </c>
      <c r="G38" s="158">
        <v>0</v>
      </c>
      <c r="H38" s="158">
        <v>0</v>
      </c>
      <c r="I38" s="158">
        <v>0</v>
      </c>
      <c r="J38" s="155">
        <f t="shared" si="0"/>
        <v>0</v>
      </c>
      <c r="K38" s="602"/>
    </row>
    <row r="39" spans="1:11" ht="12.75" hidden="1">
      <c r="A39" s="156"/>
      <c r="B39" s="156"/>
      <c r="C39" s="157"/>
      <c r="D39" s="157" t="s">
        <v>175</v>
      </c>
      <c r="E39" s="157" t="s">
        <v>176</v>
      </c>
      <c r="F39" s="158">
        <v>0</v>
      </c>
      <c r="G39" s="158">
        <v>0</v>
      </c>
      <c r="H39" s="158">
        <v>0</v>
      </c>
      <c r="I39" s="158">
        <v>0</v>
      </c>
      <c r="J39" s="155">
        <f t="shared" si="0"/>
        <v>0</v>
      </c>
      <c r="K39" s="602"/>
    </row>
    <row r="40" spans="1:11" ht="12.75" hidden="1">
      <c r="A40" s="143"/>
      <c r="B40" s="143"/>
      <c r="C40" s="143" t="s">
        <v>181</v>
      </c>
      <c r="D40" s="958" t="s">
        <v>182</v>
      </c>
      <c r="E40" s="959"/>
      <c r="F40" s="144">
        <v>0</v>
      </c>
      <c r="G40" s="144">
        <v>0</v>
      </c>
      <c r="H40" s="144">
        <v>0</v>
      </c>
      <c r="I40" s="144">
        <v>0</v>
      </c>
      <c r="J40" s="155">
        <f t="shared" si="0"/>
        <v>0</v>
      </c>
      <c r="K40" s="602"/>
    </row>
    <row r="41" spans="1:11" ht="12.75" hidden="1">
      <c r="A41" s="143"/>
      <c r="B41" s="143"/>
      <c r="C41" s="143" t="s">
        <v>183</v>
      </c>
      <c r="D41" s="958" t="s">
        <v>536</v>
      </c>
      <c r="E41" s="959"/>
      <c r="F41" s="144">
        <v>0</v>
      </c>
      <c r="G41" s="144">
        <v>0</v>
      </c>
      <c r="H41" s="144">
        <v>0</v>
      </c>
      <c r="I41" s="144">
        <v>0</v>
      </c>
      <c r="J41" s="155">
        <f t="shared" si="0"/>
        <v>0</v>
      </c>
      <c r="K41" s="602"/>
    </row>
    <row r="42" spans="1:11" ht="12.75" hidden="1">
      <c r="A42" s="143"/>
      <c r="B42" s="143"/>
      <c r="C42" s="143" t="s">
        <v>194</v>
      </c>
      <c r="D42" s="958" t="s">
        <v>195</v>
      </c>
      <c r="E42" s="959"/>
      <c r="F42" s="144">
        <v>0</v>
      </c>
      <c r="G42" s="144">
        <v>0</v>
      </c>
      <c r="H42" s="144">
        <v>0</v>
      </c>
      <c r="I42" s="144">
        <v>0</v>
      </c>
      <c r="J42" s="155">
        <f t="shared" si="0"/>
        <v>0</v>
      </c>
      <c r="K42" s="602"/>
    </row>
    <row r="43" spans="1:11" ht="12.75" hidden="1">
      <c r="A43" s="143"/>
      <c r="B43" s="143"/>
      <c r="C43" s="143" t="s">
        <v>196</v>
      </c>
      <c r="D43" s="958" t="s">
        <v>197</v>
      </c>
      <c r="E43" s="959"/>
      <c r="F43" s="144">
        <v>0</v>
      </c>
      <c r="G43" s="144">
        <v>0</v>
      </c>
      <c r="H43" s="144">
        <v>0</v>
      </c>
      <c r="I43" s="144">
        <v>0</v>
      </c>
      <c r="J43" s="155">
        <f t="shared" si="0"/>
        <v>0</v>
      </c>
      <c r="K43" s="602"/>
    </row>
    <row r="44" spans="1:11" ht="12.75" hidden="1">
      <c r="A44" s="143"/>
      <c r="B44" s="143"/>
      <c r="C44" s="143" t="s">
        <v>198</v>
      </c>
      <c r="D44" s="958" t="s">
        <v>578</v>
      </c>
      <c r="E44" s="959"/>
      <c r="F44" s="144">
        <v>0</v>
      </c>
      <c r="G44" s="144">
        <v>0</v>
      </c>
      <c r="H44" s="144">
        <v>0</v>
      </c>
      <c r="I44" s="144">
        <v>0</v>
      </c>
      <c r="J44" s="155">
        <f t="shared" si="0"/>
        <v>0</v>
      </c>
      <c r="K44" s="602"/>
    </row>
    <row r="45" spans="1:11" ht="12.75">
      <c r="A45" s="143"/>
      <c r="B45" s="143"/>
      <c r="C45" s="143" t="s">
        <v>992</v>
      </c>
      <c r="D45" s="949" t="s">
        <v>991</v>
      </c>
      <c r="E45" s="950"/>
      <c r="F45" s="144">
        <f>1055350+28922</f>
        <v>1084272</v>
      </c>
      <c r="G45" s="144">
        <v>0</v>
      </c>
      <c r="H45" s="144">
        <v>0</v>
      </c>
      <c r="I45" s="144">
        <v>0</v>
      </c>
      <c r="J45" s="155">
        <f t="shared" si="0"/>
        <v>1084272</v>
      </c>
      <c r="K45" s="602"/>
    </row>
    <row r="46" spans="1:11" ht="12.75">
      <c r="A46" s="143"/>
      <c r="B46" s="143"/>
      <c r="C46" s="143" t="s">
        <v>200</v>
      </c>
      <c r="D46" s="949" t="s">
        <v>199</v>
      </c>
      <c r="E46" s="950"/>
      <c r="F46" s="144">
        <f>38436000+9850000+1000000+25828000+17049000+16441000+4592665+40519000-9850000-1100000-4650000-1000000+1031200+1564044+5275000+3015000+922000+1397000+2261329+1625335+100000+7100000+868+300000+3692132+2800000+4638836+7265000</f>
        <v>180103409</v>
      </c>
      <c r="G46" s="144">
        <f>SUM(G47:G56)</f>
        <v>0</v>
      </c>
      <c r="H46" s="144">
        <f>SUM(H47:H56)</f>
        <v>0</v>
      </c>
      <c r="I46" s="144">
        <f>SUM(I47:I56)</f>
        <v>0</v>
      </c>
      <c r="J46" s="155">
        <f t="shared" si="0"/>
        <v>180103409</v>
      </c>
      <c r="K46" s="602"/>
    </row>
    <row r="47" spans="1:11" ht="12.75" hidden="1">
      <c r="A47" s="159"/>
      <c r="B47" s="159"/>
      <c r="C47" s="157" t="s">
        <v>2</v>
      </c>
      <c r="D47" s="208" t="s">
        <v>157</v>
      </c>
      <c r="E47" s="208" t="s">
        <v>184</v>
      </c>
      <c r="F47" s="158">
        <v>0</v>
      </c>
      <c r="G47" s="158">
        <v>0</v>
      </c>
      <c r="H47" s="158">
        <v>0</v>
      </c>
      <c r="I47" s="158">
        <v>0</v>
      </c>
      <c r="J47" s="155">
        <f t="shared" si="0"/>
        <v>0</v>
      </c>
      <c r="K47" s="602"/>
    </row>
    <row r="48" spans="1:11" ht="12.75" hidden="1">
      <c r="A48" s="159"/>
      <c r="B48" s="159"/>
      <c r="C48" s="157"/>
      <c r="D48" s="208" t="s">
        <v>159</v>
      </c>
      <c r="E48" s="208" t="s">
        <v>575</v>
      </c>
      <c r="F48" s="158">
        <v>0</v>
      </c>
      <c r="G48" s="158"/>
      <c r="H48" s="158"/>
      <c r="I48" s="158"/>
      <c r="J48" s="155">
        <f t="shared" si="0"/>
        <v>0</v>
      </c>
      <c r="K48" s="602"/>
    </row>
    <row r="49" spans="1:11" ht="12.75" hidden="1">
      <c r="A49" s="159"/>
      <c r="B49" s="159"/>
      <c r="C49" s="157"/>
      <c r="D49" s="208" t="s">
        <v>161</v>
      </c>
      <c r="E49" s="208" t="s">
        <v>185</v>
      </c>
      <c r="F49" s="158">
        <f>100000</f>
        <v>100000</v>
      </c>
      <c r="G49" s="158">
        <v>0</v>
      </c>
      <c r="H49" s="158">
        <v>0</v>
      </c>
      <c r="I49" s="158">
        <v>0</v>
      </c>
      <c r="J49" s="155">
        <f t="shared" si="0"/>
        <v>100000</v>
      </c>
      <c r="K49" s="602"/>
    </row>
    <row r="50" spans="1:11" ht="12.75" hidden="1">
      <c r="A50" s="159"/>
      <c r="B50" s="159"/>
      <c r="C50" s="157"/>
      <c r="D50" s="208" t="s">
        <v>163</v>
      </c>
      <c r="E50" s="208" t="s">
        <v>186</v>
      </c>
      <c r="F50" s="158">
        <v>0</v>
      </c>
      <c r="G50" s="158">
        <v>0</v>
      </c>
      <c r="H50" s="158">
        <v>0</v>
      </c>
      <c r="I50" s="158">
        <v>0</v>
      </c>
      <c r="J50" s="155">
        <f t="shared" si="0"/>
        <v>0</v>
      </c>
      <c r="K50" s="602"/>
    </row>
    <row r="51" spans="1:11" ht="12.75" hidden="1">
      <c r="A51" s="159"/>
      <c r="B51" s="159"/>
      <c r="C51" s="157"/>
      <c r="D51" s="208" t="s">
        <v>165</v>
      </c>
      <c r="E51" s="208" t="s">
        <v>187</v>
      </c>
      <c r="F51" s="158">
        <v>0</v>
      </c>
      <c r="G51" s="158">
        <v>0</v>
      </c>
      <c r="H51" s="158">
        <v>0</v>
      </c>
      <c r="I51" s="158">
        <v>0</v>
      </c>
      <c r="J51" s="155">
        <f t="shared" si="0"/>
        <v>0</v>
      </c>
      <c r="K51" s="602"/>
    </row>
    <row r="52" spans="1:11" ht="12.75" hidden="1">
      <c r="A52" s="159"/>
      <c r="B52" s="159"/>
      <c r="C52" s="157"/>
      <c r="D52" s="208" t="s">
        <v>167</v>
      </c>
      <c r="E52" s="208" t="s">
        <v>188</v>
      </c>
      <c r="F52" s="158">
        <v>0</v>
      </c>
      <c r="G52" s="158">
        <v>0</v>
      </c>
      <c r="H52" s="158">
        <v>0</v>
      </c>
      <c r="I52" s="158">
        <v>0</v>
      </c>
      <c r="J52" s="155">
        <f t="shared" si="0"/>
        <v>0</v>
      </c>
      <c r="K52" s="602"/>
    </row>
    <row r="53" spans="1:11" ht="12.75" hidden="1">
      <c r="A53" s="156"/>
      <c r="B53" s="156"/>
      <c r="C53" s="157"/>
      <c r="D53" s="208" t="s">
        <v>169</v>
      </c>
      <c r="E53" s="208" t="s">
        <v>189</v>
      </c>
      <c r="F53" s="158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158">
        <v>0</v>
      </c>
      <c r="H53" s="158">
        <v>0</v>
      </c>
      <c r="I53" s="158">
        <v>0</v>
      </c>
      <c r="J53" s="155">
        <f t="shared" si="0"/>
        <v>208924042</v>
      </c>
      <c r="K53" s="602"/>
    </row>
    <row r="54" spans="1:11" ht="12.75" hidden="1">
      <c r="A54" s="156"/>
      <c r="B54" s="156"/>
      <c r="C54" s="157"/>
      <c r="D54" s="208" t="s">
        <v>171</v>
      </c>
      <c r="E54" s="208" t="s">
        <v>190</v>
      </c>
      <c r="F54" s="158">
        <f>3224350+35026110</f>
        <v>38250460</v>
      </c>
      <c r="G54" s="158">
        <v>0</v>
      </c>
      <c r="H54" s="158">
        <v>0</v>
      </c>
      <c r="I54" s="158">
        <v>0</v>
      </c>
      <c r="J54" s="155">
        <f t="shared" si="0"/>
        <v>38250460</v>
      </c>
      <c r="K54" s="602"/>
    </row>
    <row r="55" spans="1:11" ht="12.75" hidden="1">
      <c r="A55" s="159"/>
      <c r="B55" s="159"/>
      <c r="C55" s="157"/>
      <c r="D55" s="208" t="s">
        <v>173</v>
      </c>
      <c r="E55" s="208" t="s">
        <v>192</v>
      </c>
      <c r="F55" s="158">
        <v>0</v>
      </c>
      <c r="G55" s="158">
        <v>0</v>
      </c>
      <c r="H55" s="158">
        <v>0</v>
      </c>
      <c r="I55" s="158">
        <v>0</v>
      </c>
      <c r="J55" s="155">
        <f t="shared" si="0"/>
        <v>0</v>
      </c>
      <c r="K55" s="602"/>
    </row>
    <row r="56" spans="1:11" ht="12.75" hidden="1">
      <c r="A56" s="159"/>
      <c r="B56" s="159"/>
      <c r="C56" s="157"/>
      <c r="D56" s="208" t="s">
        <v>175</v>
      </c>
      <c r="E56" s="208" t="s">
        <v>193</v>
      </c>
      <c r="F56" s="158">
        <v>0</v>
      </c>
      <c r="G56" s="158">
        <v>0</v>
      </c>
      <c r="H56" s="158">
        <v>0</v>
      </c>
      <c r="I56" s="158">
        <v>0</v>
      </c>
      <c r="J56" s="155">
        <f t="shared" si="0"/>
        <v>0</v>
      </c>
      <c r="K56" s="602"/>
    </row>
    <row r="57" spans="1:11" ht="12.75">
      <c r="A57" s="159"/>
      <c r="B57" s="159"/>
      <c r="C57" s="143" t="s">
        <v>579</v>
      </c>
      <c r="D57" s="949" t="s">
        <v>201</v>
      </c>
      <c r="E57" s="950"/>
      <c r="F57" s="144">
        <f>SUM(F58:F65)</f>
        <v>11737951</v>
      </c>
      <c r="G57" s="144">
        <f>SUM(G58:G62)</f>
        <v>0</v>
      </c>
      <c r="H57" s="144">
        <f>SUM(H58:H62)</f>
        <v>0</v>
      </c>
      <c r="I57" s="144">
        <f>SUM(I58:I62)</f>
        <v>0</v>
      </c>
      <c r="J57" s="155">
        <f t="shared" si="0"/>
        <v>11737951</v>
      </c>
      <c r="K57" s="602"/>
    </row>
    <row r="58" spans="1:11" ht="12.75">
      <c r="A58" s="156"/>
      <c r="B58" s="156"/>
      <c r="C58" s="160" t="s">
        <v>2</v>
      </c>
      <c r="D58" s="161"/>
      <c r="E58" s="162" t="s">
        <v>419</v>
      </c>
      <c r="F58" s="158">
        <v>1000000</v>
      </c>
      <c r="G58" s="158">
        <v>0</v>
      </c>
      <c r="H58" s="158">
        <v>0</v>
      </c>
      <c r="I58" s="158">
        <v>0</v>
      </c>
      <c r="J58" s="155">
        <f t="shared" si="0"/>
        <v>1000000</v>
      </c>
      <c r="K58" s="602"/>
    </row>
    <row r="59" spans="1:11" ht="12.75">
      <c r="A59" s="156"/>
      <c r="B59" s="156"/>
      <c r="C59" s="157"/>
      <c r="D59" s="161"/>
      <c r="E59" s="162" t="s">
        <v>456</v>
      </c>
      <c r="F59" s="158">
        <f>1000000-63500-68000-30000-90000-146050-190500-150000-261950</f>
        <v>0</v>
      </c>
      <c r="G59" s="158">
        <v>0</v>
      </c>
      <c r="H59" s="158">
        <v>0</v>
      </c>
      <c r="I59" s="158">
        <v>0</v>
      </c>
      <c r="J59" s="155">
        <f t="shared" si="0"/>
        <v>0</v>
      </c>
      <c r="K59" s="602"/>
    </row>
    <row r="60" spans="1:11" ht="12.75">
      <c r="A60" s="156"/>
      <c r="B60" s="156"/>
      <c r="C60" s="157"/>
      <c r="D60" s="161"/>
      <c r="E60" s="162" t="s">
        <v>691</v>
      </c>
      <c r="F60" s="158">
        <f>495000+553029</f>
        <v>1048029</v>
      </c>
      <c r="G60" s="158">
        <v>0</v>
      </c>
      <c r="H60" s="158">
        <v>0</v>
      </c>
      <c r="I60" s="158">
        <v>0</v>
      </c>
      <c r="J60" s="155">
        <f t="shared" si="0"/>
        <v>1048029</v>
      </c>
      <c r="K60" s="602"/>
    </row>
    <row r="61" spans="1:11" ht="22.5">
      <c r="A61" s="156"/>
      <c r="B61" s="156"/>
      <c r="C61" s="157"/>
      <c r="D61" s="161"/>
      <c r="E61" s="600" t="s">
        <v>773</v>
      </c>
      <c r="F61" s="821">
        <f>23433000-20000000-1576197-1055350-288050</f>
        <v>513403</v>
      </c>
      <c r="G61" s="821"/>
      <c r="H61" s="821"/>
      <c r="I61" s="821"/>
      <c r="J61" s="822">
        <f t="shared" si="0"/>
        <v>513403</v>
      </c>
      <c r="K61" s="602"/>
    </row>
    <row r="62" spans="1:11" ht="27.75" customHeight="1">
      <c r="A62" s="156"/>
      <c r="B62" s="156"/>
      <c r="C62" s="157"/>
      <c r="D62" s="161"/>
      <c r="E62" s="823" t="s">
        <v>944</v>
      </c>
      <c r="F62" s="821">
        <v>5000000</v>
      </c>
      <c r="G62" s="821">
        <v>0</v>
      </c>
      <c r="H62" s="821">
        <v>0</v>
      </c>
      <c r="I62" s="821">
        <v>0</v>
      </c>
      <c r="J62" s="822">
        <f t="shared" si="0"/>
        <v>5000000</v>
      </c>
      <c r="K62" s="602"/>
    </row>
    <row r="63" spans="1:11" ht="15.75" customHeight="1">
      <c r="A63" s="156"/>
      <c r="B63" s="156"/>
      <c r="C63" s="157"/>
      <c r="D63" s="161"/>
      <c r="E63" s="823" t="s">
        <v>993</v>
      </c>
      <c r="F63" s="821">
        <v>4176519</v>
      </c>
      <c r="G63" s="821">
        <v>0</v>
      </c>
      <c r="H63" s="821">
        <v>0</v>
      </c>
      <c r="I63" s="821">
        <v>0</v>
      </c>
      <c r="J63" s="822">
        <f t="shared" si="0"/>
        <v>4176519</v>
      </c>
      <c r="K63" s="602"/>
    </row>
    <row r="64" spans="1:11" ht="18" customHeight="1">
      <c r="A64" s="156"/>
      <c r="B64" s="156"/>
      <c r="C64" s="157"/>
      <c r="D64" s="161"/>
      <c r="E64" s="823" t="s">
        <v>981</v>
      </c>
      <c r="F64" s="821">
        <f>59808757-7679730-553029-602617-1492000-8045171-7935168-4176519-28922-20906574-217072-8171955</f>
        <v>0</v>
      </c>
      <c r="G64" s="821"/>
      <c r="H64" s="821"/>
      <c r="I64" s="821"/>
      <c r="J64" s="822">
        <f t="shared" si="0"/>
        <v>0</v>
      </c>
      <c r="K64" s="602"/>
    </row>
    <row r="65" spans="1:11" ht="17.25" customHeight="1">
      <c r="A65" s="156"/>
      <c r="B65" s="156"/>
      <c r="C65" s="157"/>
      <c r="D65" s="161"/>
      <c r="E65" s="823" t="s">
        <v>984</v>
      </c>
      <c r="F65" s="821">
        <f>9782649-6323709-100000-3358940</f>
        <v>0</v>
      </c>
      <c r="G65" s="821"/>
      <c r="H65" s="821"/>
      <c r="I65" s="821"/>
      <c r="J65" s="822">
        <f t="shared" si="0"/>
        <v>0</v>
      </c>
      <c r="K65" s="602"/>
    </row>
    <row r="66" spans="1:11" ht="12" customHeight="1">
      <c r="A66" s="154" t="s">
        <v>129</v>
      </c>
      <c r="B66" s="955" t="s">
        <v>363</v>
      </c>
      <c r="C66" s="956"/>
      <c r="D66" s="956"/>
      <c r="E66" s="957"/>
      <c r="F66" s="141">
        <f>264185263+12223750+525300+8644085+335750+76200+15576620+10986734-11201400+495250+151044+299888+1846997+8983129+120000+2497100+30000+150000+235153+233830+73660+1920000</f>
        <v>318388353</v>
      </c>
      <c r="G66" s="141">
        <f>1229404</f>
        <v>1229404</v>
      </c>
      <c r="H66" s="141">
        <f>304800+1687190+2412553+152273+151629+84541+195000+79900+123070+198285</f>
        <v>5389241</v>
      </c>
      <c r="I66" s="141">
        <v>103900</v>
      </c>
      <c r="J66" s="141">
        <f t="shared" si="0"/>
        <v>325110898</v>
      </c>
      <c r="K66" s="601"/>
    </row>
    <row r="67" spans="1:11" ht="12.75">
      <c r="A67" s="154" t="s">
        <v>131</v>
      </c>
      <c r="B67" s="955" t="s">
        <v>130</v>
      </c>
      <c r="C67" s="956"/>
      <c r="D67" s="956"/>
      <c r="E67" s="957"/>
      <c r="F67" s="141">
        <f>6310000-3810000+508000+17634204+389000+2606050+22279919+850900+3000000+5000000+6528562+1576197</f>
        <v>62872832</v>
      </c>
      <c r="G67" s="141">
        <v>0</v>
      </c>
      <c r="H67" s="141">
        <v>700924</v>
      </c>
      <c r="I67" s="141"/>
      <c r="J67" s="141">
        <f t="shared" si="0"/>
        <v>63573756</v>
      </c>
      <c r="K67" s="601"/>
    </row>
    <row r="68" spans="1:11" ht="12.75">
      <c r="A68" s="154" t="s">
        <v>133</v>
      </c>
      <c r="B68" s="955" t="s">
        <v>132</v>
      </c>
      <c r="C68" s="956"/>
      <c r="D68" s="956"/>
      <c r="E68" s="957"/>
      <c r="F68" s="141">
        <f>SUM(F69:F77)</f>
        <v>19690487</v>
      </c>
      <c r="G68" s="141">
        <f>SUM(G69:G77)</f>
        <v>0</v>
      </c>
      <c r="H68" s="141">
        <f>SUM(H69:H77)</f>
        <v>0</v>
      </c>
      <c r="I68" s="141">
        <f>SUM(I69:I77)</f>
        <v>0</v>
      </c>
      <c r="J68" s="141">
        <f t="shared" si="0"/>
        <v>19690487</v>
      </c>
      <c r="K68" s="601"/>
    </row>
    <row r="69" spans="1:11" ht="12.75" hidden="1">
      <c r="A69" s="137"/>
      <c r="B69" s="137" t="s">
        <v>203</v>
      </c>
      <c r="C69" s="954" t="s">
        <v>204</v>
      </c>
      <c r="D69" s="954"/>
      <c r="E69" s="954"/>
      <c r="F69" s="140">
        <v>0</v>
      </c>
      <c r="G69" s="140">
        <v>0</v>
      </c>
      <c r="H69" s="140">
        <v>0</v>
      </c>
      <c r="I69" s="140">
        <v>0</v>
      </c>
      <c r="J69" s="141">
        <f t="shared" si="0"/>
        <v>0</v>
      </c>
      <c r="K69" s="601"/>
    </row>
    <row r="70" spans="1:11" ht="12.75" hidden="1">
      <c r="A70" s="137"/>
      <c r="B70" s="137" t="s">
        <v>205</v>
      </c>
      <c r="C70" s="954" t="s">
        <v>206</v>
      </c>
      <c r="D70" s="954"/>
      <c r="E70" s="954"/>
      <c r="F70" s="140">
        <v>0</v>
      </c>
      <c r="G70" s="140">
        <v>0</v>
      </c>
      <c r="H70" s="140">
        <v>0</v>
      </c>
      <c r="I70" s="140">
        <v>0</v>
      </c>
      <c r="J70" s="141">
        <f t="shared" si="0"/>
        <v>0</v>
      </c>
      <c r="K70" s="601"/>
    </row>
    <row r="71" spans="1:11" ht="12.75" hidden="1">
      <c r="A71" s="137" t="s">
        <v>202</v>
      </c>
      <c r="B71" s="137" t="s">
        <v>207</v>
      </c>
      <c r="C71" s="954" t="s">
        <v>208</v>
      </c>
      <c r="D71" s="954"/>
      <c r="E71" s="954"/>
      <c r="F71" s="140">
        <v>0</v>
      </c>
      <c r="G71" s="140">
        <v>0</v>
      </c>
      <c r="H71" s="140">
        <v>0</v>
      </c>
      <c r="I71" s="140">
        <v>0</v>
      </c>
      <c r="J71" s="141">
        <f t="shared" si="0"/>
        <v>0</v>
      </c>
      <c r="K71" s="601"/>
    </row>
    <row r="72" spans="1:11" ht="12.75" hidden="1">
      <c r="A72" s="137"/>
      <c r="B72" s="137" t="s">
        <v>209</v>
      </c>
      <c r="C72" s="954" t="s">
        <v>210</v>
      </c>
      <c r="D72" s="954"/>
      <c r="E72" s="954"/>
      <c r="F72" s="140">
        <v>0</v>
      </c>
      <c r="G72" s="140">
        <v>0</v>
      </c>
      <c r="H72" s="140">
        <v>0</v>
      </c>
      <c r="I72" s="140">
        <v>0</v>
      </c>
      <c r="J72" s="141">
        <f t="shared" si="0"/>
        <v>0</v>
      </c>
      <c r="K72" s="601"/>
    </row>
    <row r="73" spans="1:11" ht="12.75" hidden="1">
      <c r="A73" s="137"/>
      <c r="B73" s="137" t="s">
        <v>211</v>
      </c>
      <c r="C73" s="954" t="s">
        <v>212</v>
      </c>
      <c r="D73" s="954"/>
      <c r="E73" s="954"/>
      <c r="F73" s="140">
        <v>0</v>
      </c>
      <c r="G73" s="140">
        <v>0</v>
      </c>
      <c r="H73" s="140">
        <v>0</v>
      </c>
      <c r="I73" s="140">
        <v>0</v>
      </c>
      <c r="J73" s="141">
        <f t="shared" si="0"/>
        <v>0</v>
      </c>
      <c r="K73" s="601"/>
    </row>
    <row r="74" spans="1:11" ht="12.75" hidden="1">
      <c r="A74" s="137"/>
      <c r="B74" s="137" t="s">
        <v>213</v>
      </c>
      <c r="C74" s="954" t="s">
        <v>214</v>
      </c>
      <c r="D74" s="954"/>
      <c r="E74" s="954"/>
      <c r="F74" s="140">
        <v>0</v>
      </c>
      <c r="G74" s="140">
        <v>0</v>
      </c>
      <c r="H74" s="140">
        <v>0</v>
      </c>
      <c r="I74" s="140">
        <v>0</v>
      </c>
      <c r="J74" s="141">
        <f t="shared" si="0"/>
        <v>0</v>
      </c>
      <c r="K74" s="601"/>
    </row>
    <row r="75" spans="1:11" ht="12.75" hidden="1">
      <c r="A75" s="137"/>
      <c r="B75" s="137" t="s">
        <v>215</v>
      </c>
      <c r="C75" s="954" t="s">
        <v>216</v>
      </c>
      <c r="D75" s="954"/>
      <c r="E75" s="954"/>
      <c r="F75" s="140">
        <v>0</v>
      </c>
      <c r="G75" s="140">
        <v>0</v>
      </c>
      <c r="H75" s="140">
        <v>0</v>
      </c>
      <c r="I75" s="140">
        <v>0</v>
      </c>
      <c r="J75" s="141">
        <f>SUM(F75:I75)</f>
        <v>0</v>
      </c>
      <c r="K75" s="601"/>
    </row>
    <row r="76" spans="1:11" ht="12.75" hidden="1">
      <c r="A76" s="137"/>
      <c r="B76" s="137" t="s">
        <v>217</v>
      </c>
      <c r="C76" s="954" t="s">
        <v>581</v>
      </c>
      <c r="D76" s="954"/>
      <c r="E76" s="954"/>
      <c r="F76" s="140">
        <v>0</v>
      </c>
      <c r="G76" s="140">
        <v>0</v>
      </c>
      <c r="H76" s="140">
        <v>0</v>
      </c>
      <c r="I76" s="140">
        <v>0</v>
      </c>
      <c r="J76" s="141">
        <f>SUM(F76:I76)</f>
        <v>0</v>
      </c>
      <c r="K76" s="601"/>
    </row>
    <row r="77" spans="1:11" ht="12.75">
      <c r="A77" s="137"/>
      <c r="B77" s="137" t="s">
        <v>580</v>
      </c>
      <c r="C77" s="954" t="s">
        <v>690</v>
      </c>
      <c r="D77" s="954"/>
      <c r="E77" s="954"/>
      <c r="F77" s="140">
        <f>449520+1159500+18081467</f>
        <v>19690487</v>
      </c>
      <c r="G77" s="140">
        <v>0</v>
      </c>
      <c r="H77" s="140">
        <v>0</v>
      </c>
      <c r="I77" s="140">
        <v>0</v>
      </c>
      <c r="J77" s="141">
        <f>SUM(F77:I77)</f>
        <v>19690487</v>
      </c>
      <c r="K77" s="601"/>
    </row>
    <row r="78" spans="1:11" ht="12.75">
      <c r="A78" s="154" t="s">
        <v>135</v>
      </c>
      <c r="B78" s="955" t="s">
        <v>134</v>
      </c>
      <c r="C78" s="956"/>
      <c r="D78" s="956"/>
      <c r="E78" s="957"/>
      <c r="F78" s="141">
        <v>18041236</v>
      </c>
      <c r="G78" s="141">
        <v>0</v>
      </c>
      <c r="H78" s="141">
        <v>0</v>
      </c>
      <c r="I78" s="141">
        <v>0</v>
      </c>
      <c r="J78" s="141">
        <f>SUM(F78:I78)</f>
        <v>18041236</v>
      </c>
      <c r="K78" s="601"/>
    </row>
    <row r="79" spans="1:10" ht="12.75">
      <c r="A79" s="163"/>
      <c r="B79" s="164"/>
      <c r="C79" s="164"/>
      <c r="D79" s="164"/>
      <c r="E79" s="164"/>
      <c r="F79" s="165"/>
      <c r="G79" s="166"/>
      <c r="H79" s="166"/>
      <c r="I79" s="166"/>
      <c r="J79" s="167"/>
    </row>
    <row r="80" spans="1:10" ht="15.75">
      <c r="A80" s="971" t="s">
        <v>218</v>
      </c>
      <c r="B80" s="972"/>
      <c r="C80" s="972"/>
      <c r="D80" s="972"/>
      <c r="E80" s="973"/>
      <c r="F80" s="168">
        <f>SUM(F7+F8+F9+F10+F23+F66+F67+F68+F78)</f>
        <v>1368705806</v>
      </c>
      <c r="G80" s="168">
        <f>SUM(G7+G8+G9+G10+G23+G66+G67+G68+G78)</f>
        <v>130856356</v>
      </c>
      <c r="H80" s="168">
        <f>SUM(H7+H8+H9+H10+H23+H66+H67+H68+H78)</f>
        <v>306378016</v>
      </c>
      <c r="I80" s="168">
        <f>SUM(I7+I8+I9+I10+I23+I66+I67+I68+I78)</f>
        <v>27223590</v>
      </c>
      <c r="J80" s="168">
        <f>SUM(J7+J8+J9+J10+J23+J66+J67+J68+J78)</f>
        <v>1833163768</v>
      </c>
    </row>
  </sheetData>
  <sheetProtection/>
  <mergeCells count="46">
    <mergeCell ref="C77:E77"/>
    <mergeCell ref="B78:E78"/>
    <mergeCell ref="A80:E80"/>
    <mergeCell ref="C71:E71"/>
    <mergeCell ref="C72:E72"/>
    <mergeCell ref="C73:E73"/>
    <mergeCell ref="C74:E74"/>
    <mergeCell ref="C75:E75"/>
    <mergeCell ref="C76:E76"/>
    <mergeCell ref="B68:E68"/>
    <mergeCell ref="C69:E69"/>
    <mergeCell ref="C70:E70"/>
    <mergeCell ref="B67:E67"/>
    <mergeCell ref="D46:E46"/>
    <mergeCell ref="D57:E57"/>
    <mergeCell ref="B66:E66"/>
    <mergeCell ref="D29:E29"/>
    <mergeCell ref="D40:E40"/>
    <mergeCell ref="D41:E41"/>
    <mergeCell ref="D42:E42"/>
    <mergeCell ref="D43:E43"/>
    <mergeCell ref="D44:E44"/>
    <mergeCell ref="D28:E28"/>
    <mergeCell ref="B10:E10"/>
    <mergeCell ref="B8:E8"/>
    <mergeCell ref="B9:E9"/>
    <mergeCell ref="D13:E13"/>
    <mergeCell ref="D14:E14"/>
    <mergeCell ref="C15:E15"/>
    <mergeCell ref="A1:J1"/>
    <mergeCell ref="A3:J3"/>
    <mergeCell ref="A5:E5"/>
    <mergeCell ref="B6:E6"/>
    <mergeCell ref="B7:E7"/>
    <mergeCell ref="C12:E12"/>
    <mergeCell ref="C11:E11"/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61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125" style="85" bestFit="1" customWidth="1"/>
    <col min="2" max="2" width="55.125" style="37" bestFit="1" customWidth="1"/>
    <col min="3" max="3" width="12.375" style="37" bestFit="1" customWidth="1"/>
    <col min="4" max="5" width="13.375" style="37" bestFit="1" customWidth="1"/>
    <col min="6" max="6" width="53.875" style="37" bestFit="1" customWidth="1"/>
    <col min="7" max="7" width="13.25390625" style="37" bestFit="1" customWidth="1"/>
    <col min="8" max="9" width="14.125" style="37" bestFit="1" customWidth="1"/>
    <col min="10" max="16384" width="9.125" style="37" customWidth="1"/>
  </cols>
  <sheetData>
    <row r="1" spans="6:10" ht="12.75" customHeight="1">
      <c r="F1" s="977" t="s">
        <v>1136</v>
      </c>
      <c r="G1" s="978"/>
      <c r="H1" s="978"/>
      <c r="I1" s="978"/>
      <c r="J1" s="77"/>
    </row>
    <row r="2" spans="2:9" ht="15.75">
      <c r="B2" s="979" t="s">
        <v>775</v>
      </c>
      <c r="C2" s="979"/>
      <c r="D2" s="979"/>
      <c r="E2" s="979"/>
      <c r="F2" s="979"/>
      <c r="G2" s="979"/>
      <c r="H2" s="979"/>
      <c r="I2" s="979"/>
    </row>
    <row r="3" ht="8.25" customHeight="1"/>
    <row r="4" spans="1:9" s="38" customFormat="1" ht="15" customHeight="1">
      <c r="A4" s="981" t="s">
        <v>426</v>
      </c>
      <c r="B4" s="980" t="s">
        <v>432</v>
      </c>
      <c r="C4" s="980"/>
      <c r="D4" s="980"/>
      <c r="E4" s="980"/>
      <c r="F4" s="980" t="s">
        <v>358</v>
      </c>
      <c r="G4" s="980"/>
      <c r="H4" s="980"/>
      <c r="I4" s="980"/>
    </row>
    <row r="5" spans="1:9" s="41" customFormat="1" ht="14.25">
      <c r="A5" s="981"/>
      <c r="B5" s="39" t="s">
        <v>357</v>
      </c>
      <c r="C5" s="40" t="s">
        <v>350</v>
      </c>
      <c r="D5" s="40" t="s">
        <v>349</v>
      </c>
      <c r="E5" s="40" t="s">
        <v>415</v>
      </c>
      <c r="F5" s="39" t="s">
        <v>357</v>
      </c>
      <c r="G5" s="40" t="s">
        <v>350</v>
      </c>
      <c r="H5" s="40" t="s">
        <v>349</v>
      </c>
      <c r="I5" s="40" t="s">
        <v>415</v>
      </c>
    </row>
    <row r="6" spans="1:9" s="84" customFormat="1" ht="12">
      <c r="A6" s="981"/>
      <c r="B6" s="83" t="s">
        <v>420</v>
      </c>
      <c r="C6" s="83" t="s">
        <v>421</v>
      </c>
      <c r="D6" s="83" t="s">
        <v>422</v>
      </c>
      <c r="E6" s="83" t="s">
        <v>423</v>
      </c>
      <c r="F6" s="83" t="s">
        <v>424</v>
      </c>
      <c r="G6" s="83" t="s">
        <v>425</v>
      </c>
      <c r="H6" s="83" t="s">
        <v>427</v>
      </c>
      <c r="I6" s="83" t="s">
        <v>428</v>
      </c>
    </row>
    <row r="7" spans="1:9" s="57" customFormat="1" ht="14.25">
      <c r="A7" s="83">
        <v>1</v>
      </c>
      <c r="B7" s="56" t="s">
        <v>515</v>
      </c>
      <c r="C7" s="74">
        <f>SUM(C8)</f>
        <v>1265334403</v>
      </c>
      <c r="D7" s="74">
        <f>SUM(D32,D8)</f>
        <v>151068300</v>
      </c>
      <c r="E7" s="74">
        <f aca="true" t="shared" si="0" ref="E7:E30">SUM(C7:D7)</f>
        <v>1416402703</v>
      </c>
      <c r="F7" s="56" t="s">
        <v>516</v>
      </c>
      <c r="G7" s="74">
        <f>SUM(G8,G32)</f>
        <v>1397570872</v>
      </c>
      <c r="H7" s="74">
        <f>SUM(H8,H32)</f>
        <v>417551660</v>
      </c>
      <c r="I7" s="74">
        <f aca="true" t="shared" si="1" ref="I7:I16">SUM(G7:H7)</f>
        <v>1815122532</v>
      </c>
    </row>
    <row r="8" spans="1:9" s="66" customFormat="1" ht="12.75">
      <c r="A8" s="86">
        <v>2</v>
      </c>
      <c r="B8" s="63" t="s">
        <v>450</v>
      </c>
      <c r="C8" s="64">
        <f>SUM(C28+C18+C13+C9)</f>
        <v>1265334403</v>
      </c>
      <c r="D8" s="64">
        <f>SUM(D28+D18+D13+D9)</f>
        <v>0</v>
      </c>
      <c r="E8" s="64">
        <f t="shared" si="0"/>
        <v>1265334403</v>
      </c>
      <c r="F8" s="65" t="s">
        <v>453</v>
      </c>
      <c r="G8" s="64">
        <f>SUM(G9:G13)</f>
        <v>1397570872</v>
      </c>
      <c r="H8" s="64">
        <f>SUM(H9:H13)</f>
        <v>9176519</v>
      </c>
      <c r="I8" s="64">
        <f t="shared" si="1"/>
        <v>1406747391</v>
      </c>
    </row>
    <row r="9" spans="1:9" s="44" customFormat="1" ht="12.75">
      <c r="A9" s="86">
        <v>3</v>
      </c>
      <c r="B9" s="72" t="s">
        <v>15</v>
      </c>
      <c r="C9" s="53">
        <f>SUM(C10:C12)</f>
        <v>988676530</v>
      </c>
      <c r="D9" s="53">
        <v>0</v>
      </c>
      <c r="E9" s="53">
        <f t="shared" si="0"/>
        <v>988676530</v>
      </c>
      <c r="F9" s="73" t="s">
        <v>454</v>
      </c>
      <c r="G9" s="53">
        <f>147547916+29033148+2158500+514000+34895474+10871880+21446460+25000+2846984+16985805+80000+2168500+27145152+83641200+2428400+7343000-7297240-336000+40610080+28103985+27815502+12762600+30800+2200+385000+1420400+433600+66000+3600833+21649000+9187815+1083000+6373+34746</f>
        <v>528690113</v>
      </c>
      <c r="H9" s="53">
        <v>0</v>
      </c>
      <c r="I9" s="53">
        <f t="shared" si="1"/>
        <v>528690113</v>
      </c>
    </row>
    <row r="10" spans="1:9" s="44" customFormat="1" ht="12.75">
      <c r="A10" s="83">
        <v>4</v>
      </c>
      <c r="B10" s="50" t="s">
        <v>16</v>
      </c>
      <c r="C10" s="55">
        <f>200053809+112608900+165550125+10661310+367584+1341084+1096532+10529284+7265000+95585+30000000</f>
        <v>539569213</v>
      </c>
      <c r="D10" s="55">
        <v>0</v>
      </c>
      <c r="E10" s="55">
        <f t="shared" si="0"/>
        <v>539569213</v>
      </c>
      <c r="F10" s="73" t="s">
        <v>704</v>
      </c>
      <c r="G10" s="53">
        <f>31659765+7533426+424933+489933+6862023+1105308+2180390+4388+573827+3345516+41361+426883+6999328+15658358+478841+1437188-1422962-65520+3959404+2740077+6738701+2999211+6006+429+75075+293205+84552+12870+834330+5088000+2040168+1492000+211188-8607</f>
        <v>104299595</v>
      </c>
      <c r="H10" s="53">
        <v>0</v>
      </c>
      <c r="I10" s="53">
        <f t="shared" si="1"/>
        <v>104299595</v>
      </c>
    </row>
    <row r="11" spans="1:9" s="44" customFormat="1" ht="12.75">
      <c r="A11" s="86">
        <v>5</v>
      </c>
      <c r="B11" s="50" t="s">
        <v>702</v>
      </c>
      <c r="C11" s="55">
        <v>0</v>
      </c>
      <c r="D11" s="55">
        <v>0</v>
      </c>
      <c r="E11" s="55">
        <f t="shared" si="0"/>
        <v>0</v>
      </c>
      <c r="F11" s="73" t="s">
        <v>38</v>
      </c>
      <c r="G11" s="53">
        <f>56208129+14127980+26820278+55480+6220254+1157503+8729294+1270000+736016+11239754+23139400+254000+19910394+360000+18217394+120000+2736870+1917850+54297921+117194+17800000+2114700+26209434+2400000+7848600+20108238+1100000+3400630+49530+13986001+3-5500000+5000000-200000-5715000-2600000+200000+936+141447+9850000+1100000+4650000+1000000-3000000-848360-96000-170000+2045415+8057715+54417221+15053577-103900-120000+256193+13337603+16670259+19871884+63500+68000+90000+146050+190500+15000000+550000-235153+7679730+601200+1417+1283275+672563+95585+3300476-233830-73660+439819-152273-151629-84541-195000-79900+17240+2370+2234-198285+1100000+10976885</f>
        <v>516828410</v>
      </c>
      <c r="H11" s="53">
        <v>0</v>
      </c>
      <c r="I11" s="53">
        <f t="shared" si="1"/>
        <v>516828410</v>
      </c>
    </row>
    <row r="12" spans="1:9" s="44" customFormat="1" ht="12.75">
      <c r="A12" s="86">
        <v>6</v>
      </c>
      <c r="B12" s="50" t="s">
        <v>17</v>
      </c>
      <c r="C12" s="55">
        <f>38966057+11977188+23626850+3652363+21588000+3971695+6245115+6018160+63035474+2000000+581210+46614899+38901777+88971424+32379432+1969798+17772766+43407259-8045171-7935168+1294188+37116+10976885+1100000</f>
        <v>449107317</v>
      </c>
      <c r="D12" s="55">
        <v>0</v>
      </c>
      <c r="E12" s="55">
        <f t="shared" si="0"/>
        <v>449107317</v>
      </c>
      <c r="F12" s="73" t="s">
        <v>39</v>
      </c>
      <c r="G12" s="53">
        <f>2942222+6018160</f>
        <v>8960382</v>
      </c>
      <c r="H12" s="53">
        <v>0</v>
      </c>
      <c r="I12" s="53">
        <f t="shared" si="1"/>
        <v>8960382</v>
      </c>
    </row>
    <row r="13" spans="1:9" s="44" customFormat="1" ht="12.75">
      <c r="A13" s="83">
        <v>7</v>
      </c>
      <c r="B13" s="72" t="s">
        <v>21</v>
      </c>
      <c r="C13" s="53">
        <f>SUM(C14:C17)</f>
        <v>227595000</v>
      </c>
      <c r="D13" s="53">
        <f>SUM(D14:D17)</f>
        <v>0</v>
      </c>
      <c r="E13" s="53">
        <f t="shared" si="0"/>
        <v>227595000</v>
      </c>
      <c r="F13" s="76" t="s">
        <v>40</v>
      </c>
      <c r="G13" s="53">
        <f>SUM(G14:G18)</f>
        <v>238792372</v>
      </c>
      <c r="H13" s="53">
        <f>SUM(H14:H18)</f>
        <v>9176519</v>
      </c>
      <c r="I13" s="53">
        <f t="shared" si="1"/>
        <v>247968891</v>
      </c>
    </row>
    <row r="14" spans="1:9" s="45" customFormat="1" ht="12.75">
      <c r="A14" s="86">
        <v>8</v>
      </c>
      <c r="B14" s="50" t="s">
        <v>117</v>
      </c>
      <c r="C14" s="55">
        <v>202400000</v>
      </c>
      <c r="D14" s="55">
        <v>0</v>
      </c>
      <c r="E14" s="55">
        <f t="shared" si="0"/>
        <v>202400000</v>
      </c>
      <c r="F14" s="52" t="s">
        <v>776</v>
      </c>
      <c r="G14" s="55">
        <f>34037935+66110+32640+20906574</f>
        <v>55043259</v>
      </c>
      <c r="H14" s="55">
        <v>0</v>
      </c>
      <c r="I14" s="55">
        <f t="shared" si="1"/>
        <v>55043259</v>
      </c>
    </row>
    <row r="15" spans="1:9" s="45" customFormat="1" ht="12.75">
      <c r="A15" s="86"/>
      <c r="B15" s="51" t="s">
        <v>858</v>
      </c>
      <c r="C15" s="55">
        <v>50000</v>
      </c>
      <c r="D15" s="55">
        <v>0</v>
      </c>
      <c r="E15" s="55">
        <f t="shared" si="0"/>
        <v>50000</v>
      </c>
      <c r="F15" s="52" t="s">
        <v>703</v>
      </c>
      <c r="G15" s="55">
        <v>0</v>
      </c>
      <c r="H15" s="55">
        <v>0</v>
      </c>
      <c r="I15" s="55">
        <f t="shared" si="1"/>
        <v>0</v>
      </c>
    </row>
    <row r="16" spans="1:9" s="45" customFormat="1" ht="12.75">
      <c r="A16" s="86">
        <v>9</v>
      </c>
      <c r="B16" s="51" t="s">
        <v>859</v>
      </c>
      <c r="C16" s="55">
        <v>24000000</v>
      </c>
      <c r="D16" s="55">
        <v>0</v>
      </c>
      <c r="E16" s="55">
        <f t="shared" si="0"/>
        <v>24000000</v>
      </c>
      <c r="F16" s="52" t="s">
        <v>994</v>
      </c>
      <c r="G16" s="55">
        <f>1055350+28922</f>
        <v>1084272</v>
      </c>
      <c r="H16" s="55">
        <v>0</v>
      </c>
      <c r="I16" s="55">
        <f t="shared" si="1"/>
        <v>1084272</v>
      </c>
    </row>
    <row r="17" spans="1:9" s="45" customFormat="1" ht="12.75">
      <c r="A17" s="83">
        <v>10</v>
      </c>
      <c r="B17" s="50" t="s">
        <v>860</v>
      </c>
      <c r="C17" s="55">
        <v>1145000</v>
      </c>
      <c r="D17" s="55">
        <v>0</v>
      </c>
      <c r="E17" s="55">
        <f t="shared" si="0"/>
        <v>1145000</v>
      </c>
      <c r="F17" s="52" t="s">
        <v>995</v>
      </c>
      <c r="G17" s="55">
        <f>38436000+9850000+1000000+25828000+17049000+16441000+4592665+40519000-9850000-1100000-4650000-1000000+1031200+1564044+14495664+100000+18531836+7265000+4592665-4592665</f>
        <v>180103409</v>
      </c>
      <c r="H17" s="55">
        <v>0</v>
      </c>
      <c r="I17" s="55">
        <f>SUM(G17:H17)</f>
        <v>180103409</v>
      </c>
    </row>
    <row r="18" spans="1:9" s="45" customFormat="1" ht="12.75">
      <c r="A18" s="86">
        <v>11</v>
      </c>
      <c r="B18" s="72" t="s">
        <v>22</v>
      </c>
      <c r="C18" s="53">
        <f>SUM(C19:C27)</f>
        <v>48693302</v>
      </c>
      <c r="D18" s="53">
        <f>SUM(D19:D27)</f>
        <v>0</v>
      </c>
      <c r="E18" s="53">
        <f t="shared" si="0"/>
        <v>48693302</v>
      </c>
      <c r="F18" s="52" t="s">
        <v>996</v>
      </c>
      <c r="G18" s="55">
        <f>73496000-47568000-20000000-63500-68000-30000-90000-146050-1576197-190500-150000-1055350-261950-288050+59808757+9782649-7679730+553029-553029-602617-1492000-8045171-7935168-4176519-28922-20906574-217072-8171955-6323709-100000-3358940</f>
        <v>2561432</v>
      </c>
      <c r="H18" s="55">
        <f>5000000+4176519</f>
        <v>9176519</v>
      </c>
      <c r="I18" s="55">
        <f>SUM(G18:H18)</f>
        <v>11737951</v>
      </c>
    </row>
    <row r="19" spans="1:9" s="44" customFormat="1" ht="12.75">
      <c r="A19" s="86">
        <v>12</v>
      </c>
      <c r="B19" s="50" t="s">
        <v>582</v>
      </c>
      <c r="C19" s="55">
        <f>400000+5848600</f>
        <v>6248600</v>
      </c>
      <c r="D19" s="55">
        <v>0</v>
      </c>
      <c r="E19" s="55">
        <f t="shared" si="0"/>
        <v>6248600</v>
      </c>
      <c r="F19" s="76"/>
      <c r="G19" s="53"/>
      <c r="H19" s="53"/>
      <c r="I19" s="53"/>
    </row>
    <row r="20" spans="1:9" s="44" customFormat="1" ht="12.75">
      <c r="A20" s="83">
        <v>13</v>
      </c>
      <c r="B20" s="50" t="s">
        <v>23</v>
      </c>
      <c r="C20" s="55">
        <f>14236474+4500000+250000+100559+2851094</f>
        <v>21938127</v>
      </c>
      <c r="D20" s="55">
        <v>0</v>
      </c>
      <c r="E20" s="55">
        <f t="shared" si="0"/>
        <v>21938127</v>
      </c>
      <c r="F20" s="52"/>
      <c r="G20" s="55"/>
      <c r="H20" s="55"/>
      <c r="I20" s="55"/>
    </row>
    <row r="21" spans="1:9" s="44" customFormat="1" ht="12.75">
      <c r="A21" s="86">
        <v>14</v>
      </c>
      <c r="B21" s="50" t="s">
        <v>24</v>
      </c>
      <c r="C21" s="55">
        <f>2486532+652000+101556+3949049+360500</f>
        <v>7549637</v>
      </c>
      <c r="D21" s="55">
        <v>0</v>
      </c>
      <c r="E21" s="55">
        <f t="shared" si="0"/>
        <v>7549637</v>
      </c>
      <c r="F21" s="52"/>
      <c r="G21" s="55"/>
      <c r="H21" s="55"/>
      <c r="I21" s="55"/>
    </row>
    <row r="22" spans="1:9" s="44" customFormat="1" ht="12.75">
      <c r="A22" s="86">
        <v>15</v>
      </c>
      <c r="B22" s="50" t="s">
        <v>537</v>
      </c>
      <c r="C22" s="55">
        <v>639000</v>
      </c>
      <c r="D22" s="55">
        <v>0</v>
      </c>
      <c r="E22" s="55">
        <f t="shared" si="0"/>
        <v>639000</v>
      </c>
      <c r="F22" s="52"/>
      <c r="G22" s="55"/>
      <c r="H22" s="55"/>
      <c r="I22" s="55"/>
    </row>
    <row r="23" spans="1:9" s="44" customFormat="1" ht="12.75">
      <c r="A23" s="83">
        <v>16</v>
      </c>
      <c r="B23" s="50" t="s">
        <v>25</v>
      </c>
      <c r="C23" s="55">
        <f>963355+5498780</f>
        <v>6462135</v>
      </c>
      <c r="D23" s="55">
        <v>0</v>
      </c>
      <c r="E23" s="55">
        <f t="shared" si="0"/>
        <v>6462135</v>
      </c>
      <c r="F23" s="52"/>
      <c r="G23" s="55"/>
      <c r="H23" s="55"/>
      <c r="I23" s="55"/>
    </row>
    <row r="24" spans="1:9" s="44" customFormat="1" ht="12.75">
      <c r="A24" s="86">
        <v>17</v>
      </c>
      <c r="B24" s="50" t="s">
        <v>26</v>
      </c>
      <c r="C24" s="55">
        <f>259712+551266+176040+1323000+1484671+15638+977417+27151+705130+1</f>
        <v>5520026</v>
      </c>
      <c r="D24" s="55">
        <v>0</v>
      </c>
      <c r="E24" s="55">
        <f t="shared" si="0"/>
        <v>5520026</v>
      </c>
      <c r="F24" s="43"/>
      <c r="G24" s="55"/>
      <c r="H24" s="54"/>
      <c r="I24" s="54"/>
    </row>
    <row r="25" spans="1:9" s="44" customFormat="1" ht="12.75">
      <c r="A25" s="86">
        <v>18</v>
      </c>
      <c r="B25" s="50" t="s">
        <v>311</v>
      </c>
      <c r="C25" s="55">
        <v>0</v>
      </c>
      <c r="D25" s="55">
        <v>0</v>
      </c>
      <c r="E25" s="55">
        <f t="shared" si="0"/>
        <v>0</v>
      </c>
      <c r="F25" s="43"/>
      <c r="G25" s="55"/>
      <c r="H25" s="54"/>
      <c r="I25" s="54"/>
    </row>
    <row r="26" spans="1:9" s="44" customFormat="1" ht="12.75">
      <c r="A26" s="86">
        <v>19</v>
      </c>
      <c r="B26" s="50" t="s">
        <v>727</v>
      </c>
      <c r="C26" s="55">
        <v>3000</v>
      </c>
      <c r="D26" s="55">
        <v>0</v>
      </c>
      <c r="E26" s="55">
        <f t="shared" si="0"/>
        <v>3000</v>
      </c>
      <c r="F26" s="43"/>
      <c r="G26" s="55"/>
      <c r="H26" s="54"/>
      <c r="I26" s="54"/>
    </row>
    <row r="27" spans="1:9" s="42" customFormat="1" ht="12.75">
      <c r="A27" s="83">
        <v>20</v>
      </c>
      <c r="B27" s="50" t="s">
        <v>728</v>
      </c>
      <c r="C27" s="55">
        <f>10801933+60128-10529284</f>
        <v>332777</v>
      </c>
      <c r="D27" s="55">
        <v>0</v>
      </c>
      <c r="E27" s="55">
        <f t="shared" si="0"/>
        <v>332777</v>
      </c>
      <c r="F27" s="43"/>
      <c r="G27" s="54"/>
      <c r="H27" s="54"/>
      <c r="I27" s="54"/>
    </row>
    <row r="28" spans="1:9" s="42" customFormat="1" ht="12.75">
      <c r="A28" s="86">
        <v>21</v>
      </c>
      <c r="B28" s="72" t="s">
        <v>32</v>
      </c>
      <c r="C28" s="53">
        <f>SUM(C29:C30)</f>
        <v>369571</v>
      </c>
      <c r="D28" s="53">
        <v>0</v>
      </c>
      <c r="E28" s="53">
        <f t="shared" si="0"/>
        <v>369571</v>
      </c>
      <c r="F28" s="43"/>
      <c r="G28" s="54"/>
      <c r="H28" s="54"/>
      <c r="I28" s="54"/>
    </row>
    <row r="29" spans="1:9" s="42" customFormat="1" ht="12.75">
      <c r="A29" s="86">
        <v>22</v>
      </c>
      <c r="B29" s="50" t="s">
        <v>33</v>
      </c>
      <c r="C29" s="55">
        <v>0</v>
      </c>
      <c r="D29" s="55">
        <v>0</v>
      </c>
      <c r="E29" s="55">
        <f t="shared" si="0"/>
        <v>0</v>
      </c>
      <c r="F29" s="43"/>
      <c r="G29" s="54"/>
      <c r="H29" s="54"/>
      <c r="I29" s="54"/>
    </row>
    <row r="30" spans="1:9" s="42" customFormat="1" ht="12.75">
      <c r="A30" s="83">
        <v>23</v>
      </c>
      <c r="B30" s="50" t="s">
        <v>34</v>
      </c>
      <c r="C30" s="55">
        <f>302525+67046</f>
        <v>369571</v>
      </c>
      <c r="D30" s="55">
        <v>0</v>
      </c>
      <c r="E30" s="55">
        <f t="shared" si="0"/>
        <v>369571</v>
      </c>
      <c r="F30" s="43"/>
      <c r="G30" s="54"/>
      <c r="H30" s="54"/>
      <c r="I30" s="54"/>
    </row>
    <row r="31" spans="1:9" s="42" customFormat="1" ht="12.75">
      <c r="A31" s="86">
        <v>24</v>
      </c>
      <c r="B31" s="50"/>
      <c r="C31" s="55"/>
      <c r="D31" s="55"/>
      <c r="E31" s="55"/>
      <c r="F31" s="43"/>
      <c r="G31" s="54"/>
      <c r="H31" s="54"/>
      <c r="I31" s="54"/>
    </row>
    <row r="32" spans="1:9" s="66" customFormat="1" ht="12.75">
      <c r="A32" s="86">
        <v>25</v>
      </c>
      <c r="B32" s="67" t="s">
        <v>452</v>
      </c>
      <c r="C32" s="64">
        <f>SUM(C41+C36+C33)</f>
        <v>0</v>
      </c>
      <c r="D32" s="64">
        <f>SUM(D41+D36+D33)</f>
        <v>151068300</v>
      </c>
      <c r="E32" s="64">
        <f>SUM(D32:D32)</f>
        <v>151068300</v>
      </c>
      <c r="F32" s="65" t="s">
        <v>345</v>
      </c>
      <c r="G32" s="64">
        <f>SUM(G33:G35)</f>
        <v>0</v>
      </c>
      <c r="H32" s="64">
        <f>SUM(H33:H35)</f>
        <v>408375141</v>
      </c>
      <c r="I32" s="64">
        <f aca="true" t="shared" si="2" ref="I32:I40">SUM(G32:H32)</f>
        <v>408375141</v>
      </c>
    </row>
    <row r="33" spans="1:9" s="42" customFormat="1" ht="12.75">
      <c r="A33" s="83">
        <v>26</v>
      </c>
      <c r="B33" s="72" t="s">
        <v>18</v>
      </c>
      <c r="C33" s="53">
        <f>SUM(C34:C35)</f>
        <v>0</v>
      </c>
      <c r="D33" s="53">
        <f>SUM(D34:D35)</f>
        <v>69707348</v>
      </c>
      <c r="E33" s="53">
        <f>SUM(D33:D33)</f>
        <v>69707348</v>
      </c>
      <c r="F33" s="73" t="s">
        <v>41</v>
      </c>
      <c r="G33" s="53">
        <v>0</v>
      </c>
      <c r="H33" s="53">
        <f>304800+264185263+12223750+525300+8644085+335750+76200+15576620+10986734+1229404-11201400+495250+151044+299888+1846997+8983129+103900+120000+2497100+1687190+2412553+30000+150000+235153+233830+73660+152273+151629+84541+195000+79900+123070+1920000+139700-139700+198285</f>
        <v>325110898</v>
      </c>
      <c r="I33" s="53">
        <f t="shared" si="2"/>
        <v>325110898</v>
      </c>
    </row>
    <row r="34" spans="1:9" s="42" customFormat="1" ht="12.75">
      <c r="A34" s="86">
        <v>27</v>
      </c>
      <c r="B34" s="50" t="s">
        <v>19</v>
      </c>
      <c r="C34" s="55">
        <v>0</v>
      </c>
      <c r="D34" s="55">
        <v>0</v>
      </c>
      <c r="E34" s="55">
        <f aca="true" t="shared" si="3" ref="E34:E43">SUM(D34:D34)</f>
        <v>0</v>
      </c>
      <c r="F34" s="73" t="s">
        <v>42</v>
      </c>
      <c r="G34" s="53">
        <v>0</v>
      </c>
      <c r="H34" s="53">
        <f>6310000+508000+17634204+389000+2606050+22279919-3810000+850900+3000000+5000000+6528562+1576197+700924</f>
        <v>63573756</v>
      </c>
      <c r="I34" s="53">
        <f t="shared" si="2"/>
        <v>63573756</v>
      </c>
    </row>
    <row r="35" spans="1:9" s="42" customFormat="1" ht="12.75">
      <c r="A35" s="86">
        <v>28</v>
      </c>
      <c r="B35" s="50" t="s">
        <v>20</v>
      </c>
      <c r="C35" s="55">
        <v>0</v>
      </c>
      <c r="D35" s="55">
        <f>2500000+21694288+6019000+5000000+9889960+299888+1846997+15511691+2497100+1687190+841234+1920000</f>
        <v>69707348</v>
      </c>
      <c r="E35" s="55">
        <f t="shared" si="3"/>
        <v>69707348</v>
      </c>
      <c r="F35" s="73" t="s">
        <v>43</v>
      </c>
      <c r="G35" s="53">
        <f>SUM(G36:G40)</f>
        <v>0</v>
      </c>
      <c r="H35" s="53">
        <f>SUM(H36:H40)</f>
        <v>19690487</v>
      </c>
      <c r="I35" s="53">
        <f t="shared" si="2"/>
        <v>19690487</v>
      </c>
    </row>
    <row r="36" spans="1:9" s="42" customFormat="1" ht="12.75">
      <c r="A36" s="83">
        <v>29</v>
      </c>
      <c r="B36" s="72" t="s">
        <v>27</v>
      </c>
      <c r="C36" s="53">
        <f>SUM(C37:C40)</f>
        <v>0</v>
      </c>
      <c r="D36" s="53">
        <f>SUM(D37:D40)</f>
        <v>48279485</v>
      </c>
      <c r="E36" s="53">
        <f t="shared" si="3"/>
        <v>48279485</v>
      </c>
      <c r="F36" s="52" t="s">
        <v>44</v>
      </c>
      <c r="G36" s="55">
        <v>0</v>
      </c>
      <c r="H36" s="55">
        <v>0</v>
      </c>
      <c r="I36" s="55">
        <f t="shared" si="2"/>
        <v>0</v>
      </c>
    </row>
    <row r="37" spans="1:9" s="42" customFormat="1" ht="12.75">
      <c r="A37" s="86">
        <v>30</v>
      </c>
      <c r="B37" s="50" t="s">
        <v>28</v>
      </c>
      <c r="C37" s="55">
        <v>0</v>
      </c>
      <c r="D37" s="55">
        <v>0</v>
      </c>
      <c r="E37" s="55">
        <f t="shared" si="3"/>
        <v>0</v>
      </c>
      <c r="F37" s="52" t="s">
        <v>45</v>
      </c>
      <c r="G37" s="55">
        <v>0</v>
      </c>
      <c r="H37" s="55">
        <v>0</v>
      </c>
      <c r="I37" s="55">
        <f t="shared" si="2"/>
        <v>0</v>
      </c>
    </row>
    <row r="38" spans="1:9" s="44" customFormat="1" ht="12.75">
      <c r="A38" s="86">
        <v>31</v>
      </c>
      <c r="B38" s="50" t="s">
        <v>29</v>
      </c>
      <c r="C38" s="55">
        <f>SUM(C39:C40)</f>
        <v>0</v>
      </c>
      <c r="D38" s="55">
        <f>62747330-3831623-848360+15172896+672563+3300476-30000000+1066203</f>
        <v>48279485</v>
      </c>
      <c r="E38" s="55">
        <f t="shared" si="3"/>
        <v>48279485</v>
      </c>
      <c r="F38" s="52" t="s">
        <v>46</v>
      </c>
      <c r="G38" s="55">
        <v>0</v>
      </c>
      <c r="H38" s="55">
        <v>0</v>
      </c>
      <c r="I38" s="55">
        <f t="shared" si="2"/>
        <v>0</v>
      </c>
    </row>
    <row r="39" spans="1:9" s="44" customFormat="1" ht="12.75">
      <c r="A39" s="83">
        <v>32</v>
      </c>
      <c r="B39" s="50" t="s">
        <v>30</v>
      </c>
      <c r="C39" s="55">
        <v>0</v>
      </c>
      <c r="D39" s="55">
        <v>0</v>
      </c>
      <c r="E39" s="55">
        <f t="shared" si="3"/>
        <v>0</v>
      </c>
      <c r="F39" s="52" t="s">
        <v>47</v>
      </c>
      <c r="G39" s="55">
        <v>0</v>
      </c>
      <c r="H39" s="55">
        <v>0</v>
      </c>
      <c r="I39" s="55">
        <f t="shared" si="2"/>
        <v>0</v>
      </c>
    </row>
    <row r="40" spans="1:9" s="46" customFormat="1" ht="13.5">
      <c r="A40" s="86">
        <v>33</v>
      </c>
      <c r="B40" s="50" t="s">
        <v>31</v>
      </c>
      <c r="C40" s="55">
        <v>0</v>
      </c>
      <c r="D40" s="55">
        <v>0</v>
      </c>
      <c r="E40" s="55">
        <f t="shared" si="3"/>
        <v>0</v>
      </c>
      <c r="F40" s="52" t="s">
        <v>48</v>
      </c>
      <c r="G40" s="55">
        <v>0</v>
      </c>
      <c r="H40" s="55">
        <f>1609020+18081467</f>
        <v>19690487</v>
      </c>
      <c r="I40" s="55">
        <f t="shared" si="2"/>
        <v>19690487</v>
      </c>
    </row>
    <row r="41" spans="1:9" s="46" customFormat="1" ht="13.5">
      <c r="A41" s="86">
        <v>34</v>
      </c>
      <c r="B41" s="72" t="s">
        <v>35</v>
      </c>
      <c r="C41" s="53">
        <f>SUM(C42:C43)</f>
        <v>0</v>
      </c>
      <c r="D41" s="53">
        <f>SUM(D42:D43)</f>
        <v>33081467</v>
      </c>
      <c r="E41" s="53">
        <f t="shared" si="3"/>
        <v>33081467</v>
      </c>
      <c r="F41" s="52"/>
      <c r="G41" s="55"/>
      <c r="H41" s="55"/>
      <c r="I41" s="55"/>
    </row>
    <row r="42" spans="1:9" s="46" customFormat="1" ht="13.5">
      <c r="A42" s="83">
        <v>35</v>
      </c>
      <c r="B42" s="50" t="s">
        <v>695</v>
      </c>
      <c r="C42" s="55">
        <v>0</v>
      </c>
      <c r="D42" s="55">
        <v>0</v>
      </c>
      <c r="E42" s="55">
        <f t="shared" si="3"/>
        <v>0</v>
      </c>
      <c r="F42" s="47"/>
      <c r="G42" s="55"/>
      <c r="H42" s="55"/>
      <c r="I42" s="55"/>
    </row>
    <row r="43" spans="1:9" s="46" customFormat="1" ht="13.5">
      <c r="A43" s="86">
        <v>36</v>
      </c>
      <c r="B43" s="50" t="s">
        <v>694</v>
      </c>
      <c r="C43" s="55">
        <v>0</v>
      </c>
      <c r="D43" s="55">
        <v>33081467</v>
      </c>
      <c r="E43" s="55">
        <f t="shared" si="3"/>
        <v>33081467</v>
      </c>
      <c r="F43" s="47"/>
      <c r="G43" s="55"/>
      <c r="H43" s="55"/>
      <c r="I43" s="55"/>
    </row>
    <row r="44" spans="1:9" s="48" customFormat="1" ht="6" customHeight="1">
      <c r="A44" s="982"/>
      <c r="B44" s="983"/>
      <c r="C44" s="983"/>
      <c r="D44" s="983"/>
      <c r="E44" s="983"/>
      <c r="F44" s="983"/>
      <c r="G44" s="983"/>
      <c r="H44" s="983"/>
      <c r="I44" s="984"/>
    </row>
    <row r="45" spans="1:9" s="48" customFormat="1" ht="15">
      <c r="A45" s="86">
        <v>37</v>
      </c>
      <c r="B45" s="985" t="s">
        <v>517</v>
      </c>
      <c r="C45" s="986"/>
      <c r="D45" s="986"/>
      <c r="E45" s="986"/>
      <c r="F45" s="986"/>
      <c r="G45" s="125">
        <f>C7-G7</f>
        <v>-132236469</v>
      </c>
      <c r="H45" s="125">
        <f>D7-H7</f>
        <v>-266483360</v>
      </c>
      <c r="I45" s="125">
        <f>SUM(G45:H45)</f>
        <v>-398719829</v>
      </c>
    </row>
    <row r="46" spans="1:9" s="48" customFormat="1" ht="6" customHeight="1">
      <c r="A46" s="974"/>
      <c r="B46" s="975"/>
      <c r="C46" s="975"/>
      <c r="D46" s="975"/>
      <c r="E46" s="975"/>
      <c r="F46" s="975"/>
      <c r="G46" s="975"/>
      <c r="H46" s="975"/>
      <c r="I46" s="976"/>
    </row>
    <row r="47" spans="1:9" s="60" customFormat="1" ht="28.5">
      <c r="A47" s="86">
        <v>38</v>
      </c>
      <c r="B47" s="56" t="s">
        <v>346</v>
      </c>
      <c r="C47" s="58">
        <f>SUM(C48:C49)</f>
        <v>120421620</v>
      </c>
      <c r="D47" s="58">
        <f>SUM(D48:D49)</f>
        <v>296339445</v>
      </c>
      <c r="E47" s="58">
        <f aca="true" t="shared" si="4" ref="E47:E54">SUM(C47:D47)</f>
        <v>416761065</v>
      </c>
      <c r="F47" s="59"/>
      <c r="G47" s="58"/>
      <c r="H47" s="58"/>
      <c r="I47" s="58"/>
    </row>
    <row r="48" spans="1:9" s="69" customFormat="1" ht="13.5">
      <c r="A48" s="83">
        <v>39</v>
      </c>
      <c r="B48" s="70" t="s">
        <v>696</v>
      </c>
      <c r="C48" s="64">
        <f>22840902+626145+31099867+55632238+439819</f>
        <v>110638971</v>
      </c>
      <c r="D48" s="64">
        <f>297951773-8201400+2412553+4176519</f>
        <v>296339445</v>
      </c>
      <c r="E48" s="64">
        <f t="shared" si="4"/>
        <v>406978416</v>
      </c>
      <c r="F48" s="65"/>
      <c r="G48" s="64"/>
      <c r="H48" s="64"/>
      <c r="I48" s="64"/>
    </row>
    <row r="49" spans="1:9" s="69" customFormat="1" ht="13.5">
      <c r="A49" s="83">
        <v>40</v>
      </c>
      <c r="B49" s="70" t="s">
        <v>697</v>
      </c>
      <c r="C49" s="64">
        <v>9782649</v>
      </c>
      <c r="D49" s="64">
        <v>0</v>
      </c>
      <c r="E49" s="64">
        <f t="shared" si="4"/>
        <v>9782649</v>
      </c>
      <c r="F49" s="65"/>
      <c r="G49" s="64"/>
      <c r="H49" s="64"/>
      <c r="I49" s="64"/>
    </row>
    <row r="50" spans="1:9" s="826" customFormat="1" ht="28.5">
      <c r="A50" s="818">
        <v>41</v>
      </c>
      <c r="B50" s="56" t="s">
        <v>347</v>
      </c>
      <c r="C50" s="824">
        <f>SUM(C51:C53)</f>
        <v>0</v>
      </c>
      <c r="D50" s="824">
        <f>SUM(D51:D53)</f>
        <v>0</v>
      </c>
      <c r="E50" s="824">
        <f t="shared" si="4"/>
        <v>0</v>
      </c>
      <c r="F50" s="825" t="s">
        <v>348</v>
      </c>
      <c r="G50" s="824">
        <f>SUM(G51:G53)</f>
        <v>18041236</v>
      </c>
      <c r="H50" s="824">
        <f>SUM(H51:H53)</f>
        <v>0</v>
      </c>
      <c r="I50" s="824">
        <f>SUM(G50:H50)</f>
        <v>18041236</v>
      </c>
    </row>
    <row r="51" spans="1:9" s="69" customFormat="1" ht="13.5">
      <c r="A51" s="86">
        <v>42</v>
      </c>
      <c r="B51" s="68" t="s">
        <v>698</v>
      </c>
      <c r="C51" s="64">
        <v>0</v>
      </c>
      <c r="D51" s="64">
        <v>0</v>
      </c>
      <c r="E51" s="64">
        <f t="shared" si="4"/>
        <v>0</v>
      </c>
      <c r="F51" s="65" t="s">
        <v>700</v>
      </c>
      <c r="G51" s="64">
        <v>0</v>
      </c>
      <c r="H51" s="64">
        <v>0</v>
      </c>
      <c r="I51" s="64">
        <f>SUM(G51:H51)</f>
        <v>0</v>
      </c>
    </row>
    <row r="52" spans="1:9" s="71" customFormat="1" ht="12.75">
      <c r="A52" s="86">
        <v>43</v>
      </c>
      <c r="B52" s="68" t="s">
        <v>699</v>
      </c>
      <c r="C52" s="64">
        <v>0</v>
      </c>
      <c r="D52" s="64">
        <v>0</v>
      </c>
      <c r="E52" s="64">
        <f>SUM(C52:D52)</f>
        <v>0</v>
      </c>
      <c r="F52" s="65" t="s">
        <v>701</v>
      </c>
      <c r="G52" s="64">
        <v>0</v>
      </c>
      <c r="H52" s="64">
        <v>0</v>
      </c>
      <c r="I52" s="64">
        <f>SUM(G52:H52)</f>
        <v>0</v>
      </c>
    </row>
    <row r="53" spans="1:9" s="71" customFormat="1" ht="12.75">
      <c r="A53" s="86">
        <v>44</v>
      </c>
      <c r="B53" s="68" t="s">
        <v>692</v>
      </c>
      <c r="C53" s="64">
        <v>0</v>
      </c>
      <c r="D53" s="64">
        <v>0</v>
      </c>
      <c r="E53" s="64">
        <f>SUM(C53:D53)</f>
        <v>0</v>
      </c>
      <c r="F53" s="68" t="s">
        <v>693</v>
      </c>
      <c r="G53" s="64">
        <v>18041236</v>
      </c>
      <c r="H53" s="64">
        <v>0</v>
      </c>
      <c r="I53" s="64">
        <f>SUM(G53:H53)</f>
        <v>18041236</v>
      </c>
    </row>
    <row r="54" spans="1:9" s="62" customFormat="1" ht="15.75">
      <c r="A54" s="86">
        <v>45</v>
      </c>
      <c r="B54" s="61" t="s">
        <v>433</v>
      </c>
      <c r="C54" s="75">
        <f>SUM(C7,C47,C50)</f>
        <v>1385756023</v>
      </c>
      <c r="D54" s="75">
        <f>SUM(D7,D47,D50)</f>
        <v>447407745</v>
      </c>
      <c r="E54" s="75">
        <f t="shared" si="4"/>
        <v>1833163768</v>
      </c>
      <c r="F54" s="61" t="s">
        <v>356</v>
      </c>
      <c r="G54" s="75">
        <f>SUM(G7,G50)</f>
        <v>1415612108</v>
      </c>
      <c r="H54" s="75">
        <f>SUM(H7,H50)</f>
        <v>417551660</v>
      </c>
      <c r="I54" s="75">
        <f>SUM(G54:H54)</f>
        <v>1833163768</v>
      </c>
    </row>
    <row r="61" ht="15">
      <c r="B61" s="49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C62"/>
  <sheetViews>
    <sheetView zoomScale="95" zoomScaleNormal="95" zoomScalePageLayoutView="0" workbookViewId="0" topLeftCell="K1">
      <pane ySplit="7" topLeftCell="A11" activePane="bottomLeft" state="frozen"/>
      <selection pane="topLeft" activeCell="A1" sqref="A1"/>
      <selection pane="bottomLeft" activeCell="U1" sqref="U1:Z1"/>
    </sheetView>
  </sheetViews>
  <sheetFormatPr defaultColWidth="8.875" defaultRowHeight="12.75"/>
  <cols>
    <col min="1" max="1" width="1.37890625" style="481" hidden="1" customWidth="1"/>
    <col min="2" max="2" width="8.00390625" style="482" hidden="1" customWidth="1"/>
    <col min="3" max="3" width="8.00390625" style="482" customWidth="1"/>
    <col min="4" max="4" width="6.25390625" style="483" customWidth="1"/>
    <col min="5" max="5" width="30.375" style="481" customWidth="1"/>
    <col min="6" max="6" width="9.25390625" style="484" hidden="1" customWidth="1"/>
    <col min="7" max="7" width="11.375" style="481" bestFit="1" customWidth="1"/>
    <col min="8" max="8" width="11.125" style="481" customWidth="1"/>
    <col min="9" max="9" width="11.375" style="481" customWidth="1"/>
    <col min="10" max="11" width="10.25390625" style="481" customWidth="1"/>
    <col min="12" max="13" width="11.625" style="481" customWidth="1"/>
    <col min="14" max="14" width="9.875" style="481" customWidth="1"/>
    <col min="15" max="15" width="9.25390625" style="481" bestFit="1" customWidth="1"/>
    <col min="16" max="16" width="10.375" style="481" bestFit="1" customWidth="1"/>
    <col min="17" max="17" width="9.25390625" style="481" bestFit="1" customWidth="1"/>
    <col min="18" max="18" width="9.25390625" style="481" customWidth="1"/>
    <col min="19" max="19" width="10.00390625" style="481" customWidth="1"/>
    <col min="20" max="21" width="10.375" style="481" bestFit="1" customWidth="1"/>
    <col min="22" max="22" width="11.375" style="481" bestFit="1" customWidth="1"/>
    <col min="23" max="23" width="10.625" style="481" customWidth="1"/>
    <col min="24" max="24" width="11.125" style="481" customWidth="1"/>
    <col min="25" max="25" width="10.625" style="481" customWidth="1"/>
    <col min="26" max="26" width="15.75390625" style="538" bestFit="1" customWidth="1"/>
    <col min="27" max="27" width="14.375" style="481" customWidth="1"/>
    <col min="28" max="28" width="9.875" style="481" bestFit="1" customWidth="1"/>
    <col min="29" max="16384" width="8.875" style="481" customWidth="1"/>
  </cols>
  <sheetData>
    <row r="1" spans="3:26" ht="15">
      <c r="C1" s="989"/>
      <c r="N1" s="146"/>
      <c r="O1" s="146"/>
      <c r="P1" s="146"/>
      <c r="Q1" s="146"/>
      <c r="R1" s="146"/>
      <c r="S1" s="146"/>
      <c r="T1" s="146"/>
      <c r="U1" s="990" t="s">
        <v>1137</v>
      </c>
      <c r="V1" s="991"/>
      <c r="W1" s="991"/>
      <c r="X1" s="991"/>
      <c r="Y1" s="991"/>
      <c r="Z1" s="991"/>
    </row>
    <row r="2" spans="1:26" ht="15.75">
      <c r="A2" s="485"/>
      <c r="B2" s="486"/>
      <c r="C2" s="989"/>
      <c r="D2" s="486"/>
      <c r="E2" s="992" t="s">
        <v>777</v>
      </c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2"/>
      <c r="R2" s="992"/>
      <c r="S2" s="992"/>
      <c r="T2" s="992"/>
      <c r="U2" s="992"/>
      <c r="V2" s="992"/>
      <c r="W2" s="992"/>
      <c r="X2" s="992"/>
      <c r="Y2" s="992"/>
      <c r="Z2" s="992"/>
    </row>
    <row r="3" ht="12.75" thickBot="1">
      <c r="Z3" s="487"/>
    </row>
    <row r="4" spans="2:26" s="488" customFormat="1" ht="12.75" customHeight="1">
      <c r="B4" s="489"/>
      <c r="C4" s="489"/>
      <c r="D4" s="993" t="s">
        <v>426</v>
      </c>
      <c r="E4" s="996" t="s">
        <v>357</v>
      </c>
      <c r="F4" s="999" t="s">
        <v>364</v>
      </c>
      <c r="G4" s="1005" t="s">
        <v>365</v>
      </c>
      <c r="H4" s="1006"/>
      <c r="I4" s="1006"/>
      <c r="J4" s="1006"/>
      <c r="K4" s="1006"/>
      <c r="L4" s="1006"/>
      <c r="M4" s="1006"/>
      <c r="N4" s="1006"/>
      <c r="O4" s="1006"/>
      <c r="P4" s="1006"/>
      <c r="Q4" s="1006"/>
      <c r="R4" s="1006"/>
      <c r="S4" s="1006"/>
      <c r="T4" s="1006"/>
      <c r="U4" s="1006"/>
      <c r="V4" s="1006"/>
      <c r="W4" s="1006"/>
      <c r="X4" s="1006"/>
      <c r="Y4" s="1007"/>
      <c r="Z4" s="1008" t="s">
        <v>366</v>
      </c>
    </row>
    <row r="5" spans="2:26" s="490" customFormat="1" ht="12" customHeight="1">
      <c r="B5" s="491"/>
      <c r="C5" s="491"/>
      <c r="D5" s="994"/>
      <c r="E5" s="997"/>
      <c r="F5" s="1000"/>
      <c r="G5" s="492" t="s">
        <v>1</v>
      </c>
      <c r="H5" s="492" t="s">
        <v>3</v>
      </c>
      <c r="I5" s="492" t="s">
        <v>5</v>
      </c>
      <c r="J5" s="492" t="s">
        <v>8</v>
      </c>
      <c r="K5" s="1002" t="s">
        <v>646</v>
      </c>
      <c r="L5" s="1003"/>
      <c r="M5" s="1003"/>
      <c r="N5" s="1003"/>
      <c r="O5" s="1003"/>
      <c r="P5" s="1003"/>
      <c r="Q5" s="1003"/>
      <c r="R5" s="1003"/>
      <c r="S5" s="1003"/>
      <c r="T5" s="1003"/>
      <c r="U5" s="1004"/>
      <c r="V5" s="494" t="s">
        <v>129</v>
      </c>
      <c r="W5" s="494" t="s">
        <v>131</v>
      </c>
      <c r="X5" s="492" t="s">
        <v>133</v>
      </c>
      <c r="Y5" s="492" t="s">
        <v>135</v>
      </c>
      <c r="Z5" s="1009"/>
    </row>
    <row r="6" spans="2:26" s="490" customFormat="1" ht="63.75" customHeight="1">
      <c r="B6" s="491"/>
      <c r="C6" s="491"/>
      <c r="D6" s="994"/>
      <c r="E6" s="998"/>
      <c r="F6" s="1001"/>
      <c r="G6" s="495" t="s">
        <v>355</v>
      </c>
      <c r="H6" s="495" t="s">
        <v>637</v>
      </c>
      <c r="I6" s="495" t="s">
        <v>359</v>
      </c>
      <c r="J6" s="495" t="s">
        <v>9</v>
      </c>
      <c r="K6" s="495" t="s">
        <v>152</v>
      </c>
      <c r="L6" s="495" t="s">
        <v>999</v>
      </c>
      <c r="M6" s="495" t="s">
        <v>128</v>
      </c>
      <c r="N6" s="495" t="s">
        <v>419</v>
      </c>
      <c r="O6" s="495" t="s">
        <v>431</v>
      </c>
      <c r="P6" s="495" t="s">
        <v>1001</v>
      </c>
      <c r="Q6" s="495" t="s">
        <v>1000</v>
      </c>
      <c r="R6" s="495" t="s">
        <v>456</v>
      </c>
      <c r="S6" s="495" t="s">
        <v>788</v>
      </c>
      <c r="T6" s="495" t="s">
        <v>1002</v>
      </c>
      <c r="U6" s="495" t="s">
        <v>786</v>
      </c>
      <c r="V6" s="493" t="s">
        <v>353</v>
      </c>
      <c r="W6" s="493" t="s">
        <v>368</v>
      </c>
      <c r="X6" s="495" t="s">
        <v>645</v>
      </c>
      <c r="Y6" s="495" t="s">
        <v>134</v>
      </c>
      <c r="Z6" s="1010"/>
    </row>
    <row r="7" spans="2:26" s="496" customFormat="1" ht="12">
      <c r="B7" s="497"/>
      <c r="C7" s="497"/>
      <c r="D7" s="995"/>
      <c r="E7" s="498" t="s">
        <v>420</v>
      </c>
      <c r="F7" s="499" t="s">
        <v>421</v>
      </c>
      <c r="G7" s="500" t="s">
        <v>421</v>
      </c>
      <c r="H7" s="500" t="s">
        <v>422</v>
      </c>
      <c r="I7" s="501" t="s">
        <v>423</v>
      </c>
      <c r="J7" s="498" t="s">
        <v>424</v>
      </c>
      <c r="K7" s="498" t="s">
        <v>425</v>
      </c>
      <c r="L7" s="501" t="s">
        <v>427</v>
      </c>
      <c r="M7" s="501" t="s">
        <v>427</v>
      </c>
      <c r="N7" s="501" t="s">
        <v>428</v>
      </c>
      <c r="O7" s="501" t="s">
        <v>381</v>
      </c>
      <c r="P7" s="501"/>
      <c r="Q7" s="501"/>
      <c r="R7" s="501" t="s">
        <v>382</v>
      </c>
      <c r="S7" s="500" t="s">
        <v>383</v>
      </c>
      <c r="T7" s="500" t="s">
        <v>384</v>
      </c>
      <c r="U7" s="500" t="s">
        <v>384</v>
      </c>
      <c r="V7" s="501" t="s">
        <v>385</v>
      </c>
      <c r="W7" s="501" t="s">
        <v>386</v>
      </c>
      <c r="X7" s="502" t="s">
        <v>387</v>
      </c>
      <c r="Y7" s="503" t="s">
        <v>388</v>
      </c>
      <c r="Z7" s="504" t="s">
        <v>945</v>
      </c>
    </row>
    <row r="8" spans="1:26" s="512" customFormat="1" ht="24">
      <c r="A8" s="481"/>
      <c r="B8" s="482"/>
      <c r="C8" s="482" t="s">
        <v>60</v>
      </c>
      <c r="D8" s="505" t="s">
        <v>389</v>
      </c>
      <c r="E8" s="506" t="s">
        <v>61</v>
      </c>
      <c r="F8" s="507"/>
      <c r="G8" s="508">
        <f>29033148+30800</f>
        <v>29063948</v>
      </c>
      <c r="H8" s="508">
        <f>7533426+6006+1492000</f>
        <v>9031432</v>
      </c>
      <c r="I8" s="509">
        <f>14127980+63500+190500</f>
        <v>14381980</v>
      </c>
      <c r="J8" s="509">
        <v>0</v>
      </c>
      <c r="K8" s="509">
        <v>0</v>
      </c>
      <c r="L8" s="509">
        <f>1055350</f>
        <v>1055350</v>
      </c>
      <c r="M8" s="509">
        <f>1031200+100000</f>
        <v>1131200</v>
      </c>
      <c r="N8" s="509">
        <v>0</v>
      </c>
      <c r="O8" s="509">
        <v>0</v>
      </c>
      <c r="P8" s="509"/>
      <c r="Q8" s="509"/>
      <c r="R8" s="509">
        <v>0</v>
      </c>
      <c r="S8" s="509">
        <v>0</v>
      </c>
      <c r="T8" s="509">
        <v>0</v>
      </c>
      <c r="U8" s="509">
        <v>0</v>
      </c>
      <c r="V8" s="508">
        <v>0</v>
      </c>
      <c r="W8" s="509">
        <v>0</v>
      </c>
      <c r="X8" s="510">
        <v>0</v>
      </c>
      <c r="Y8" s="509">
        <v>0</v>
      </c>
      <c r="Z8" s="511">
        <f aca="true" t="shared" si="0" ref="Z8:Z56">SUM(G8:Y8)</f>
        <v>54663910</v>
      </c>
    </row>
    <row r="9" spans="1:26" s="512" customFormat="1" ht="24">
      <c r="A9" s="481"/>
      <c r="B9" s="482" t="s">
        <v>52</v>
      </c>
      <c r="C9" s="482" t="s">
        <v>55</v>
      </c>
      <c r="D9" s="513" t="s">
        <v>390</v>
      </c>
      <c r="E9" s="514" t="s">
        <v>56</v>
      </c>
      <c r="F9" s="515"/>
      <c r="G9" s="516">
        <v>0</v>
      </c>
      <c r="H9" s="516">
        <v>0</v>
      </c>
      <c r="I9" s="510">
        <f>26820278+68000+7679730+1417</f>
        <v>34569425</v>
      </c>
      <c r="J9" s="510">
        <v>0</v>
      </c>
      <c r="K9" s="510">
        <v>0</v>
      </c>
      <c r="L9" s="510">
        <v>0</v>
      </c>
      <c r="M9" s="510">
        <f>38436000+7100000</f>
        <v>45536000</v>
      </c>
      <c r="N9" s="510">
        <v>0</v>
      </c>
      <c r="O9" s="510">
        <v>0</v>
      </c>
      <c r="P9" s="510"/>
      <c r="Q9" s="510"/>
      <c r="R9" s="510">
        <v>0</v>
      </c>
      <c r="S9" s="510">
        <v>0</v>
      </c>
      <c r="T9" s="510">
        <v>0</v>
      </c>
      <c r="U9" s="510">
        <v>0</v>
      </c>
      <c r="V9" s="516">
        <v>0</v>
      </c>
      <c r="W9" s="510">
        <f>2500000+3000000+5000000</f>
        <v>10500000</v>
      </c>
      <c r="X9" s="510">
        <v>1609020</v>
      </c>
      <c r="Y9" s="510">
        <v>0</v>
      </c>
      <c r="Z9" s="511">
        <f t="shared" si="0"/>
        <v>92214445</v>
      </c>
    </row>
    <row r="10" spans="1:26" s="512" customFormat="1" ht="36">
      <c r="A10" s="481"/>
      <c r="B10" s="482" t="s">
        <v>53</v>
      </c>
      <c r="C10" s="482" t="s">
        <v>57</v>
      </c>
      <c r="D10" s="513" t="s">
        <v>391</v>
      </c>
      <c r="E10" s="514" t="s">
        <v>539</v>
      </c>
      <c r="F10" s="515"/>
      <c r="G10" s="516">
        <v>2158500</v>
      </c>
      <c r="H10" s="516">
        <v>424933</v>
      </c>
      <c r="I10" s="510">
        <f>55480</f>
        <v>55480</v>
      </c>
      <c r="J10" s="510">
        <v>0</v>
      </c>
      <c r="K10" s="510">
        <v>0</v>
      </c>
      <c r="L10" s="510">
        <v>0</v>
      </c>
      <c r="M10" s="510">
        <f>4592665</f>
        <v>4592665</v>
      </c>
      <c r="N10" s="510">
        <v>0</v>
      </c>
      <c r="O10" s="510">
        <v>0</v>
      </c>
      <c r="P10" s="510"/>
      <c r="Q10" s="510"/>
      <c r="R10" s="510">
        <v>0</v>
      </c>
      <c r="S10" s="510">
        <v>0</v>
      </c>
      <c r="T10" s="510">
        <v>0</v>
      </c>
      <c r="U10" s="510">
        <v>0</v>
      </c>
      <c r="V10" s="516">
        <v>0</v>
      </c>
      <c r="W10" s="510">
        <v>0</v>
      </c>
      <c r="X10" s="510">
        <v>0</v>
      </c>
      <c r="Y10" s="510">
        <v>0</v>
      </c>
      <c r="Z10" s="511">
        <f t="shared" si="0"/>
        <v>7231578</v>
      </c>
    </row>
    <row r="11" spans="1:26" s="512" customFormat="1" ht="24">
      <c r="A11" s="481"/>
      <c r="B11" s="482" t="s">
        <v>54</v>
      </c>
      <c r="C11" s="482" t="s">
        <v>62</v>
      </c>
      <c r="D11" s="513" t="s">
        <v>392</v>
      </c>
      <c r="E11" s="514" t="s">
        <v>373</v>
      </c>
      <c r="F11" s="515"/>
      <c r="G11" s="516">
        <v>514000</v>
      </c>
      <c r="H11" s="516">
        <v>489933</v>
      </c>
      <c r="I11" s="510">
        <f>6220254-5500000+1100000</f>
        <v>1820254</v>
      </c>
      <c r="J11" s="510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/>
      <c r="Q11" s="510"/>
      <c r="R11" s="510">
        <v>0</v>
      </c>
      <c r="S11" s="510">
        <v>0</v>
      </c>
      <c r="T11" s="510">
        <v>0</v>
      </c>
      <c r="U11" s="510">
        <v>0</v>
      </c>
      <c r="V11" s="516">
        <v>0</v>
      </c>
      <c r="W11" s="510">
        <v>0</v>
      </c>
      <c r="X11" s="510">
        <v>0</v>
      </c>
      <c r="Y11" s="510">
        <v>0</v>
      </c>
      <c r="Z11" s="511">
        <f t="shared" si="0"/>
        <v>2824187</v>
      </c>
    </row>
    <row r="12" spans="1:26" s="512" customFormat="1" ht="23.25" customHeight="1">
      <c r="A12" s="481"/>
      <c r="B12" s="482"/>
      <c r="C12" s="482" t="s">
        <v>870</v>
      </c>
      <c r="D12" s="513" t="s">
        <v>393</v>
      </c>
      <c r="E12" s="514" t="s">
        <v>778</v>
      </c>
      <c r="F12" s="515"/>
      <c r="G12" s="516">
        <v>0</v>
      </c>
      <c r="H12" s="516">
        <v>0</v>
      </c>
      <c r="I12" s="516">
        <v>0</v>
      </c>
      <c r="J12" s="516">
        <v>0</v>
      </c>
      <c r="K12" s="516">
        <f>34037935+66110+32640+20906574</f>
        <v>55043259</v>
      </c>
      <c r="L12" s="516">
        <v>0</v>
      </c>
      <c r="M12" s="516">
        <v>0</v>
      </c>
      <c r="N12" s="516">
        <v>0</v>
      </c>
      <c r="O12" s="516">
        <v>0</v>
      </c>
      <c r="P12" s="516"/>
      <c r="Q12" s="516"/>
      <c r="R12" s="516">
        <v>0</v>
      </c>
      <c r="S12" s="516">
        <v>0</v>
      </c>
      <c r="T12" s="516">
        <v>0</v>
      </c>
      <c r="U12" s="516">
        <v>0</v>
      </c>
      <c r="V12" s="516">
        <v>0</v>
      </c>
      <c r="W12" s="510">
        <v>0</v>
      </c>
      <c r="X12" s="510">
        <v>0</v>
      </c>
      <c r="Y12" s="510">
        <v>0</v>
      </c>
      <c r="Z12" s="511">
        <f t="shared" si="0"/>
        <v>55043259</v>
      </c>
    </row>
    <row r="13" spans="1:26" s="512" customFormat="1" ht="23.25" customHeight="1">
      <c r="A13" s="481"/>
      <c r="B13" s="482"/>
      <c r="C13" s="482" t="s">
        <v>633</v>
      </c>
      <c r="D13" s="513" t="s">
        <v>394</v>
      </c>
      <c r="E13" s="514" t="s">
        <v>634</v>
      </c>
      <c r="F13" s="515"/>
      <c r="G13" s="516">
        <v>0</v>
      </c>
      <c r="H13" s="516">
        <v>0</v>
      </c>
      <c r="I13" s="516">
        <f>1157503+936+141447+1283275</f>
        <v>2583161</v>
      </c>
      <c r="J13" s="516">
        <v>0</v>
      </c>
      <c r="K13" s="516">
        <v>0</v>
      </c>
      <c r="L13" s="516">
        <v>0</v>
      </c>
      <c r="M13" s="516">
        <v>0</v>
      </c>
      <c r="N13" s="516">
        <v>0</v>
      </c>
      <c r="O13" s="516">
        <v>0</v>
      </c>
      <c r="P13" s="516"/>
      <c r="Q13" s="516"/>
      <c r="R13" s="516">
        <v>0</v>
      </c>
      <c r="S13" s="516">
        <v>0</v>
      </c>
      <c r="T13" s="516">
        <v>0</v>
      </c>
      <c r="U13" s="516">
        <v>0</v>
      </c>
      <c r="V13" s="516">
        <v>0</v>
      </c>
      <c r="W13" s="510">
        <v>0</v>
      </c>
      <c r="X13" s="510">
        <v>0</v>
      </c>
      <c r="Y13" s="510">
        <v>18041236</v>
      </c>
      <c r="Z13" s="511">
        <f t="shared" si="0"/>
        <v>20624397</v>
      </c>
    </row>
    <row r="14" spans="1:26" s="512" customFormat="1" ht="24">
      <c r="A14" s="481">
        <v>20215</v>
      </c>
      <c r="B14" s="482" t="s">
        <v>55</v>
      </c>
      <c r="C14" s="482" t="s">
        <v>65</v>
      </c>
      <c r="D14" s="513" t="s">
        <v>395</v>
      </c>
      <c r="E14" s="514" t="s">
        <v>66</v>
      </c>
      <c r="F14" s="515"/>
      <c r="G14" s="516">
        <f>34895474+2200</f>
        <v>34897674</v>
      </c>
      <c r="H14" s="516">
        <f>6862023+429</f>
        <v>6862452</v>
      </c>
      <c r="I14" s="510">
        <f>8729294-120000-73660</f>
        <v>8535634</v>
      </c>
      <c r="J14" s="510">
        <v>0</v>
      </c>
      <c r="K14" s="510">
        <v>0</v>
      </c>
      <c r="L14" s="510">
        <v>0</v>
      </c>
      <c r="M14" s="510">
        <v>0</v>
      </c>
      <c r="N14" s="510">
        <v>0</v>
      </c>
      <c r="O14" s="510">
        <v>0</v>
      </c>
      <c r="P14" s="510"/>
      <c r="Q14" s="510"/>
      <c r="R14" s="510">
        <v>0</v>
      </c>
      <c r="S14" s="510">
        <v>0</v>
      </c>
      <c r="T14" s="510">
        <v>0</v>
      </c>
      <c r="U14" s="510">
        <v>0</v>
      </c>
      <c r="V14" s="516">
        <f>120000+73660</f>
        <v>193660</v>
      </c>
      <c r="W14" s="510">
        <v>508000</v>
      </c>
      <c r="X14" s="510">
        <v>0</v>
      </c>
      <c r="Y14" s="510">
        <v>0</v>
      </c>
      <c r="Z14" s="511">
        <f t="shared" si="0"/>
        <v>50997420</v>
      </c>
    </row>
    <row r="15" spans="1:26" s="512" customFormat="1" ht="36">
      <c r="A15" s="481"/>
      <c r="B15" s="482"/>
      <c r="C15" s="482"/>
      <c r="D15" s="987" t="s">
        <v>903</v>
      </c>
      <c r="E15" s="514" t="s">
        <v>904</v>
      </c>
      <c r="F15" s="515"/>
      <c r="G15" s="516">
        <v>0</v>
      </c>
      <c r="H15" s="516">
        <v>0</v>
      </c>
      <c r="I15" s="516">
        <v>0</v>
      </c>
      <c r="J15" s="516">
        <v>0</v>
      </c>
      <c r="K15" s="516">
        <v>0</v>
      </c>
      <c r="L15" s="516">
        <v>0</v>
      </c>
      <c r="M15" s="516">
        <v>0</v>
      </c>
      <c r="N15" s="516">
        <v>0</v>
      </c>
      <c r="O15" s="516">
        <v>0</v>
      </c>
      <c r="P15" s="516"/>
      <c r="Q15" s="516"/>
      <c r="R15" s="516">
        <v>0</v>
      </c>
      <c r="S15" s="516">
        <v>0</v>
      </c>
      <c r="T15" s="516">
        <v>0</v>
      </c>
      <c r="U15" s="516">
        <v>0</v>
      </c>
      <c r="V15" s="516">
        <v>242642019</v>
      </c>
      <c r="W15" s="510">
        <v>0</v>
      </c>
      <c r="X15" s="516">
        <v>0</v>
      </c>
      <c r="Y15" s="510">
        <v>0</v>
      </c>
      <c r="Z15" s="511">
        <f t="shared" si="0"/>
        <v>242642019</v>
      </c>
    </row>
    <row r="16" spans="1:26" s="512" customFormat="1" ht="36">
      <c r="A16" s="481"/>
      <c r="B16" s="482"/>
      <c r="C16" s="482"/>
      <c r="D16" s="987"/>
      <c r="E16" s="514" t="s">
        <v>905</v>
      </c>
      <c r="F16" s="515"/>
      <c r="G16" s="516">
        <v>0</v>
      </c>
      <c r="H16" s="516">
        <v>0</v>
      </c>
      <c r="I16" s="516">
        <v>0</v>
      </c>
      <c r="J16" s="516">
        <v>0</v>
      </c>
      <c r="K16" s="516">
        <v>0</v>
      </c>
      <c r="L16" s="516">
        <v>0</v>
      </c>
      <c r="M16" s="516">
        <v>0</v>
      </c>
      <c r="N16" s="516">
        <v>0</v>
      </c>
      <c r="O16" s="516">
        <v>0</v>
      </c>
      <c r="P16" s="516"/>
      <c r="Q16" s="516"/>
      <c r="R16" s="516">
        <v>0</v>
      </c>
      <c r="S16" s="516">
        <v>0</v>
      </c>
      <c r="T16" s="516">
        <v>0</v>
      </c>
      <c r="U16" s="516">
        <v>0</v>
      </c>
      <c r="V16" s="516">
        <v>3832400</v>
      </c>
      <c r="W16" s="510">
        <v>0</v>
      </c>
      <c r="X16" s="516">
        <v>0</v>
      </c>
      <c r="Y16" s="510">
        <v>0</v>
      </c>
      <c r="Z16" s="511">
        <f t="shared" si="0"/>
        <v>3832400</v>
      </c>
    </row>
    <row r="17" spans="1:26" s="512" customFormat="1" ht="36">
      <c r="A17" s="481"/>
      <c r="B17" s="482"/>
      <c r="C17" s="482" t="s">
        <v>789</v>
      </c>
      <c r="D17" s="987"/>
      <c r="E17" s="514" t="s">
        <v>906</v>
      </c>
      <c r="F17" s="515"/>
      <c r="G17" s="516">
        <v>0</v>
      </c>
      <c r="H17" s="516">
        <v>0</v>
      </c>
      <c r="I17" s="516">
        <v>0</v>
      </c>
      <c r="J17" s="516">
        <v>0</v>
      </c>
      <c r="K17" s="516">
        <v>0</v>
      </c>
      <c r="L17" s="516">
        <v>0</v>
      </c>
      <c r="M17" s="516">
        <v>0</v>
      </c>
      <c r="N17" s="516">
        <v>0</v>
      </c>
      <c r="O17" s="516">
        <v>0</v>
      </c>
      <c r="P17" s="516"/>
      <c r="Q17" s="516"/>
      <c r="R17" s="516">
        <v>0</v>
      </c>
      <c r="S17" s="516">
        <v>0</v>
      </c>
      <c r="T17" s="516">
        <v>0</v>
      </c>
      <c r="U17" s="516">
        <v>0</v>
      </c>
      <c r="V17" s="516">
        <v>17861888</v>
      </c>
      <c r="W17" s="510">
        <v>0</v>
      </c>
      <c r="X17" s="516">
        <v>0</v>
      </c>
      <c r="Y17" s="510">
        <v>0</v>
      </c>
      <c r="Z17" s="511">
        <f t="shared" si="0"/>
        <v>17861888</v>
      </c>
    </row>
    <row r="18" spans="1:26" s="512" customFormat="1" ht="24">
      <c r="A18" s="481"/>
      <c r="B18" s="482"/>
      <c r="C18" s="482" t="s">
        <v>790</v>
      </c>
      <c r="D18" s="513" t="s">
        <v>397</v>
      </c>
      <c r="E18" s="514" t="s">
        <v>781</v>
      </c>
      <c r="F18" s="515"/>
      <c r="G18" s="516">
        <f>10871880+28103985</f>
        <v>38975865</v>
      </c>
      <c r="H18" s="516">
        <f>1105308+2740077</f>
        <v>3845385</v>
      </c>
      <c r="I18" s="516">
        <f>8057715+246024</f>
        <v>8303739</v>
      </c>
      <c r="J18" s="516">
        <v>0</v>
      </c>
      <c r="K18" s="516">
        <v>0</v>
      </c>
      <c r="L18" s="516">
        <v>0</v>
      </c>
      <c r="M18" s="516">
        <v>0</v>
      </c>
      <c r="N18" s="516">
        <v>0</v>
      </c>
      <c r="O18" s="516">
        <v>0</v>
      </c>
      <c r="P18" s="516"/>
      <c r="Q18" s="516"/>
      <c r="R18" s="516">
        <v>0</v>
      </c>
      <c r="S18" s="516">
        <v>0</v>
      </c>
      <c r="T18" s="516">
        <v>0</v>
      </c>
      <c r="U18" s="516">
        <v>0</v>
      </c>
      <c r="V18" s="516">
        <f>1846997</f>
        <v>1846997</v>
      </c>
      <c r="W18" s="510">
        <v>0</v>
      </c>
      <c r="X18" s="516">
        <v>0</v>
      </c>
      <c r="Y18" s="510">
        <v>0</v>
      </c>
      <c r="Z18" s="511">
        <f t="shared" si="0"/>
        <v>52971986</v>
      </c>
    </row>
    <row r="19" spans="1:26" s="512" customFormat="1" ht="24">
      <c r="A19" s="481"/>
      <c r="B19" s="482"/>
      <c r="C19" s="482" t="s">
        <v>791</v>
      </c>
      <c r="D19" s="513" t="s">
        <v>398</v>
      </c>
      <c r="E19" s="514" t="s">
        <v>782</v>
      </c>
      <c r="F19" s="515"/>
      <c r="G19" s="516">
        <f>21446460+40610080</f>
        <v>62056540</v>
      </c>
      <c r="H19" s="516">
        <f>2180390+3959404</f>
        <v>6139794</v>
      </c>
      <c r="I19" s="516">
        <f>2045415+426539</f>
        <v>2471954</v>
      </c>
      <c r="J19" s="516">
        <v>0</v>
      </c>
      <c r="K19" s="516">
        <v>0</v>
      </c>
      <c r="L19" s="516">
        <v>0</v>
      </c>
      <c r="M19" s="516">
        <v>0</v>
      </c>
      <c r="N19" s="516">
        <v>0</v>
      </c>
      <c r="O19" s="516">
        <v>0</v>
      </c>
      <c r="P19" s="516"/>
      <c r="Q19" s="516"/>
      <c r="R19" s="516">
        <v>0</v>
      </c>
      <c r="S19" s="516">
        <v>0</v>
      </c>
      <c r="T19" s="516">
        <v>0</v>
      </c>
      <c r="U19" s="516">
        <v>0</v>
      </c>
      <c r="V19" s="516">
        <f>299888</f>
        <v>299888</v>
      </c>
      <c r="W19" s="510">
        <v>0</v>
      </c>
      <c r="X19" s="516">
        <v>0</v>
      </c>
      <c r="Y19" s="510">
        <v>0</v>
      </c>
      <c r="Z19" s="511">
        <f t="shared" si="0"/>
        <v>70968176</v>
      </c>
    </row>
    <row r="20" spans="1:26" s="512" customFormat="1" ht="22.5" customHeight="1">
      <c r="A20" s="481"/>
      <c r="B20" s="482"/>
      <c r="C20" s="482" t="s">
        <v>636</v>
      </c>
      <c r="D20" s="513" t="s">
        <v>399</v>
      </c>
      <c r="E20" s="514" t="s">
        <v>635</v>
      </c>
      <c r="F20" s="515"/>
      <c r="G20" s="516">
        <v>0</v>
      </c>
      <c r="H20" s="516">
        <v>0</v>
      </c>
      <c r="I20" s="516">
        <v>0</v>
      </c>
      <c r="J20" s="516">
        <v>0</v>
      </c>
      <c r="K20" s="516">
        <v>0</v>
      </c>
      <c r="L20" s="516">
        <v>0</v>
      </c>
      <c r="M20" s="516">
        <v>0</v>
      </c>
      <c r="N20" s="516">
        <v>0</v>
      </c>
      <c r="O20" s="516">
        <v>0</v>
      </c>
      <c r="P20" s="516"/>
      <c r="Q20" s="516"/>
      <c r="R20" s="516">
        <v>0</v>
      </c>
      <c r="S20" s="516">
        <v>0</v>
      </c>
      <c r="T20" s="516">
        <v>0</v>
      </c>
      <c r="U20" s="516">
        <v>0</v>
      </c>
      <c r="V20" s="516">
        <v>12223750</v>
      </c>
      <c r="W20" s="510">
        <v>0</v>
      </c>
      <c r="X20" s="516">
        <v>0</v>
      </c>
      <c r="Y20" s="510">
        <v>0</v>
      </c>
      <c r="Z20" s="511">
        <f t="shared" si="0"/>
        <v>12223750</v>
      </c>
    </row>
    <row r="21" spans="2:26" ht="24">
      <c r="B21" s="482" t="s">
        <v>60</v>
      </c>
      <c r="C21" s="482" t="s">
        <v>53</v>
      </c>
      <c r="D21" s="513" t="s">
        <v>400</v>
      </c>
      <c r="E21" s="514" t="s">
        <v>540</v>
      </c>
      <c r="F21" s="515"/>
      <c r="G21" s="516">
        <v>0</v>
      </c>
      <c r="H21" s="516">
        <v>0</v>
      </c>
      <c r="I21" s="510">
        <v>14850000</v>
      </c>
      <c r="J21" s="510">
        <v>0</v>
      </c>
      <c r="K21" s="510">
        <v>0</v>
      </c>
      <c r="L21" s="510">
        <v>0</v>
      </c>
      <c r="M21" s="510">
        <v>868</v>
      </c>
      <c r="N21" s="510">
        <v>0</v>
      </c>
      <c r="O21" s="510">
        <v>0</v>
      </c>
      <c r="P21" s="510"/>
      <c r="Q21" s="510"/>
      <c r="R21" s="510">
        <v>0</v>
      </c>
      <c r="S21" s="510">
        <v>0</v>
      </c>
      <c r="T21" s="510">
        <v>0</v>
      </c>
      <c r="U21" s="510">
        <v>0</v>
      </c>
      <c r="V21" s="510">
        <f>525300+30000</f>
        <v>555300</v>
      </c>
      <c r="W21" s="510">
        <v>17634204</v>
      </c>
      <c r="X21" s="510">
        <v>0</v>
      </c>
      <c r="Y21" s="510">
        <v>0</v>
      </c>
      <c r="Z21" s="511">
        <f t="shared" si="0"/>
        <v>33040372</v>
      </c>
    </row>
    <row r="22" spans="2:26" ht="24">
      <c r="B22" s="482" t="s">
        <v>62</v>
      </c>
      <c r="C22" s="482" t="s">
        <v>67</v>
      </c>
      <c r="D22" s="513" t="s">
        <v>401</v>
      </c>
      <c r="E22" s="514" t="s">
        <v>68</v>
      </c>
      <c r="F22" s="515"/>
      <c r="G22" s="516">
        <v>0</v>
      </c>
      <c r="H22" s="516">
        <v>0</v>
      </c>
      <c r="I22" s="510">
        <v>1270000</v>
      </c>
      <c r="J22" s="510">
        <v>0</v>
      </c>
      <c r="K22" s="510">
        <v>0</v>
      </c>
      <c r="L22" s="510">
        <v>0</v>
      </c>
      <c r="M22" s="510">
        <v>0</v>
      </c>
      <c r="N22" s="510">
        <v>0</v>
      </c>
      <c r="O22" s="510">
        <v>0</v>
      </c>
      <c r="P22" s="510"/>
      <c r="Q22" s="510"/>
      <c r="R22" s="510">
        <v>0</v>
      </c>
      <c r="S22" s="510">
        <v>0</v>
      </c>
      <c r="T22" s="510">
        <v>0</v>
      </c>
      <c r="U22" s="510">
        <v>0</v>
      </c>
      <c r="V22" s="510">
        <v>8644085</v>
      </c>
      <c r="W22" s="510">
        <v>0</v>
      </c>
      <c r="X22" s="510">
        <v>0</v>
      </c>
      <c r="Y22" s="510">
        <v>0</v>
      </c>
      <c r="Z22" s="511">
        <f t="shared" si="0"/>
        <v>9914085</v>
      </c>
    </row>
    <row r="23" spans="1:26" ht="16.5" customHeight="1">
      <c r="A23" s="481">
        <v>751791</v>
      </c>
      <c r="B23" s="482" t="s">
        <v>63</v>
      </c>
      <c r="C23" s="482" t="s">
        <v>1003</v>
      </c>
      <c r="D23" s="513" t="s">
        <v>402</v>
      </c>
      <c r="E23" s="514" t="s">
        <v>1004</v>
      </c>
      <c r="F23" s="517"/>
      <c r="G23" s="510">
        <v>0</v>
      </c>
      <c r="H23" s="516">
        <v>0</v>
      </c>
      <c r="I23" s="510">
        <v>0</v>
      </c>
      <c r="J23" s="510">
        <v>0</v>
      </c>
      <c r="K23" s="510">
        <v>0</v>
      </c>
      <c r="L23" s="510">
        <v>0</v>
      </c>
      <c r="M23" s="510">
        <v>7265000</v>
      </c>
      <c r="N23" s="510">
        <v>0</v>
      </c>
      <c r="O23" s="510">
        <v>0</v>
      </c>
      <c r="P23" s="510"/>
      <c r="Q23" s="510"/>
      <c r="R23" s="510">
        <v>0</v>
      </c>
      <c r="S23" s="510">
        <v>0</v>
      </c>
      <c r="T23" s="510">
        <v>0</v>
      </c>
      <c r="U23" s="510">
        <v>0</v>
      </c>
      <c r="V23" s="510">
        <v>0</v>
      </c>
      <c r="W23" s="510">
        <v>0</v>
      </c>
      <c r="X23" s="510">
        <v>0</v>
      </c>
      <c r="Y23" s="510">
        <v>0</v>
      </c>
      <c r="Z23" s="511">
        <f>SUM(G23:Y23)</f>
        <v>7265000</v>
      </c>
    </row>
    <row r="24" spans="1:26" ht="24">
      <c r="A24" s="481">
        <v>751791</v>
      </c>
      <c r="B24" s="482" t="s">
        <v>63</v>
      </c>
      <c r="C24" s="482" t="s">
        <v>49</v>
      </c>
      <c r="D24" s="513" t="s">
        <v>403</v>
      </c>
      <c r="E24" s="514" t="s">
        <v>50</v>
      </c>
      <c r="F24" s="517"/>
      <c r="G24" s="510">
        <v>0</v>
      </c>
      <c r="H24" s="516">
        <v>0</v>
      </c>
      <c r="I24" s="510">
        <v>1736016</v>
      </c>
      <c r="J24" s="510">
        <v>0</v>
      </c>
      <c r="K24" s="510">
        <v>0</v>
      </c>
      <c r="L24" s="510">
        <v>0</v>
      </c>
      <c r="M24" s="510">
        <f>300000</f>
        <v>300000</v>
      </c>
      <c r="N24" s="510">
        <v>0</v>
      </c>
      <c r="O24" s="510">
        <v>0</v>
      </c>
      <c r="P24" s="510"/>
      <c r="Q24" s="510"/>
      <c r="R24" s="510">
        <v>0</v>
      </c>
      <c r="S24" s="510">
        <v>0</v>
      </c>
      <c r="T24" s="510">
        <v>0</v>
      </c>
      <c r="U24" s="510">
        <v>0</v>
      </c>
      <c r="V24" s="510">
        <v>0</v>
      </c>
      <c r="W24" s="510">
        <v>0</v>
      </c>
      <c r="X24" s="510">
        <v>0</v>
      </c>
      <c r="Y24" s="510">
        <v>0</v>
      </c>
      <c r="Z24" s="511">
        <f t="shared" si="0"/>
        <v>2036016</v>
      </c>
    </row>
    <row r="25" spans="1:26" ht="24">
      <c r="A25" s="481">
        <v>751834</v>
      </c>
      <c r="B25" s="482" t="s">
        <v>64</v>
      </c>
      <c r="C25" s="482" t="s">
        <v>51</v>
      </c>
      <c r="D25" s="513" t="s">
        <v>404</v>
      </c>
      <c r="E25" s="514" t="s">
        <v>371</v>
      </c>
      <c r="F25" s="515"/>
      <c r="G25" s="516">
        <v>0</v>
      </c>
      <c r="H25" s="516">
        <v>0</v>
      </c>
      <c r="I25" s="510">
        <f>11239754-848360+3300476</f>
        <v>13691870</v>
      </c>
      <c r="J25" s="510">
        <v>0</v>
      </c>
      <c r="K25" s="510">
        <v>0</v>
      </c>
      <c r="L25" s="510">
        <v>0</v>
      </c>
      <c r="M25" s="510">
        <v>0</v>
      </c>
      <c r="N25" s="510">
        <v>0</v>
      </c>
      <c r="O25" s="510">
        <v>0</v>
      </c>
      <c r="P25" s="510"/>
      <c r="Q25" s="510"/>
      <c r="R25" s="510">
        <v>0</v>
      </c>
      <c r="S25" s="510">
        <v>0</v>
      </c>
      <c r="T25" s="510">
        <v>0</v>
      </c>
      <c r="U25" s="510">
        <v>0</v>
      </c>
      <c r="V25" s="510">
        <v>0</v>
      </c>
      <c r="W25" s="510">
        <v>0</v>
      </c>
      <c r="X25" s="510">
        <v>0</v>
      </c>
      <c r="Y25" s="510">
        <v>0</v>
      </c>
      <c r="Z25" s="511">
        <f t="shared" si="0"/>
        <v>13691870</v>
      </c>
    </row>
    <row r="26" spans="3:26" ht="24" customHeight="1">
      <c r="C26" s="482" t="s">
        <v>52</v>
      </c>
      <c r="D26" s="513" t="s">
        <v>405</v>
      </c>
      <c r="E26" s="514" t="s">
        <v>998</v>
      </c>
      <c r="F26" s="515"/>
      <c r="G26" s="516">
        <v>0</v>
      </c>
      <c r="H26" s="510">
        <v>0</v>
      </c>
      <c r="I26" s="510">
        <v>15000000</v>
      </c>
      <c r="J26" s="510">
        <v>0</v>
      </c>
      <c r="K26" s="510">
        <v>0</v>
      </c>
      <c r="L26" s="510">
        <v>0</v>
      </c>
      <c r="M26" s="510">
        <v>0</v>
      </c>
      <c r="N26" s="510">
        <v>0</v>
      </c>
      <c r="O26" s="510">
        <v>0</v>
      </c>
      <c r="P26" s="510"/>
      <c r="Q26" s="510"/>
      <c r="R26" s="510">
        <v>0</v>
      </c>
      <c r="S26" s="510">
        <v>0</v>
      </c>
      <c r="T26" s="510">
        <v>0</v>
      </c>
      <c r="U26" s="510">
        <v>0</v>
      </c>
      <c r="V26" s="516">
        <v>0</v>
      </c>
      <c r="W26" s="510">
        <v>0</v>
      </c>
      <c r="X26" s="510">
        <v>18081467</v>
      </c>
      <c r="Y26" s="510">
        <v>0</v>
      </c>
      <c r="Z26" s="511">
        <f>SUM(G26:Y26)</f>
        <v>33081467</v>
      </c>
    </row>
    <row r="27" spans="3:26" ht="24" customHeight="1">
      <c r="C27" s="482" t="s">
        <v>783</v>
      </c>
      <c r="D27" s="513" t="s">
        <v>406</v>
      </c>
      <c r="E27" s="514" t="s">
        <v>784</v>
      </c>
      <c r="F27" s="515"/>
      <c r="G27" s="516">
        <v>0</v>
      </c>
      <c r="H27" s="510">
        <v>0</v>
      </c>
      <c r="I27" s="510">
        <v>0</v>
      </c>
      <c r="J27" s="510">
        <v>0</v>
      </c>
      <c r="K27" s="510">
        <v>0</v>
      </c>
      <c r="L27" s="510">
        <v>0</v>
      </c>
      <c r="M27" s="510">
        <v>0</v>
      </c>
      <c r="N27" s="510">
        <v>0</v>
      </c>
      <c r="O27" s="510">
        <v>0</v>
      </c>
      <c r="P27" s="510"/>
      <c r="Q27" s="510"/>
      <c r="R27" s="510">
        <v>0</v>
      </c>
      <c r="S27" s="510">
        <v>0</v>
      </c>
      <c r="T27" s="510">
        <v>0</v>
      </c>
      <c r="U27" s="510">
        <v>0</v>
      </c>
      <c r="V27" s="516">
        <v>0</v>
      </c>
      <c r="W27" s="510">
        <v>389000</v>
      </c>
      <c r="X27" s="510">
        <v>0</v>
      </c>
      <c r="Y27" s="510">
        <v>0</v>
      </c>
      <c r="Z27" s="511">
        <f t="shared" si="0"/>
        <v>389000</v>
      </c>
    </row>
    <row r="28" spans="1:26" ht="24" customHeight="1">
      <c r="A28" s="481">
        <v>751966</v>
      </c>
      <c r="B28" s="482" t="s">
        <v>65</v>
      </c>
      <c r="C28" s="482" t="s">
        <v>63</v>
      </c>
      <c r="D28" s="513" t="s">
        <v>407</v>
      </c>
      <c r="E28" s="514" t="s">
        <v>374</v>
      </c>
      <c r="F28" s="515"/>
      <c r="G28" s="516">
        <v>0</v>
      </c>
      <c r="H28" s="510">
        <v>0</v>
      </c>
      <c r="I28" s="510">
        <v>23139400</v>
      </c>
      <c r="J28" s="510">
        <v>0</v>
      </c>
      <c r="K28" s="510">
        <v>0</v>
      </c>
      <c r="L28" s="510">
        <v>0</v>
      </c>
      <c r="M28" s="510">
        <v>0</v>
      </c>
      <c r="N28" s="510">
        <v>0</v>
      </c>
      <c r="O28" s="510">
        <v>0</v>
      </c>
      <c r="P28" s="510"/>
      <c r="Q28" s="510"/>
      <c r="R28" s="510">
        <v>0</v>
      </c>
      <c r="S28" s="510">
        <v>0</v>
      </c>
      <c r="T28" s="510">
        <v>0</v>
      </c>
      <c r="U28" s="510">
        <v>0</v>
      </c>
      <c r="V28" s="516">
        <v>0</v>
      </c>
      <c r="W28" s="510">
        <v>0</v>
      </c>
      <c r="X28" s="510">
        <v>0</v>
      </c>
      <c r="Y28" s="510">
        <v>0</v>
      </c>
      <c r="Z28" s="511">
        <f t="shared" si="0"/>
        <v>23139400</v>
      </c>
    </row>
    <row r="29" spans="1:26" ht="24" customHeight="1">
      <c r="A29" s="481">
        <v>751999</v>
      </c>
      <c r="B29" s="482" t="s">
        <v>67</v>
      </c>
      <c r="C29" s="482" t="s">
        <v>59</v>
      </c>
      <c r="D29" s="513" t="s">
        <v>408</v>
      </c>
      <c r="E29" s="514" t="s">
        <v>541</v>
      </c>
      <c r="F29" s="515"/>
      <c r="G29" s="516">
        <v>0</v>
      </c>
      <c r="H29" s="516">
        <v>0</v>
      </c>
      <c r="I29" s="510">
        <f>254000+1100000</f>
        <v>1354000</v>
      </c>
      <c r="J29" s="510">
        <v>0</v>
      </c>
      <c r="K29" s="510">
        <v>0</v>
      </c>
      <c r="L29" s="510">
        <v>0</v>
      </c>
      <c r="M29" s="510">
        <f>25828000-1100000+3692132</f>
        <v>28420132</v>
      </c>
      <c r="N29" s="510">
        <v>0</v>
      </c>
      <c r="O29" s="510">
        <v>0</v>
      </c>
      <c r="P29" s="510"/>
      <c r="Q29" s="510"/>
      <c r="R29" s="510">
        <v>0</v>
      </c>
      <c r="S29" s="510">
        <v>0</v>
      </c>
      <c r="T29" s="510">
        <v>0</v>
      </c>
      <c r="U29" s="510">
        <v>0</v>
      </c>
      <c r="V29" s="516">
        <v>0</v>
      </c>
      <c r="W29" s="510">
        <v>2606050</v>
      </c>
      <c r="X29" s="510">
        <v>0</v>
      </c>
      <c r="Y29" s="510">
        <v>0</v>
      </c>
      <c r="Z29" s="511">
        <f t="shared" si="0"/>
        <v>32380182</v>
      </c>
    </row>
    <row r="30" spans="2:27" ht="24">
      <c r="B30" s="482" t="s">
        <v>69</v>
      </c>
      <c r="C30" s="482" t="s">
        <v>64</v>
      </c>
      <c r="D30" s="513" t="s">
        <v>409</v>
      </c>
      <c r="E30" s="514" t="s">
        <v>542</v>
      </c>
      <c r="F30" s="515"/>
      <c r="G30" s="516">
        <v>25000</v>
      </c>
      <c r="H30" s="516">
        <v>4388</v>
      </c>
      <c r="I30" s="510">
        <f>19910394+4650000-200000-5715000+90000+146050+550000</f>
        <v>19431444</v>
      </c>
      <c r="J30" s="510">
        <v>0</v>
      </c>
      <c r="K30" s="510">
        <v>0</v>
      </c>
      <c r="L30" s="510">
        <v>0</v>
      </c>
      <c r="M30" s="510">
        <f>17049000-4650000+2800000</f>
        <v>15199000</v>
      </c>
      <c r="N30" s="510">
        <v>0</v>
      </c>
      <c r="O30" s="510">
        <v>0</v>
      </c>
      <c r="P30" s="510"/>
      <c r="Q30" s="510"/>
      <c r="R30" s="510">
        <v>0</v>
      </c>
      <c r="S30" s="510">
        <v>0</v>
      </c>
      <c r="T30" s="510">
        <v>0</v>
      </c>
      <c r="U30" s="510">
        <v>0</v>
      </c>
      <c r="V30" s="516">
        <f>335750+495250</f>
        <v>831000</v>
      </c>
      <c r="W30" s="510">
        <v>0</v>
      </c>
      <c r="X30" s="510">
        <v>0</v>
      </c>
      <c r="Y30" s="510">
        <v>0</v>
      </c>
      <c r="Z30" s="511">
        <f t="shared" si="0"/>
        <v>35490832</v>
      </c>
      <c r="AA30" s="518"/>
    </row>
    <row r="31" spans="2:27" ht="24" customHeight="1">
      <c r="B31" s="482" t="s">
        <v>70</v>
      </c>
      <c r="C31" s="482" t="s">
        <v>70</v>
      </c>
      <c r="D31" s="988" t="s">
        <v>1006</v>
      </c>
      <c r="E31" s="514" t="s">
        <v>376</v>
      </c>
      <c r="F31" s="519"/>
      <c r="G31" s="510">
        <v>0</v>
      </c>
      <c r="H31" s="510">
        <v>0</v>
      </c>
      <c r="I31" s="510">
        <v>360000</v>
      </c>
      <c r="J31" s="510">
        <v>0</v>
      </c>
      <c r="K31" s="510">
        <v>0</v>
      </c>
      <c r="L31" s="510">
        <v>0</v>
      </c>
      <c r="M31" s="510">
        <v>0</v>
      </c>
      <c r="N31" s="510">
        <v>0</v>
      </c>
      <c r="O31" s="510">
        <v>0</v>
      </c>
      <c r="P31" s="510"/>
      <c r="Q31" s="510"/>
      <c r="R31" s="510">
        <v>0</v>
      </c>
      <c r="S31" s="510">
        <v>0</v>
      </c>
      <c r="T31" s="510">
        <v>0</v>
      </c>
      <c r="U31" s="510">
        <v>0</v>
      </c>
      <c r="V31" s="510">
        <v>0</v>
      </c>
      <c r="W31" s="510">
        <v>0</v>
      </c>
      <c r="X31" s="510">
        <v>0</v>
      </c>
      <c r="Y31" s="510">
        <v>0</v>
      </c>
      <c r="Z31" s="511">
        <f t="shared" si="0"/>
        <v>360000</v>
      </c>
      <c r="AA31" s="518"/>
    </row>
    <row r="32" spans="2:28" ht="24" customHeight="1">
      <c r="B32" s="482" t="s">
        <v>71</v>
      </c>
      <c r="C32" s="482" t="s">
        <v>71</v>
      </c>
      <c r="D32" s="988"/>
      <c r="E32" s="514" t="s">
        <v>377</v>
      </c>
      <c r="F32" s="519"/>
      <c r="G32" s="510">
        <v>2846984</v>
      </c>
      <c r="H32" s="510">
        <v>573827</v>
      </c>
      <c r="I32" s="510">
        <f>18217394+601200-233830</f>
        <v>18584764</v>
      </c>
      <c r="J32" s="510">
        <v>0</v>
      </c>
      <c r="K32" s="510">
        <v>0</v>
      </c>
      <c r="L32" s="510">
        <v>28922</v>
      </c>
      <c r="M32" s="510">
        <v>0</v>
      </c>
      <c r="N32" s="510">
        <v>0</v>
      </c>
      <c r="O32" s="510">
        <v>0</v>
      </c>
      <c r="P32" s="510"/>
      <c r="Q32" s="510"/>
      <c r="R32" s="510">
        <v>0</v>
      </c>
      <c r="S32" s="510">
        <v>0</v>
      </c>
      <c r="T32" s="510">
        <v>0</v>
      </c>
      <c r="U32" s="510">
        <v>0</v>
      </c>
      <c r="V32" s="510">
        <f>76200+233830</f>
        <v>310030</v>
      </c>
      <c r="W32" s="510">
        <v>0</v>
      </c>
      <c r="X32" s="510">
        <v>0</v>
      </c>
      <c r="Y32" s="510">
        <v>0</v>
      </c>
      <c r="Z32" s="511">
        <f t="shared" si="0"/>
        <v>22344527</v>
      </c>
      <c r="AB32" s="481" t="s">
        <v>749</v>
      </c>
    </row>
    <row r="33" spans="1:28" ht="24" customHeight="1">
      <c r="A33" s="481">
        <v>851286</v>
      </c>
      <c r="B33" s="482" t="s">
        <v>72</v>
      </c>
      <c r="C33" s="482" t="s">
        <v>72</v>
      </c>
      <c r="D33" s="988"/>
      <c r="E33" s="514" t="s">
        <v>378</v>
      </c>
      <c r="F33" s="519"/>
      <c r="G33" s="510">
        <v>0</v>
      </c>
      <c r="H33" s="510">
        <v>0</v>
      </c>
      <c r="I33" s="510">
        <v>120000</v>
      </c>
      <c r="J33" s="510">
        <v>0</v>
      </c>
      <c r="K33" s="510">
        <v>0</v>
      </c>
      <c r="L33" s="510">
        <v>0</v>
      </c>
      <c r="M33" s="510">
        <v>0</v>
      </c>
      <c r="N33" s="510">
        <v>0</v>
      </c>
      <c r="O33" s="510">
        <v>0</v>
      </c>
      <c r="P33" s="510"/>
      <c r="Q33" s="510"/>
      <c r="R33" s="510">
        <v>0</v>
      </c>
      <c r="S33" s="510">
        <v>0</v>
      </c>
      <c r="T33" s="510">
        <v>0</v>
      </c>
      <c r="U33" s="510">
        <v>0</v>
      </c>
      <c r="V33" s="510">
        <v>0</v>
      </c>
      <c r="W33" s="510">
        <v>0</v>
      </c>
      <c r="X33" s="510">
        <v>0</v>
      </c>
      <c r="Y33" s="510">
        <v>0</v>
      </c>
      <c r="Z33" s="511">
        <f t="shared" si="0"/>
        <v>120000</v>
      </c>
      <c r="AB33" s="518">
        <f>SUM(Z31:Z34)</f>
        <v>45892718</v>
      </c>
    </row>
    <row r="34" spans="1:26" s="512" customFormat="1" ht="27" customHeight="1">
      <c r="A34" s="481">
        <v>851297</v>
      </c>
      <c r="B34" s="482" t="s">
        <v>73</v>
      </c>
      <c r="C34" s="482" t="s">
        <v>73</v>
      </c>
      <c r="D34" s="988"/>
      <c r="E34" s="514" t="s">
        <v>430</v>
      </c>
      <c r="F34" s="519"/>
      <c r="G34" s="510">
        <v>16985805</v>
      </c>
      <c r="H34" s="510">
        <v>3345516</v>
      </c>
      <c r="I34" s="510">
        <v>2736870</v>
      </c>
      <c r="J34" s="510">
        <v>0</v>
      </c>
      <c r="K34" s="510">
        <v>0</v>
      </c>
      <c r="L34" s="510">
        <v>0</v>
      </c>
      <c r="M34" s="510">
        <v>0</v>
      </c>
      <c r="N34" s="510">
        <v>0</v>
      </c>
      <c r="O34" s="510">
        <v>0</v>
      </c>
      <c r="P34" s="510"/>
      <c r="Q34" s="510"/>
      <c r="R34" s="510">
        <v>0</v>
      </c>
      <c r="S34" s="510">
        <v>0</v>
      </c>
      <c r="T34" s="510">
        <v>0</v>
      </c>
      <c r="U34" s="510">
        <v>0</v>
      </c>
      <c r="V34" s="510">
        <v>0</v>
      </c>
      <c r="W34" s="510">
        <v>0</v>
      </c>
      <c r="X34" s="510">
        <v>0</v>
      </c>
      <c r="Y34" s="510">
        <v>0</v>
      </c>
      <c r="Z34" s="511">
        <f t="shared" si="0"/>
        <v>23068191</v>
      </c>
    </row>
    <row r="35" spans="1:26" s="512" customFormat="1" ht="24" customHeight="1">
      <c r="A35" s="481">
        <v>853322</v>
      </c>
      <c r="B35" s="482" t="s">
        <v>74</v>
      </c>
      <c r="C35" s="482" t="s">
        <v>82</v>
      </c>
      <c r="D35" s="513" t="s">
        <v>485</v>
      </c>
      <c r="E35" s="514" t="s">
        <v>83</v>
      </c>
      <c r="F35" s="520"/>
      <c r="G35" s="510">
        <v>0</v>
      </c>
      <c r="H35" s="510">
        <v>0</v>
      </c>
      <c r="I35" s="510">
        <v>0</v>
      </c>
      <c r="J35" s="510">
        <v>0</v>
      </c>
      <c r="K35" s="510">
        <v>0</v>
      </c>
      <c r="L35" s="510">
        <v>0</v>
      </c>
      <c r="M35" s="510">
        <f>16441000+4638836</f>
        <v>21079836</v>
      </c>
      <c r="N35" s="510">
        <v>0</v>
      </c>
      <c r="O35" s="510">
        <v>0</v>
      </c>
      <c r="P35" s="510"/>
      <c r="Q35" s="510"/>
      <c r="R35" s="510">
        <v>0</v>
      </c>
      <c r="S35" s="510">
        <v>0</v>
      </c>
      <c r="T35" s="510">
        <v>0</v>
      </c>
      <c r="U35" s="510">
        <v>0</v>
      </c>
      <c r="V35" s="510">
        <f>15576620-11201400+150000+235153</f>
        <v>4760373</v>
      </c>
      <c r="W35" s="510">
        <v>0</v>
      </c>
      <c r="X35" s="510">
        <v>0</v>
      </c>
      <c r="Y35" s="510">
        <v>0</v>
      </c>
      <c r="Z35" s="511">
        <f t="shared" si="0"/>
        <v>25840209</v>
      </c>
    </row>
    <row r="36" spans="1:26" s="512" customFormat="1" ht="24">
      <c r="A36" s="481"/>
      <c r="B36" s="482" t="s">
        <v>75</v>
      </c>
      <c r="C36" s="482" t="s">
        <v>538</v>
      </c>
      <c r="D36" s="513" t="s">
        <v>486</v>
      </c>
      <c r="E36" s="521" t="s">
        <v>612</v>
      </c>
      <c r="F36" s="520"/>
      <c r="G36" s="510">
        <v>80000</v>
      </c>
      <c r="H36" s="510">
        <v>41361</v>
      </c>
      <c r="I36" s="510">
        <f>1917850-235153</f>
        <v>1682697</v>
      </c>
      <c r="J36" s="510">
        <v>0</v>
      </c>
      <c r="K36" s="510">
        <v>0</v>
      </c>
      <c r="L36" s="510">
        <v>0</v>
      </c>
      <c r="M36" s="510">
        <v>0</v>
      </c>
      <c r="N36" s="510">
        <v>0</v>
      </c>
      <c r="O36" s="510">
        <v>0</v>
      </c>
      <c r="P36" s="510"/>
      <c r="Q36" s="510"/>
      <c r="R36" s="510">
        <v>0</v>
      </c>
      <c r="S36" s="510">
        <v>0</v>
      </c>
      <c r="T36" s="510">
        <v>0</v>
      </c>
      <c r="U36" s="510">
        <v>0</v>
      </c>
      <c r="V36" s="510">
        <v>0</v>
      </c>
      <c r="W36" s="510">
        <f>22279919+850900</f>
        <v>23130819</v>
      </c>
      <c r="X36" s="510">
        <v>0</v>
      </c>
      <c r="Y36" s="510">
        <v>0</v>
      </c>
      <c r="Z36" s="511">
        <f t="shared" si="0"/>
        <v>24934877</v>
      </c>
    </row>
    <row r="37" spans="1:26" s="512" customFormat="1" ht="24">
      <c r="A37" s="481"/>
      <c r="B37" s="482" t="s">
        <v>75</v>
      </c>
      <c r="C37" s="482" t="s">
        <v>1005</v>
      </c>
      <c r="D37" s="513" t="s">
        <v>487</v>
      </c>
      <c r="E37" s="521" t="s">
        <v>543</v>
      </c>
      <c r="F37" s="520"/>
      <c r="G37" s="510">
        <v>0</v>
      </c>
      <c r="H37" s="510">
        <v>0</v>
      </c>
      <c r="I37" s="510">
        <v>95585</v>
      </c>
      <c r="J37" s="510">
        <v>0</v>
      </c>
      <c r="K37" s="510">
        <v>0</v>
      </c>
      <c r="L37" s="510">
        <v>0</v>
      </c>
      <c r="M37" s="510">
        <v>0</v>
      </c>
      <c r="N37" s="510">
        <v>0</v>
      </c>
      <c r="O37" s="510">
        <v>0</v>
      </c>
      <c r="P37" s="510"/>
      <c r="Q37" s="510"/>
      <c r="R37" s="510">
        <v>0</v>
      </c>
      <c r="S37" s="510">
        <v>0</v>
      </c>
      <c r="T37" s="510">
        <v>0</v>
      </c>
      <c r="U37" s="510">
        <v>0</v>
      </c>
      <c r="V37" s="510">
        <v>0</v>
      </c>
      <c r="W37" s="510">
        <v>0</v>
      </c>
      <c r="X37" s="510">
        <v>0</v>
      </c>
      <c r="Y37" s="510">
        <v>0</v>
      </c>
      <c r="Z37" s="511">
        <f>SUM(G37:Y37)</f>
        <v>95585</v>
      </c>
    </row>
    <row r="38" spans="1:26" s="512" customFormat="1" ht="36">
      <c r="A38" s="481"/>
      <c r="B38" s="482"/>
      <c r="C38" s="482" t="s">
        <v>894</v>
      </c>
      <c r="D38" s="513" t="s">
        <v>455</v>
      </c>
      <c r="E38" s="234" t="s">
        <v>899</v>
      </c>
      <c r="F38" s="520"/>
      <c r="G38" s="510">
        <v>3600833</v>
      </c>
      <c r="H38" s="510">
        <v>834330</v>
      </c>
      <c r="I38" s="510">
        <v>13337603</v>
      </c>
      <c r="J38" s="510">
        <v>0</v>
      </c>
      <c r="K38" s="510">
        <v>0</v>
      </c>
      <c r="L38" s="510">
        <v>0</v>
      </c>
      <c r="M38" s="510">
        <v>0</v>
      </c>
      <c r="N38" s="510">
        <v>0</v>
      </c>
      <c r="O38" s="510">
        <v>0</v>
      </c>
      <c r="P38" s="510"/>
      <c r="Q38" s="510"/>
      <c r="R38" s="510">
        <v>0</v>
      </c>
      <c r="S38" s="510">
        <v>0</v>
      </c>
      <c r="T38" s="510">
        <v>0</v>
      </c>
      <c r="U38" s="510">
        <v>0</v>
      </c>
      <c r="V38" s="510">
        <v>2497100</v>
      </c>
      <c r="W38" s="510">
        <v>0</v>
      </c>
      <c r="X38" s="510">
        <v>0</v>
      </c>
      <c r="Y38" s="510">
        <v>0</v>
      </c>
      <c r="Z38" s="511">
        <f t="shared" si="0"/>
        <v>20269866</v>
      </c>
    </row>
    <row r="39" spans="2:28" ht="24">
      <c r="B39" s="482" t="s">
        <v>77</v>
      </c>
      <c r="C39" s="482" t="s">
        <v>69</v>
      </c>
      <c r="D39" s="513" t="s">
        <v>488</v>
      </c>
      <c r="E39" s="514" t="s">
        <v>997</v>
      </c>
      <c r="F39" s="519"/>
      <c r="G39" s="510">
        <v>0</v>
      </c>
      <c r="H39" s="510">
        <v>0</v>
      </c>
      <c r="I39" s="510">
        <v>0</v>
      </c>
      <c r="J39" s="510">
        <v>0</v>
      </c>
      <c r="K39" s="522">
        <v>0</v>
      </c>
      <c r="L39" s="522">
        <v>0</v>
      </c>
      <c r="M39" s="522">
        <v>0</v>
      </c>
      <c r="N39" s="510">
        <v>0</v>
      </c>
      <c r="O39" s="510">
        <v>0</v>
      </c>
      <c r="P39" s="510"/>
      <c r="Q39" s="510"/>
      <c r="R39" s="510">
        <v>0</v>
      </c>
      <c r="S39" s="510">
        <v>0</v>
      </c>
      <c r="T39" s="510">
        <v>0</v>
      </c>
      <c r="U39" s="510">
        <v>0</v>
      </c>
      <c r="V39" s="510">
        <v>0</v>
      </c>
      <c r="W39" s="510">
        <f>1576197</f>
        <v>1576197</v>
      </c>
      <c r="X39" s="510">
        <v>0</v>
      </c>
      <c r="Y39" s="510">
        <v>0</v>
      </c>
      <c r="Z39" s="511">
        <f>SUM(G39:Y39)</f>
        <v>1576197</v>
      </c>
      <c r="AB39" s="518">
        <f>SUM(Z39:Z39)</f>
        <v>1576197</v>
      </c>
    </row>
    <row r="40" spans="2:28" ht="24">
      <c r="B40" s="482" t="s">
        <v>77</v>
      </c>
      <c r="C40" s="482" t="s">
        <v>607</v>
      </c>
      <c r="D40" s="513" t="s">
        <v>411</v>
      </c>
      <c r="E40" s="514" t="s">
        <v>608</v>
      </c>
      <c r="F40" s="519"/>
      <c r="G40" s="510">
        <v>0</v>
      </c>
      <c r="H40" s="510">
        <v>0</v>
      </c>
      <c r="I40" s="510">
        <v>0</v>
      </c>
      <c r="J40" s="510">
        <v>0</v>
      </c>
      <c r="K40" s="522">
        <v>0</v>
      </c>
      <c r="L40" s="522">
        <v>0</v>
      </c>
      <c r="M40" s="522">
        <f>4592665-4592665</f>
        <v>0</v>
      </c>
      <c r="N40" s="510">
        <v>0</v>
      </c>
      <c r="O40" s="510">
        <v>0</v>
      </c>
      <c r="P40" s="510"/>
      <c r="Q40" s="510"/>
      <c r="R40" s="510">
        <v>0</v>
      </c>
      <c r="S40" s="510">
        <v>0</v>
      </c>
      <c r="T40" s="510">
        <v>0</v>
      </c>
      <c r="U40" s="510">
        <v>0</v>
      </c>
      <c r="V40" s="510">
        <v>0</v>
      </c>
      <c r="W40" s="510">
        <v>0</v>
      </c>
      <c r="X40" s="510">
        <v>0</v>
      </c>
      <c r="Y40" s="510">
        <v>0</v>
      </c>
      <c r="Z40" s="511">
        <f t="shared" si="0"/>
        <v>0</v>
      </c>
      <c r="AB40" s="518">
        <f>SUM(Z40:Z40)</f>
        <v>0</v>
      </c>
    </row>
    <row r="41" spans="3:26" ht="24">
      <c r="C41" s="482" t="s">
        <v>641</v>
      </c>
      <c r="D41" s="523" t="s">
        <v>412</v>
      </c>
      <c r="E41" s="514" t="s">
        <v>642</v>
      </c>
      <c r="F41" s="519"/>
      <c r="G41" s="510">
        <v>2168500</v>
      </c>
      <c r="H41" s="510">
        <v>426883</v>
      </c>
      <c r="I41" s="510">
        <v>54297921</v>
      </c>
      <c r="J41" s="510">
        <v>0</v>
      </c>
      <c r="K41" s="510">
        <v>0</v>
      </c>
      <c r="L41" s="510">
        <v>0</v>
      </c>
      <c r="M41" s="510">
        <v>0</v>
      </c>
      <c r="N41" s="510">
        <v>0</v>
      </c>
      <c r="O41" s="510">
        <v>0</v>
      </c>
      <c r="P41" s="510"/>
      <c r="Q41" s="510"/>
      <c r="R41" s="510">
        <v>0</v>
      </c>
      <c r="S41" s="510">
        <v>0</v>
      </c>
      <c r="T41" s="510">
        <v>0</v>
      </c>
      <c r="U41" s="510">
        <v>0</v>
      </c>
      <c r="V41" s="510">
        <v>10986734</v>
      </c>
      <c r="W41" s="510">
        <v>0</v>
      </c>
      <c r="X41" s="510">
        <v>0</v>
      </c>
      <c r="Y41" s="510">
        <v>0</v>
      </c>
      <c r="Z41" s="511">
        <f t="shared" si="0"/>
        <v>67880038</v>
      </c>
    </row>
    <row r="42" spans="3:26" ht="24">
      <c r="C42" s="482" t="s">
        <v>609</v>
      </c>
      <c r="D42" s="523" t="s">
        <v>413</v>
      </c>
      <c r="E42" s="514" t="s">
        <v>610</v>
      </c>
      <c r="F42" s="519"/>
      <c r="G42" s="510">
        <v>0</v>
      </c>
      <c r="H42" s="510">
        <v>0</v>
      </c>
      <c r="I42" s="510">
        <v>117194</v>
      </c>
      <c r="J42" s="510">
        <v>0</v>
      </c>
      <c r="K42" s="522">
        <v>0</v>
      </c>
      <c r="L42" s="522">
        <v>0</v>
      </c>
      <c r="M42" s="522">
        <v>0</v>
      </c>
      <c r="N42" s="510">
        <v>0</v>
      </c>
      <c r="O42" s="510">
        <v>0</v>
      </c>
      <c r="P42" s="510"/>
      <c r="Q42" s="510"/>
      <c r="R42" s="510">
        <v>0</v>
      </c>
      <c r="S42" s="510">
        <v>0</v>
      </c>
      <c r="T42" s="510">
        <v>0</v>
      </c>
      <c r="U42" s="510">
        <v>0</v>
      </c>
      <c r="V42" s="510">
        <v>0</v>
      </c>
      <c r="W42" s="510">
        <v>0</v>
      </c>
      <c r="X42" s="510">
        <v>0</v>
      </c>
      <c r="Y42" s="510">
        <v>0</v>
      </c>
      <c r="Z42" s="511">
        <f t="shared" si="0"/>
        <v>117194</v>
      </c>
    </row>
    <row r="43" spans="2:26" ht="24" customHeight="1">
      <c r="B43" s="482" t="s">
        <v>78</v>
      </c>
      <c r="C43" s="482" t="s">
        <v>638</v>
      </c>
      <c r="D43" s="523" t="s">
        <v>489</v>
      </c>
      <c r="E43" s="514" t="s">
        <v>639</v>
      </c>
      <c r="F43" s="519"/>
      <c r="G43" s="510">
        <v>0</v>
      </c>
      <c r="H43" s="510">
        <v>0</v>
      </c>
      <c r="I43" s="510">
        <f>17800000-2600000</f>
        <v>15200000</v>
      </c>
      <c r="J43" s="510">
        <v>0</v>
      </c>
      <c r="K43" s="510">
        <v>0</v>
      </c>
      <c r="L43" s="510">
        <v>0</v>
      </c>
      <c r="M43" s="510">
        <f>21971000+5275000</f>
        <v>27246000</v>
      </c>
      <c r="N43" s="510">
        <v>0</v>
      </c>
      <c r="O43" s="510">
        <v>0</v>
      </c>
      <c r="P43" s="510"/>
      <c r="Q43" s="510"/>
      <c r="R43" s="510">
        <v>0</v>
      </c>
      <c r="S43" s="510">
        <v>0</v>
      </c>
      <c r="T43" s="510">
        <v>0</v>
      </c>
      <c r="U43" s="510">
        <v>0</v>
      </c>
      <c r="V43" s="510">
        <v>0</v>
      </c>
      <c r="W43" s="510">
        <v>0</v>
      </c>
      <c r="X43" s="510">
        <v>0</v>
      </c>
      <c r="Y43" s="510">
        <v>0</v>
      </c>
      <c r="Z43" s="511">
        <f t="shared" si="0"/>
        <v>42446000</v>
      </c>
    </row>
    <row r="44" spans="3:26" ht="24" customHeight="1">
      <c r="C44" s="482" t="s">
        <v>871</v>
      </c>
      <c r="D44" s="523" t="s">
        <v>414</v>
      </c>
      <c r="E44" s="514" t="s">
        <v>872</v>
      </c>
      <c r="F44" s="519"/>
      <c r="G44" s="510">
        <v>0</v>
      </c>
      <c r="H44" s="510">
        <v>0</v>
      </c>
      <c r="I44" s="510">
        <v>0</v>
      </c>
      <c r="J44" s="510">
        <v>0</v>
      </c>
      <c r="K44" s="510">
        <v>0</v>
      </c>
      <c r="L44" s="510">
        <v>0</v>
      </c>
      <c r="M44" s="510">
        <f>4562000+3015000</f>
        <v>7577000</v>
      </c>
      <c r="N44" s="510">
        <v>0</v>
      </c>
      <c r="O44" s="510">
        <v>0</v>
      </c>
      <c r="P44" s="510"/>
      <c r="Q44" s="510"/>
      <c r="R44" s="510">
        <v>0</v>
      </c>
      <c r="S44" s="510">
        <v>0</v>
      </c>
      <c r="T44" s="510">
        <v>0</v>
      </c>
      <c r="U44" s="510">
        <v>0</v>
      </c>
      <c r="V44" s="510">
        <v>0</v>
      </c>
      <c r="W44" s="510">
        <v>0</v>
      </c>
      <c r="X44" s="510">
        <v>0</v>
      </c>
      <c r="Y44" s="510">
        <v>0</v>
      </c>
      <c r="Z44" s="511">
        <f t="shared" si="0"/>
        <v>7577000</v>
      </c>
    </row>
    <row r="45" spans="3:26" ht="36">
      <c r="C45" s="482" t="s">
        <v>1036</v>
      </c>
      <c r="D45" s="523" t="s">
        <v>429</v>
      </c>
      <c r="E45" s="514" t="s">
        <v>1037</v>
      </c>
      <c r="F45" s="519"/>
      <c r="G45" s="510">
        <v>0</v>
      </c>
      <c r="H45" s="510">
        <v>0</v>
      </c>
      <c r="I45" s="510">
        <v>0</v>
      </c>
      <c r="J45" s="510">
        <v>0</v>
      </c>
      <c r="K45" s="510">
        <v>0</v>
      </c>
      <c r="L45" s="510">
        <v>0</v>
      </c>
      <c r="M45" s="510">
        <v>0</v>
      </c>
      <c r="N45" s="510">
        <v>0</v>
      </c>
      <c r="O45" s="510">
        <v>0</v>
      </c>
      <c r="P45" s="510">
        <v>0</v>
      </c>
      <c r="Q45" s="510">
        <v>0</v>
      </c>
      <c r="R45" s="510">
        <v>0</v>
      </c>
      <c r="S45" s="510">
        <v>0</v>
      </c>
      <c r="T45" s="510">
        <v>0</v>
      </c>
      <c r="U45" s="510">
        <v>0</v>
      </c>
      <c r="V45" s="510">
        <v>1920000</v>
      </c>
      <c r="W45" s="510">
        <v>0</v>
      </c>
      <c r="X45" s="510">
        <v>0</v>
      </c>
      <c r="Y45" s="510">
        <v>0</v>
      </c>
      <c r="Z45" s="511">
        <f t="shared" si="0"/>
        <v>1920000</v>
      </c>
    </row>
    <row r="46" spans="3:26" ht="24">
      <c r="C46" s="482" t="s">
        <v>643</v>
      </c>
      <c r="D46" s="523" t="s">
        <v>490</v>
      </c>
      <c r="E46" s="514" t="s">
        <v>644</v>
      </c>
      <c r="F46" s="519"/>
      <c r="G46" s="510">
        <v>0</v>
      </c>
      <c r="H46" s="510">
        <v>0</v>
      </c>
      <c r="I46" s="510">
        <v>2114700</v>
      </c>
      <c r="J46" s="510">
        <v>0</v>
      </c>
      <c r="K46" s="510">
        <v>0</v>
      </c>
      <c r="L46" s="510">
        <v>0</v>
      </c>
      <c r="M46" s="510">
        <v>0</v>
      </c>
      <c r="N46" s="510">
        <v>0</v>
      </c>
      <c r="O46" s="510">
        <v>0</v>
      </c>
      <c r="P46" s="510"/>
      <c r="Q46" s="510"/>
      <c r="R46" s="510">
        <v>0</v>
      </c>
      <c r="S46" s="510">
        <v>0</v>
      </c>
      <c r="T46" s="510">
        <v>0</v>
      </c>
      <c r="U46" s="510">
        <v>0</v>
      </c>
      <c r="V46" s="510">
        <v>0</v>
      </c>
      <c r="W46" s="510">
        <v>0</v>
      </c>
      <c r="X46" s="510">
        <v>0</v>
      </c>
      <c r="Y46" s="510">
        <v>0</v>
      </c>
      <c r="Z46" s="511">
        <f t="shared" si="0"/>
        <v>2114700</v>
      </c>
    </row>
    <row r="47" spans="4:26" ht="36">
      <c r="D47" s="987" t="s">
        <v>1038</v>
      </c>
      <c r="E47" s="262" t="s">
        <v>908</v>
      </c>
      <c r="F47" s="519"/>
      <c r="G47" s="510">
        <v>27815502</v>
      </c>
      <c r="H47" s="510">
        <v>6738701</v>
      </c>
      <c r="I47" s="510">
        <f>54417221+10976885</f>
        <v>65394106</v>
      </c>
      <c r="J47" s="510">
        <v>0</v>
      </c>
      <c r="K47" s="510">
        <v>0</v>
      </c>
      <c r="L47" s="510">
        <v>0</v>
      </c>
      <c r="M47" s="510">
        <v>0</v>
      </c>
      <c r="N47" s="510">
        <v>0</v>
      </c>
      <c r="O47" s="510">
        <v>0</v>
      </c>
      <c r="P47" s="510"/>
      <c r="Q47" s="510"/>
      <c r="R47" s="510">
        <v>0</v>
      </c>
      <c r="S47" s="510">
        <v>0</v>
      </c>
      <c r="T47" s="510">
        <v>0</v>
      </c>
      <c r="U47" s="510">
        <v>0</v>
      </c>
      <c r="V47" s="510">
        <v>8983129</v>
      </c>
      <c r="W47" s="510">
        <v>6528562</v>
      </c>
      <c r="X47" s="510">
        <v>0</v>
      </c>
      <c r="Y47" s="510">
        <v>0</v>
      </c>
      <c r="Z47" s="511">
        <f t="shared" si="0"/>
        <v>115460000</v>
      </c>
    </row>
    <row r="48" spans="4:26" ht="48">
      <c r="D48" s="987"/>
      <c r="E48" s="262" t="s">
        <v>897</v>
      </c>
      <c r="F48" s="519"/>
      <c r="G48" s="510">
        <v>12762600</v>
      </c>
      <c r="H48" s="510">
        <v>2999211</v>
      </c>
      <c r="I48" s="510">
        <v>15053577</v>
      </c>
      <c r="J48" s="510">
        <v>0</v>
      </c>
      <c r="K48" s="510">
        <v>0</v>
      </c>
      <c r="L48" s="510">
        <v>0</v>
      </c>
      <c r="M48" s="510">
        <v>1564044</v>
      </c>
      <c r="N48" s="510">
        <v>0</v>
      </c>
      <c r="O48" s="510">
        <v>0</v>
      </c>
      <c r="P48" s="510"/>
      <c r="Q48" s="510"/>
      <c r="R48" s="510">
        <v>0</v>
      </c>
      <c r="S48" s="510">
        <v>0</v>
      </c>
      <c r="T48" s="510">
        <v>0</v>
      </c>
      <c r="U48" s="510">
        <v>0</v>
      </c>
      <c r="V48" s="510">
        <v>0</v>
      </c>
      <c r="W48" s="510">
        <v>0</v>
      </c>
      <c r="X48" s="510">
        <v>0</v>
      </c>
      <c r="Y48" s="510">
        <v>0</v>
      </c>
      <c r="Z48" s="511">
        <f t="shared" si="0"/>
        <v>32379432</v>
      </c>
    </row>
    <row r="49" spans="3:28" ht="24" customHeight="1">
      <c r="C49" s="482" t="s">
        <v>78</v>
      </c>
      <c r="D49" s="987"/>
      <c r="E49" s="262" t="s">
        <v>907</v>
      </c>
      <c r="F49" s="519"/>
      <c r="G49" s="510">
        <f>27145152</f>
        <v>27145152</v>
      </c>
      <c r="H49" s="510">
        <f>6999328</f>
        <v>6999328</v>
      </c>
      <c r="I49" s="510">
        <f>26209434</f>
        <v>26209434</v>
      </c>
      <c r="J49" s="510">
        <v>0</v>
      </c>
      <c r="K49" s="510">
        <v>0</v>
      </c>
      <c r="L49" s="510">
        <v>0</v>
      </c>
      <c r="M49" s="510">
        <v>0</v>
      </c>
      <c r="N49" s="510">
        <v>0</v>
      </c>
      <c r="O49" s="510">
        <v>0</v>
      </c>
      <c r="P49" s="510"/>
      <c r="Q49" s="510"/>
      <c r="R49" s="510">
        <v>0</v>
      </c>
      <c r="S49" s="510">
        <v>0</v>
      </c>
      <c r="T49" s="510">
        <v>0</v>
      </c>
      <c r="U49" s="510">
        <v>0</v>
      </c>
      <c r="V49" s="510">
        <v>0</v>
      </c>
      <c r="W49" s="510">
        <v>0</v>
      </c>
      <c r="X49" s="510">
        <v>0</v>
      </c>
      <c r="Y49" s="510">
        <v>0</v>
      </c>
      <c r="Z49" s="511">
        <f t="shared" si="0"/>
        <v>60353914</v>
      </c>
      <c r="AB49" s="518">
        <f>SUM(Z47:Z49)</f>
        <v>208193346</v>
      </c>
    </row>
    <row r="50" spans="3:28" ht="24" customHeight="1">
      <c r="C50" s="482" t="s">
        <v>873</v>
      </c>
      <c r="D50" s="523" t="s">
        <v>879</v>
      </c>
      <c r="E50" s="514" t="s">
        <v>874</v>
      </c>
      <c r="F50" s="519"/>
      <c r="G50" s="510">
        <v>0</v>
      </c>
      <c r="H50" s="510">
        <v>0</v>
      </c>
      <c r="I50" s="510">
        <v>0</v>
      </c>
      <c r="J50" s="510">
        <v>0</v>
      </c>
      <c r="K50" s="510">
        <v>0</v>
      </c>
      <c r="L50" s="510">
        <v>0</v>
      </c>
      <c r="M50" s="510">
        <f>3712000+922000</f>
        <v>4634000</v>
      </c>
      <c r="N50" s="510">
        <v>0</v>
      </c>
      <c r="O50" s="510">
        <v>0</v>
      </c>
      <c r="P50" s="510"/>
      <c r="Q50" s="510"/>
      <c r="R50" s="510">
        <v>0</v>
      </c>
      <c r="S50" s="510">
        <v>0</v>
      </c>
      <c r="T50" s="510">
        <v>0</v>
      </c>
      <c r="U50" s="510">
        <v>0</v>
      </c>
      <c r="V50" s="510">
        <v>0</v>
      </c>
      <c r="W50" s="510">
        <v>0</v>
      </c>
      <c r="X50" s="510">
        <v>0</v>
      </c>
      <c r="Y50" s="510">
        <v>0</v>
      </c>
      <c r="Z50" s="511">
        <f t="shared" si="0"/>
        <v>4634000</v>
      </c>
      <c r="AB50" s="518"/>
    </row>
    <row r="51" spans="3:28" ht="24" customHeight="1">
      <c r="C51" s="482" t="s">
        <v>875</v>
      </c>
      <c r="D51" s="523" t="s">
        <v>880</v>
      </c>
      <c r="E51" s="514" t="s">
        <v>876</v>
      </c>
      <c r="F51" s="519"/>
      <c r="G51" s="510">
        <v>0</v>
      </c>
      <c r="H51" s="510">
        <v>0</v>
      </c>
      <c r="I51" s="510">
        <v>0</v>
      </c>
      <c r="J51" s="510">
        <v>0</v>
      </c>
      <c r="K51" s="510">
        <v>0</v>
      </c>
      <c r="L51" s="510">
        <v>0</v>
      </c>
      <c r="M51" s="510">
        <f>4717000+1397000</f>
        <v>6114000</v>
      </c>
      <c r="N51" s="510">
        <v>0</v>
      </c>
      <c r="O51" s="510">
        <v>0</v>
      </c>
      <c r="P51" s="510"/>
      <c r="Q51" s="510"/>
      <c r="R51" s="510">
        <v>0</v>
      </c>
      <c r="S51" s="510">
        <v>0</v>
      </c>
      <c r="T51" s="510">
        <v>0</v>
      </c>
      <c r="U51" s="510">
        <v>0</v>
      </c>
      <c r="V51" s="510">
        <v>0</v>
      </c>
      <c r="W51" s="510">
        <v>0</v>
      </c>
      <c r="X51" s="510">
        <v>0</v>
      </c>
      <c r="Y51" s="510">
        <v>0</v>
      </c>
      <c r="Z51" s="511">
        <f t="shared" si="0"/>
        <v>6114000</v>
      </c>
      <c r="AB51" s="518"/>
    </row>
    <row r="52" spans="2:26" ht="24" customHeight="1">
      <c r="B52" s="482" t="s">
        <v>80</v>
      </c>
      <c r="C52" s="482" t="s">
        <v>76</v>
      </c>
      <c r="D52" s="523" t="s">
        <v>886</v>
      </c>
      <c r="E52" s="514" t="s">
        <v>451</v>
      </c>
      <c r="F52" s="519"/>
      <c r="G52" s="510">
        <v>0</v>
      </c>
      <c r="H52" s="510">
        <v>0</v>
      </c>
      <c r="I52" s="510">
        <f>2400000+200000</f>
        <v>2600000</v>
      </c>
      <c r="J52" s="510">
        <v>0</v>
      </c>
      <c r="K52" s="510">
        <v>0</v>
      </c>
      <c r="L52" s="510">
        <v>0</v>
      </c>
      <c r="M52" s="510">
        <f>1838000+2261329</f>
        <v>4099329</v>
      </c>
      <c r="N52" s="510">
        <v>0</v>
      </c>
      <c r="O52" s="510">
        <v>0</v>
      </c>
      <c r="P52" s="510"/>
      <c r="Q52" s="510"/>
      <c r="R52" s="510">
        <v>0</v>
      </c>
      <c r="S52" s="510">
        <v>0</v>
      </c>
      <c r="T52" s="510">
        <v>0</v>
      </c>
      <c r="U52" s="510">
        <v>0</v>
      </c>
      <c r="V52" s="510">
        <v>0</v>
      </c>
      <c r="W52" s="510">
        <v>0</v>
      </c>
      <c r="X52" s="510">
        <v>0</v>
      </c>
      <c r="Y52" s="510">
        <v>0</v>
      </c>
      <c r="Z52" s="511">
        <f t="shared" si="0"/>
        <v>6699329</v>
      </c>
    </row>
    <row r="53" spans="2:26" ht="24" customHeight="1">
      <c r="B53" s="482" t="s">
        <v>80</v>
      </c>
      <c r="C53" s="482" t="s">
        <v>877</v>
      </c>
      <c r="D53" s="523" t="s">
        <v>887</v>
      </c>
      <c r="E53" s="514" t="s">
        <v>878</v>
      </c>
      <c r="F53" s="519"/>
      <c r="G53" s="510">
        <v>0</v>
      </c>
      <c r="H53" s="510">
        <v>0</v>
      </c>
      <c r="I53" s="510">
        <v>0</v>
      </c>
      <c r="J53" s="510">
        <v>0</v>
      </c>
      <c r="K53" s="510">
        <v>0</v>
      </c>
      <c r="L53" s="510">
        <v>0</v>
      </c>
      <c r="M53" s="510">
        <f>3719000+1625335</f>
        <v>5344335</v>
      </c>
      <c r="N53" s="510">
        <v>0</v>
      </c>
      <c r="O53" s="510">
        <v>0</v>
      </c>
      <c r="P53" s="510"/>
      <c r="Q53" s="510"/>
      <c r="R53" s="510">
        <v>0</v>
      </c>
      <c r="S53" s="510">
        <v>0</v>
      </c>
      <c r="T53" s="510">
        <v>0</v>
      </c>
      <c r="U53" s="510">
        <v>0</v>
      </c>
      <c r="V53" s="510">
        <v>0</v>
      </c>
      <c r="W53" s="510">
        <v>0</v>
      </c>
      <c r="X53" s="510">
        <v>0</v>
      </c>
      <c r="Y53" s="510">
        <v>0</v>
      </c>
      <c r="Z53" s="511">
        <f t="shared" si="0"/>
        <v>5344335</v>
      </c>
    </row>
    <row r="54" spans="2:26" ht="24">
      <c r="B54" s="482" t="s">
        <v>82</v>
      </c>
      <c r="C54" s="482" t="s">
        <v>79</v>
      </c>
      <c r="D54" s="523" t="s">
        <v>900</v>
      </c>
      <c r="E54" s="514" t="s">
        <v>640</v>
      </c>
      <c r="F54" s="519"/>
      <c r="G54" s="510">
        <v>0</v>
      </c>
      <c r="H54" s="510">
        <v>0</v>
      </c>
      <c r="I54" s="510">
        <v>0</v>
      </c>
      <c r="J54" s="510">
        <v>2942222</v>
      </c>
      <c r="K54" s="510">
        <v>0</v>
      </c>
      <c r="L54" s="510">
        <v>0</v>
      </c>
      <c r="M54" s="510">
        <v>0</v>
      </c>
      <c r="N54" s="510">
        <v>0</v>
      </c>
      <c r="O54" s="510">
        <v>0</v>
      </c>
      <c r="P54" s="510"/>
      <c r="Q54" s="510"/>
      <c r="R54" s="510">
        <v>0</v>
      </c>
      <c r="S54" s="510">
        <v>0</v>
      </c>
      <c r="T54" s="510">
        <v>0</v>
      </c>
      <c r="U54" s="510">
        <v>0</v>
      </c>
      <c r="V54" s="510">
        <v>0</v>
      </c>
      <c r="W54" s="510">
        <v>0</v>
      </c>
      <c r="X54" s="524">
        <v>0</v>
      </c>
      <c r="Y54" s="510">
        <v>0</v>
      </c>
      <c r="Z54" s="511">
        <f t="shared" si="0"/>
        <v>2942222</v>
      </c>
    </row>
    <row r="55" spans="4:26" ht="24">
      <c r="D55" s="523" t="s">
        <v>1007</v>
      </c>
      <c r="E55" s="514" t="s">
        <v>375</v>
      </c>
      <c r="F55" s="525"/>
      <c r="G55" s="526">
        <v>0</v>
      </c>
      <c r="H55" s="524">
        <v>0</v>
      </c>
      <c r="I55" s="524">
        <v>0</v>
      </c>
      <c r="J55" s="524">
        <v>0</v>
      </c>
      <c r="K55" s="524">
        <v>0</v>
      </c>
      <c r="L55" s="524">
        <v>0</v>
      </c>
      <c r="M55" s="524">
        <v>0</v>
      </c>
      <c r="N55" s="524">
        <v>1000000</v>
      </c>
      <c r="O55" s="524">
        <f>495000+553029</f>
        <v>1048029</v>
      </c>
      <c r="P55" s="524">
        <f>59808757-7679730-553029-602617-1492000-8045171-7935168-4176519-28922-20906574-217072-8171955</f>
        <v>0</v>
      </c>
      <c r="Q55" s="524">
        <f>9782649-6323709-100000-3358940</f>
        <v>0</v>
      </c>
      <c r="R55" s="524">
        <f>1000000-63500-68000-30000-90000-146050-190500-150000-261950</f>
        <v>0</v>
      </c>
      <c r="S55" s="524">
        <f>23433000-20000000-1576197-1055350-288050</f>
        <v>513403</v>
      </c>
      <c r="T55" s="524">
        <f>4176519</f>
        <v>4176519</v>
      </c>
      <c r="U55" s="524">
        <v>5000000</v>
      </c>
      <c r="V55" s="524">
        <v>0</v>
      </c>
      <c r="W55" s="524">
        <v>0</v>
      </c>
      <c r="X55" s="526">
        <v>0</v>
      </c>
      <c r="Y55" s="524">
        <v>0</v>
      </c>
      <c r="Z55" s="511">
        <f t="shared" si="0"/>
        <v>11737951</v>
      </c>
    </row>
    <row r="56" spans="3:26" ht="24">
      <c r="C56" s="482" t="s">
        <v>787</v>
      </c>
      <c r="D56" s="523" t="s">
        <v>1008</v>
      </c>
      <c r="E56" s="528" t="s">
        <v>611</v>
      </c>
      <c r="F56" s="525"/>
      <c r="G56" s="526">
        <v>0</v>
      </c>
      <c r="H56" s="526">
        <v>0</v>
      </c>
      <c r="I56" s="526">
        <v>7848600</v>
      </c>
      <c r="J56" s="526">
        <v>0</v>
      </c>
      <c r="K56" s="526">
        <v>0</v>
      </c>
      <c r="L56" s="526">
        <v>0</v>
      </c>
      <c r="M56" s="526">
        <v>0</v>
      </c>
      <c r="N56" s="526">
        <v>0</v>
      </c>
      <c r="O56" s="526">
        <v>0</v>
      </c>
      <c r="P56" s="526"/>
      <c r="Q56" s="526"/>
      <c r="R56" s="526">
        <v>0</v>
      </c>
      <c r="S56" s="526">
        <v>0</v>
      </c>
      <c r="T56" s="526">
        <v>0</v>
      </c>
      <c r="U56" s="526">
        <v>0</v>
      </c>
      <c r="V56" s="526">
        <v>0</v>
      </c>
      <c r="W56" s="526">
        <v>0</v>
      </c>
      <c r="X56" s="526">
        <v>0</v>
      </c>
      <c r="Y56" s="526">
        <v>0</v>
      </c>
      <c r="Z56" s="511">
        <f t="shared" si="0"/>
        <v>7848600</v>
      </c>
    </row>
    <row r="57" spans="1:29" s="529" customFormat="1" ht="24" customHeight="1" thickBot="1">
      <c r="A57" s="529">
        <v>999997</v>
      </c>
      <c r="B57" s="527"/>
      <c r="D57" s="530" t="s">
        <v>1039</v>
      </c>
      <c r="E57" s="531" t="s">
        <v>361</v>
      </c>
      <c r="F57" s="532">
        <f>SUM(F8:F54)</f>
        <v>0</v>
      </c>
      <c r="G57" s="533">
        <f aca="true" t="shared" si="1" ref="G57:Z57">SUM(G8:G56)</f>
        <v>261096903</v>
      </c>
      <c r="H57" s="533">
        <f t="shared" si="1"/>
        <v>48757474</v>
      </c>
      <c r="I57" s="533">
        <f t="shared" si="1"/>
        <v>388947408</v>
      </c>
      <c r="J57" s="533">
        <f t="shared" si="1"/>
        <v>2942222</v>
      </c>
      <c r="K57" s="533">
        <f t="shared" si="1"/>
        <v>55043259</v>
      </c>
      <c r="L57" s="533">
        <f t="shared" si="1"/>
        <v>1084272</v>
      </c>
      <c r="M57" s="533">
        <f t="shared" si="1"/>
        <v>180103409</v>
      </c>
      <c r="N57" s="533">
        <f t="shared" si="1"/>
        <v>1000000</v>
      </c>
      <c r="O57" s="533">
        <f t="shared" si="1"/>
        <v>1048029</v>
      </c>
      <c r="P57" s="533">
        <f t="shared" si="1"/>
        <v>0</v>
      </c>
      <c r="Q57" s="533">
        <f t="shared" si="1"/>
        <v>0</v>
      </c>
      <c r="R57" s="533">
        <f t="shared" si="1"/>
        <v>0</v>
      </c>
      <c r="S57" s="533">
        <f t="shared" si="1"/>
        <v>513403</v>
      </c>
      <c r="T57" s="533">
        <f>SUM(T8:T56)</f>
        <v>4176519</v>
      </c>
      <c r="U57" s="533">
        <f t="shared" si="1"/>
        <v>5000000</v>
      </c>
      <c r="V57" s="533">
        <f t="shared" si="1"/>
        <v>318388353</v>
      </c>
      <c r="W57" s="533">
        <f t="shared" si="1"/>
        <v>62872832</v>
      </c>
      <c r="X57" s="533">
        <f t="shared" si="1"/>
        <v>19690487</v>
      </c>
      <c r="Y57" s="533">
        <f t="shared" si="1"/>
        <v>18041236</v>
      </c>
      <c r="Z57" s="534">
        <f t="shared" si="1"/>
        <v>1368705806</v>
      </c>
      <c r="AA57" s="535">
        <f>SUM(G57:Y57)</f>
        <v>1368705806</v>
      </c>
      <c r="AB57" s="536"/>
      <c r="AC57" s="536"/>
    </row>
    <row r="58" ht="12.75">
      <c r="E58" s="537"/>
    </row>
    <row r="62" ht="12">
      <c r="F62" s="539"/>
    </row>
  </sheetData>
  <sheetProtection/>
  <mergeCells count="12">
    <mergeCell ref="G4:Y4"/>
    <mergeCell ref="Z4:Z6"/>
    <mergeCell ref="D15:D17"/>
    <mergeCell ref="D47:D49"/>
    <mergeCell ref="D31:D34"/>
    <mergeCell ref="C1:C2"/>
    <mergeCell ref="U1:Z1"/>
    <mergeCell ref="E2:Z2"/>
    <mergeCell ref="D4:D7"/>
    <mergeCell ref="E4:E6"/>
    <mergeCell ref="F4:F6"/>
    <mergeCell ref="K5:U5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58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34"/>
  <sheetViews>
    <sheetView zoomScalePageLayoutView="0" workbookViewId="0" topLeftCell="A1">
      <selection activeCell="I2" sqref="I2"/>
    </sheetView>
  </sheetViews>
  <sheetFormatPr defaultColWidth="8.875" defaultRowHeight="12.75"/>
  <cols>
    <col min="1" max="1" width="7.625" style="483" customWidth="1"/>
    <col min="2" max="2" width="38.00390625" style="481" customWidth="1"/>
    <col min="3" max="8" width="13.125" style="481" customWidth="1"/>
    <col min="9" max="9" width="16.75390625" style="538" customWidth="1"/>
    <col min="10" max="10" width="14.375" style="481" customWidth="1"/>
    <col min="11" max="11" width="9.875" style="481" bestFit="1" customWidth="1"/>
    <col min="12" max="16384" width="8.875" style="481" customWidth="1"/>
  </cols>
  <sheetData>
    <row r="1" spans="7:9" ht="15">
      <c r="G1" s="991"/>
      <c r="H1" s="991"/>
      <c r="I1" s="991"/>
    </row>
    <row r="2" spans="5:12" ht="15">
      <c r="E2" s="595"/>
      <c r="F2" s="595"/>
      <c r="G2" s="595"/>
      <c r="H2" s="596"/>
      <c r="I2" s="595" t="s">
        <v>1138</v>
      </c>
      <c r="J2" s="596"/>
      <c r="K2" s="596"/>
      <c r="L2" s="596"/>
    </row>
    <row r="3" spans="5:12" ht="15">
      <c r="E3" s="595"/>
      <c r="F3" s="595"/>
      <c r="G3" s="595"/>
      <c r="H3" s="596"/>
      <c r="I3" s="595"/>
      <c r="J3" s="596"/>
      <c r="K3" s="596"/>
      <c r="L3" s="596"/>
    </row>
    <row r="4" spans="1:9" s="731" customFormat="1" ht="39" customHeight="1">
      <c r="A4" s="1011" t="s">
        <v>856</v>
      </c>
      <c r="B4" s="1011"/>
      <c r="C4" s="1011"/>
      <c r="D4" s="1011"/>
      <c r="E4" s="1011"/>
      <c r="F4" s="1011"/>
      <c r="G4" s="1011"/>
      <c r="H4" s="1011"/>
      <c r="I4" s="1011"/>
    </row>
    <row r="5" ht="12">
      <c r="I5" s="732"/>
    </row>
    <row r="6" ht="12">
      <c r="I6" s="732"/>
    </row>
    <row r="7" ht="12.75" thickBot="1">
      <c r="I7" s="487"/>
    </row>
    <row r="8" spans="1:9" s="488" customFormat="1" ht="12.75" customHeight="1">
      <c r="A8" s="993" t="s">
        <v>426</v>
      </c>
      <c r="B8" s="996" t="s">
        <v>357</v>
      </c>
      <c r="C8" s="1005" t="s">
        <v>365</v>
      </c>
      <c r="D8" s="1006"/>
      <c r="E8" s="1006"/>
      <c r="F8" s="1006"/>
      <c r="G8" s="1006"/>
      <c r="H8" s="1006"/>
      <c r="I8" s="1008" t="s">
        <v>366</v>
      </c>
    </row>
    <row r="9" spans="1:9" s="490" customFormat="1" ht="12" customHeight="1">
      <c r="A9" s="994"/>
      <c r="B9" s="997"/>
      <c r="C9" s="492" t="s">
        <v>1</v>
      </c>
      <c r="D9" s="492" t="s">
        <v>3</v>
      </c>
      <c r="E9" s="492" t="s">
        <v>5</v>
      </c>
      <c r="F9" s="494" t="s">
        <v>8</v>
      </c>
      <c r="G9" s="494" t="s">
        <v>129</v>
      </c>
      <c r="H9" s="494" t="s">
        <v>131</v>
      </c>
      <c r="I9" s="1009"/>
    </row>
    <row r="10" spans="1:9" s="490" customFormat="1" ht="63.75" customHeight="1">
      <c r="A10" s="994"/>
      <c r="B10" s="998"/>
      <c r="C10" s="495" t="s">
        <v>355</v>
      </c>
      <c r="D10" s="495" t="s">
        <v>637</v>
      </c>
      <c r="E10" s="495" t="s">
        <v>359</v>
      </c>
      <c r="F10" s="493" t="s">
        <v>9</v>
      </c>
      <c r="G10" s="493" t="s">
        <v>353</v>
      </c>
      <c r="H10" s="493" t="s">
        <v>368</v>
      </c>
      <c r="I10" s="1010"/>
    </row>
    <row r="11" spans="1:9" s="603" customFormat="1" ht="12.75" thickBot="1">
      <c r="A11" s="994"/>
      <c r="B11" s="604" t="s">
        <v>420</v>
      </c>
      <c r="C11" s="605" t="s">
        <v>421</v>
      </c>
      <c r="D11" s="605" t="s">
        <v>422</v>
      </c>
      <c r="E11" s="606" t="s">
        <v>423</v>
      </c>
      <c r="F11" s="606" t="s">
        <v>424</v>
      </c>
      <c r="G11" s="606" t="s">
        <v>425</v>
      </c>
      <c r="H11" s="607" t="s">
        <v>427</v>
      </c>
      <c r="I11" s="607" t="s">
        <v>428</v>
      </c>
    </row>
    <row r="12" spans="1:9" s="512" customFormat="1" ht="36" customHeight="1">
      <c r="A12" s="1018" t="s">
        <v>367</v>
      </c>
      <c r="B12" s="1019"/>
      <c r="C12" s="1019"/>
      <c r="D12" s="1019"/>
      <c r="E12" s="1019"/>
      <c r="F12" s="1019"/>
      <c r="G12" s="1019"/>
      <c r="H12" s="1019"/>
      <c r="I12" s="1020"/>
    </row>
    <row r="13" spans="1:9" s="609" customFormat="1" ht="34.5" customHeight="1">
      <c r="A13" s="610" t="s">
        <v>389</v>
      </c>
      <c r="B13" s="611" t="s">
        <v>861</v>
      </c>
      <c r="C13" s="613">
        <f>83641200+385000+1083000</f>
        <v>85109200</v>
      </c>
      <c r="D13" s="613">
        <f>15658358+75075+211188</f>
        <v>15944621</v>
      </c>
      <c r="E13" s="613">
        <f>20108238+439819</f>
        <v>20548057</v>
      </c>
      <c r="F13" s="613">
        <v>0</v>
      </c>
      <c r="G13" s="613">
        <f>1229404-139700</f>
        <v>1089704</v>
      </c>
      <c r="H13" s="613">
        <v>0</v>
      </c>
      <c r="I13" s="614">
        <f>SUM(C13:H13)</f>
        <v>122691582</v>
      </c>
    </row>
    <row r="14" spans="1:9" s="609" customFormat="1" ht="30.75" customHeight="1">
      <c r="A14" s="610" t="s">
        <v>390</v>
      </c>
      <c r="B14" s="611" t="s">
        <v>857</v>
      </c>
      <c r="C14" s="613">
        <v>0</v>
      </c>
      <c r="D14" s="613">
        <v>0</v>
      </c>
      <c r="E14" s="613">
        <v>0</v>
      </c>
      <c r="F14" s="613">
        <v>6018160</v>
      </c>
      <c r="G14" s="613">
        <v>0</v>
      </c>
      <c r="H14" s="613">
        <v>0</v>
      </c>
      <c r="I14" s="614">
        <f>SUM(C14:H14)</f>
        <v>6018160</v>
      </c>
    </row>
    <row r="15" spans="1:9" s="609" customFormat="1" ht="30.75" customHeight="1">
      <c r="A15" s="615" t="s">
        <v>391</v>
      </c>
      <c r="B15" s="616" t="s">
        <v>895</v>
      </c>
      <c r="C15" s="617">
        <f>1420400+6373+34746</f>
        <v>1461519</v>
      </c>
      <c r="D15" s="617">
        <f>293205-8607</f>
        <v>284598</v>
      </c>
      <c r="E15" s="617">
        <f>256193+2370+2234</f>
        <v>260797</v>
      </c>
      <c r="F15" s="617">
        <v>0</v>
      </c>
      <c r="G15" s="617">
        <f>139700</f>
        <v>139700</v>
      </c>
      <c r="H15" s="617">
        <v>0</v>
      </c>
      <c r="I15" s="614">
        <f>SUM(C15:H15)</f>
        <v>2146614</v>
      </c>
    </row>
    <row r="16" spans="1:12" s="618" customFormat="1" ht="24" customHeight="1" thickBot="1">
      <c r="A16" s="625" t="s">
        <v>392</v>
      </c>
      <c r="B16" s="626" t="s">
        <v>361</v>
      </c>
      <c r="C16" s="627">
        <f aca="true" t="shared" si="0" ref="C16:H16">SUM(C13:C15)</f>
        <v>86570719</v>
      </c>
      <c r="D16" s="627">
        <f t="shared" si="0"/>
        <v>16229219</v>
      </c>
      <c r="E16" s="627">
        <f t="shared" si="0"/>
        <v>20808854</v>
      </c>
      <c r="F16" s="627">
        <f t="shared" si="0"/>
        <v>6018160</v>
      </c>
      <c r="G16" s="627">
        <f t="shared" si="0"/>
        <v>1229404</v>
      </c>
      <c r="H16" s="627">
        <f t="shared" si="0"/>
        <v>0</v>
      </c>
      <c r="I16" s="628">
        <f>SUM(I10:I15)</f>
        <v>130856356</v>
      </c>
      <c r="J16" s="623">
        <f>SUM(C16:H16)</f>
        <v>130856356</v>
      </c>
      <c r="K16" s="624"/>
      <c r="L16" s="624"/>
    </row>
    <row r="17" spans="1:9" s="608" customFormat="1" ht="36.75" customHeight="1">
      <c r="A17" s="1012" t="s">
        <v>771</v>
      </c>
      <c r="B17" s="1013"/>
      <c r="C17" s="1013"/>
      <c r="D17" s="1013"/>
      <c r="E17" s="1013"/>
      <c r="F17" s="1013"/>
      <c r="G17" s="1013"/>
      <c r="H17" s="1013"/>
      <c r="I17" s="1014"/>
    </row>
    <row r="18" spans="1:9" s="609" customFormat="1" ht="23.25" customHeight="1">
      <c r="A18" s="610" t="s">
        <v>389</v>
      </c>
      <c r="B18" s="611" t="s">
        <v>792</v>
      </c>
      <c r="C18" s="612">
        <v>0</v>
      </c>
      <c r="D18" s="612">
        <v>0</v>
      </c>
      <c r="E18" s="612">
        <v>30823296</v>
      </c>
      <c r="F18" s="613">
        <v>0</v>
      </c>
      <c r="G18" s="612">
        <v>0</v>
      </c>
      <c r="H18" s="613">
        <v>0</v>
      </c>
      <c r="I18" s="614">
        <f aca="true" t="shared" si="1" ref="I18:I27">SUM(C18:H18)</f>
        <v>30823296</v>
      </c>
    </row>
    <row r="19" spans="1:9" s="609" customFormat="1" ht="23.25" customHeight="1">
      <c r="A19" s="610" t="s">
        <v>390</v>
      </c>
      <c r="B19" s="611" t="s">
        <v>793</v>
      </c>
      <c r="C19" s="612">
        <f>94274236-7297240-336000+433600</f>
        <v>87074596</v>
      </c>
      <c r="D19" s="612">
        <f>21189574-1422962-65520+84552</f>
        <v>19785644</v>
      </c>
      <c r="E19" s="612">
        <f>12894538-96000-170000-84541-195000-79900-198285</f>
        <v>12070812</v>
      </c>
      <c r="F19" s="613">
        <v>0</v>
      </c>
      <c r="G19" s="612">
        <f>139700+84541+79900</f>
        <v>304141</v>
      </c>
      <c r="H19" s="613">
        <v>0</v>
      </c>
      <c r="I19" s="614">
        <f t="shared" si="1"/>
        <v>119235193</v>
      </c>
    </row>
    <row r="20" spans="1:9" s="609" customFormat="1" ht="23.25" customHeight="1">
      <c r="A20" s="610" t="s">
        <v>391</v>
      </c>
      <c r="B20" s="611" t="s">
        <v>794</v>
      </c>
      <c r="C20" s="612">
        <v>10997572</v>
      </c>
      <c r="D20" s="612">
        <v>2155423</v>
      </c>
      <c r="E20" s="612">
        <v>296100</v>
      </c>
      <c r="F20" s="613">
        <v>0</v>
      </c>
      <c r="G20" s="612">
        <v>0</v>
      </c>
      <c r="H20" s="613">
        <v>0</v>
      </c>
      <c r="I20" s="614">
        <f t="shared" si="1"/>
        <v>13449095</v>
      </c>
    </row>
    <row r="21" spans="1:9" s="609" customFormat="1" ht="23.25" customHeight="1">
      <c r="A21" s="610" t="s">
        <v>392</v>
      </c>
      <c r="B21" s="611" t="s">
        <v>544</v>
      </c>
      <c r="C21" s="612">
        <v>4613500</v>
      </c>
      <c r="D21" s="612">
        <v>910195</v>
      </c>
      <c r="E21" s="612">
        <f>721417+3+17240</f>
        <v>738660</v>
      </c>
      <c r="F21" s="613">
        <v>0</v>
      </c>
      <c r="G21" s="896">
        <f>123070+198285</f>
        <v>321355</v>
      </c>
      <c r="H21" s="613">
        <v>700924</v>
      </c>
      <c r="I21" s="614">
        <f t="shared" si="1"/>
        <v>7284634</v>
      </c>
    </row>
    <row r="22" spans="1:9" s="609" customFormat="1" ht="23.25" customHeight="1">
      <c r="A22" s="610" t="s">
        <v>393</v>
      </c>
      <c r="B22" s="611" t="s">
        <v>584</v>
      </c>
      <c r="C22" s="612">
        <v>15997239</v>
      </c>
      <c r="D22" s="612">
        <v>3155478</v>
      </c>
      <c r="E22" s="612">
        <f>4844076-152273</f>
        <v>4691803</v>
      </c>
      <c r="F22" s="613">
        <v>0</v>
      </c>
      <c r="G22" s="612">
        <f>88900+152273</f>
        <v>241173</v>
      </c>
      <c r="H22" s="613">
        <v>0</v>
      </c>
      <c r="I22" s="614">
        <f t="shared" si="1"/>
        <v>24085693</v>
      </c>
    </row>
    <row r="23" spans="1:9" s="609" customFormat="1" ht="23.25" customHeight="1">
      <c r="A23" s="610" t="s">
        <v>394</v>
      </c>
      <c r="B23" s="611" t="s">
        <v>707</v>
      </c>
      <c r="C23" s="612">
        <v>13019321</v>
      </c>
      <c r="D23" s="612">
        <v>2547963</v>
      </c>
      <c r="E23" s="612">
        <f>2803888-151629</f>
        <v>2652259</v>
      </c>
      <c r="F23" s="613">
        <v>0</v>
      </c>
      <c r="G23" s="612">
        <f>76200+151629</f>
        <v>227829</v>
      </c>
      <c r="H23" s="613">
        <v>0</v>
      </c>
      <c r="I23" s="614">
        <f t="shared" si="1"/>
        <v>18447372</v>
      </c>
    </row>
    <row r="24" spans="1:9" s="609" customFormat="1" ht="23.25" customHeight="1">
      <c r="A24" s="610" t="s">
        <v>395</v>
      </c>
      <c r="B24" s="611" t="s">
        <v>708</v>
      </c>
      <c r="C24" s="612">
        <f>8646048+66000</f>
        <v>8712048</v>
      </c>
      <c r="D24" s="612">
        <f>1701132+12870</f>
        <v>1714002</v>
      </c>
      <c r="E24" s="612">
        <v>1159551</v>
      </c>
      <c r="F24" s="613">
        <v>0</v>
      </c>
      <c r="G24" s="612">
        <f>195000</f>
        <v>195000</v>
      </c>
      <c r="H24" s="613">
        <v>0</v>
      </c>
      <c r="I24" s="614">
        <f t="shared" si="1"/>
        <v>11780601</v>
      </c>
    </row>
    <row r="25" spans="1:9" s="609" customFormat="1" ht="23.25" customHeight="1">
      <c r="A25" s="610" t="s">
        <v>396</v>
      </c>
      <c r="B25" s="611" t="s">
        <v>795</v>
      </c>
      <c r="C25" s="613">
        <v>0</v>
      </c>
      <c r="D25" s="613">
        <v>0</v>
      </c>
      <c r="E25" s="613">
        <v>2665263</v>
      </c>
      <c r="F25" s="613">
        <v>0</v>
      </c>
      <c r="G25" s="613">
        <v>0</v>
      </c>
      <c r="H25" s="613">
        <v>0</v>
      </c>
      <c r="I25" s="614">
        <f t="shared" si="1"/>
        <v>2665263</v>
      </c>
    </row>
    <row r="26" spans="1:9" s="609" customFormat="1" ht="57">
      <c r="A26" s="610" t="s">
        <v>397</v>
      </c>
      <c r="B26" s="611" t="s">
        <v>897</v>
      </c>
      <c r="C26" s="613">
        <v>21649000</v>
      </c>
      <c r="D26" s="613">
        <v>5088000</v>
      </c>
      <c r="E26" s="613">
        <v>16670259</v>
      </c>
      <c r="F26" s="613">
        <v>0</v>
      </c>
      <c r="G26" s="613">
        <v>1687190</v>
      </c>
      <c r="H26" s="613">
        <v>0</v>
      </c>
      <c r="I26" s="614">
        <f t="shared" si="1"/>
        <v>45094449</v>
      </c>
    </row>
    <row r="27" spans="1:9" s="609" customFormat="1" ht="32.25" customHeight="1" thickBot="1">
      <c r="A27" s="615" t="s">
        <v>398</v>
      </c>
      <c r="B27" s="616" t="s">
        <v>896</v>
      </c>
      <c r="C27" s="903">
        <v>9187815</v>
      </c>
      <c r="D27" s="903">
        <v>2040168</v>
      </c>
      <c r="E27" s="903">
        <v>19871884</v>
      </c>
      <c r="F27" s="903">
        <v>0</v>
      </c>
      <c r="G27" s="903">
        <v>2412553</v>
      </c>
      <c r="H27" s="903">
        <v>0</v>
      </c>
      <c r="I27" s="904">
        <f t="shared" si="1"/>
        <v>33512420</v>
      </c>
    </row>
    <row r="28" spans="1:12" s="618" customFormat="1" ht="24" customHeight="1" thickBot="1">
      <c r="A28" s="619" t="s">
        <v>399</v>
      </c>
      <c r="B28" s="620" t="s">
        <v>361</v>
      </c>
      <c r="C28" s="621">
        <f aca="true" t="shared" si="2" ref="C28:I28">SUM(C18:C27)</f>
        <v>171251091</v>
      </c>
      <c r="D28" s="621">
        <f t="shared" si="2"/>
        <v>37396873</v>
      </c>
      <c r="E28" s="621">
        <f t="shared" si="2"/>
        <v>91639887</v>
      </c>
      <c r="F28" s="621">
        <f t="shared" si="2"/>
        <v>0</v>
      </c>
      <c r="G28" s="621">
        <f t="shared" si="2"/>
        <v>5389241</v>
      </c>
      <c r="H28" s="621">
        <f t="shared" si="2"/>
        <v>700924</v>
      </c>
      <c r="I28" s="622">
        <f t="shared" si="2"/>
        <v>306378016</v>
      </c>
      <c r="J28" s="623">
        <f>SUM(C28:H28)</f>
        <v>306378016</v>
      </c>
      <c r="K28" s="624"/>
      <c r="L28" s="624"/>
    </row>
    <row r="29" spans="1:9" s="512" customFormat="1" ht="39" customHeight="1">
      <c r="A29" s="1015" t="s">
        <v>862</v>
      </c>
      <c r="B29" s="1016"/>
      <c r="C29" s="1016"/>
      <c r="D29" s="1016"/>
      <c r="E29" s="1016"/>
      <c r="F29" s="1016"/>
      <c r="G29" s="1016"/>
      <c r="H29" s="1016"/>
      <c r="I29" s="1017"/>
    </row>
    <row r="30" spans="1:9" s="609" customFormat="1" ht="31.5" customHeight="1">
      <c r="A30" s="610" t="s">
        <v>389</v>
      </c>
      <c r="B30" s="611" t="s">
        <v>543</v>
      </c>
      <c r="C30" s="613">
        <v>0</v>
      </c>
      <c r="D30" s="613">
        <v>0</v>
      </c>
      <c r="E30" s="613">
        <f>1100000</f>
        <v>1100000</v>
      </c>
      <c r="F30" s="613">
        <v>0</v>
      </c>
      <c r="G30" s="613">
        <v>0</v>
      </c>
      <c r="H30" s="613">
        <v>0</v>
      </c>
      <c r="I30" s="614">
        <f>SUM(C30:H30)</f>
        <v>1100000</v>
      </c>
    </row>
    <row r="31" spans="1:9" s="609" customFormat="1" ht="23.25" customHeight="1">
      <c r="A31" s="610" t="s">
        <v>390</v>
      </c>
      <c r="B31" s="611" t="s">
        <v>379</v>
      </c>
      <c r="C31" s="613">
        <v>2428400</v>
      </c>
      <c r="D31" s="613">
        <v>478841</v>
      </c>
      <c r="E31" s="613">
        <v>3400630</v>
      </c>
      <c r="F31" s="613">
        <v>0</v>
      </c>
      <c r="G31" s="613">
        <v>0</v>
      </c>
      <c r="H31" s="613">
        <v>0</v>
      </c>
      <c r="I31" s="614">
        <f>SUM(C31:H31)</f>
        <v>6307871</v>
      </c>
    </row>
    <row r="32" spans="1:9" s="609" customFormat="1" ht="23.25" customHeight="1">
      <c r="A32" s="610" t="s">
        <v>391</v>
      </c>
      <c r="B32" s="611" t="s">
        <v>85</v>
      </c>
      <c r="C32" s="613">
        <v>0</v>
      </c>
      <c r="D32" s="613">
        <v>0</v>
      </c>
      <c r="E32" s="613">
        <v>49530</v>
      </c>
      <c r="F32" s="613">
        <v>0</v>
      </c>
      <c r="G32" s="613">
        <v>0</v>
      </c>
      <c r="H32" s="613">
        <v>0</v>
      </c>
      <c r="I32" s="614">
        <f>SUM(C32:H32)</f>
        <v>49530</v>
      </c>
    </row>
    <row r="33" spans="1:9" s="609" customFormat="1" ht="33" customHeight="1">
      <c r="A33" s="610" t="s">
        <v>392</v>
      </c>
      <c r="B33" s="611" t="s">
        <v>796</v>
      </c>
      <c r="C33" s="613">
        <v>7343000</v>
      </c>
      <c r="D33" s="613">
        <v>1437188</v>
      </c>
      <c r="E33" s="613">
        <f>13986001-3000000-103900</f>
        <v>10882101</v>
      </c>
      <c r="F33" s="613">
        <v>0</v>
      </c>
      <c r="G33" s="613">
        <v>103900</v>
      </c>
      <c r="H33" s="613">
        <v>0</v>
      </c>
      <c r="I33" s="614">
        <f>SUM(C33:H33)</f>
        <v>19766189</v>
      </c>
    </row>
    <row r="34" spans="1:12" s="618" customFormat="1" ht="24" customHeight="1" thickBot="1">
      <c r="A34" s="625" t="s">
        <v>393</v>
      </c>
      <c r="B34" s="626" t="s">
        <v>361</v>
      </c>
      <c r="C34" s="627">
        <f aca="true" t="shared" si="3" ref="C34:I34">SUM(C29:C33)</f>
        <v>9771400</v>
      </c>
      <c r="D34" s="627">
        <f t="shared" si="3"/>
        <v>1916029</v>
      </c>
      <c r="E34" s="627">
        <f t="shared" si="3"/>
        <v>15432261</v>
      </c>
      <c r="F34" s="627">
        <f>SUM(F29:F33)</f>
        <v>0</v>
      </c>
      <c r="G34" s="627">
        <f t="shared" si="3"/>
        <v>103900</v>
      </c>
      <c r="H34" s="627">
        <f t="shared" si="3"/>
        <v>0</v>
      </c>
      <c r="I34" s="628">
        <f t="shared" si="3"/>
        <v>27223590</v>
      </c>
      <c r="J34" s="623">
        <f>SUM(C34:H34)</f>
        <v>27223590</v>
      </c>
      <c r="K34" s="624"/>
      <c r="L34" s="624"/>
    </row>
  </sheetData>
  <sheetProtection/>
  <mergeCells count="9">
    <mergeCell ref="A4:I4"/>
    <mergeCell ref="A17:I17"/>
    <mergeCell ref="A29:I29"/>
    <mergeCell ref="G1:I1"/>
    <mergeCell ref="A8:A11"/>
    <mergeCell ref="B8:B10"/>
    <mergeCell ref="C8:H8"/>
    <mergeCell ref="I8:I10"/>
    <mergeCell ref="A12:I12"/>
  </mergeCells>
  <printOptions horizontalCentered="1"/>
  <pageMargins left="0.11811023622047245" right="0.11811023622047245" top="0.9448818897637796" bottom="0.9448818897637796" header="0.31496062992125984" footer="0.31496062992125984"/>
  <pageSetup horizontalDpi="600" verticalDpi="600" orientation="portrait" paperSize="9" scale="6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A85"/>
  <sheetViews>
    <sheetView workbookViewId="0" topLeftCell="G1">
      <selection activeCell="G1" sqref="G1:M1"/>
    </sheetView>
  </sheetViews>
  <sheetFormatPr defaultColWidth="9.00390625" defaultRowHeight="12.75"/>
  <cols>
    <col min="1" max="1" width="7.75390625" style="142" customWidth="1"/>
    <col min="2" max="2" width="31.75390625" style="142" customWidth="1"/>
    <col min="3" max="3" width="14.375" style="142" customWidth="1"/>
    <col min="4" max="5" width="13.75390625" style="142" bestFit="1" customWidth="1"/>
    <col min="6" max="6" width="16.25390625" style="142" bestFit="1" customWidth="1"/>
    <col min="7" max="9" width="14.375" style="142" bestFit="1" customWidth="1"/>
    <col min="10" max="11" width="12.875" style="142" customWidth="1"/>
    <col min="12" max="12" width="15.00390625" style="142" customWidth="1"/>
    <col min="13" max="13" width="17.00390625" style="142" bestFit="1" customWidth="1"/>
    <col min="14" max="15" width="9.125" style="142" customWidth="1"/>
    <col min="16" max="16" width="12.875" style="142" bestFit="1" customWidth="1"/>
    <col min="17" max="16384" width="9.125" style="142" customWidth="1"/>
  </cols>
  <sheetData>
    <row r="1" spans="1:21" ht="15">
      <c r="A1" s="209"/>
      <c r="B1" s="210"/>
      <c r="C1" s="211"/>
      <c r="D1" s="211"/>
      <c r="E1" s="211"/>
      <c r="F1" s="211"/>
      <c r="G1" s="1144" t="s">
        <v>1139</v>
      </c>
      <c r="H1" s="1144"/>
      <c r="I1" s="1145"/>
      <c r="J1" s="1145"/>
      <c r="K1" s="1145"/>
      <c r="L1" s="1145"/>
      <c r="M1" s="1145"/>
      <c r="N1" s="210"/>
      <c r="O1" s="210"/>
      <c r="P1" s="210"/>
      <c r="Q1" s="210"/>
      <c r="R1" s="212"/>
      <c r="S1" s="212"/>
      <c r="T1" s="212"/>
      <c r="U1" s="210"/>
    </row>
    <row r="2" spans="1:21" ht="12.75">
      <c r="A2" s="209"/>
      <c r="B2" s="210"/>
      <c r="C2" s="211"/>
      <c r="D2" s="211"/>
      <c r="E2" s="211"/>
      <c r="F2" s="211"/>
      <c r="G2" s="213"/>
      <c r="H2" s="213"/>
      <c r="I2" s="214"/>
      <c r="J2" s="214"/>
      <c r="K2" s="214"/>
      <c r="L2" s="214"/>
      <c r="M2" s="214"/>
      <c r="N2" s="210"/>
      <c r="O2" s="210"/>
      <c r="P2" s="210"/>
      <c r="Q2" s="210"/>
      <c r="R2" s="212"/>
      <c r="S2" s="212"/>
      <c r="T2" s="212"/>
      <c r="U2" s="210"/>
    </row>
    <row r="3" spans="1:27" ht="15.75" customHeight="1">
      <c r="A3" s="1047" t="s">
        <v>797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</row>
    <row r="4" spans="1:27" ht="13.5" thickBot="1">
      <c r="A4" s="1047"/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</row>
    <row r="5" spans="1:27" ht="16.5" thickBot="1">
      <c r="A5" s="1039" t="s">
        <v>426</v>
      </c>
      <c r="B5" s="1036" t="s">
        <v>357</v>
      </c>
      <c r="C5" s="1042" t="s">
        <v>480</v>
      </c>
      <c r="D5" s="1042"/>
      <c r="E5" s="1042"/>
      <c r="F5" s="1042"/>
      <c r="G5" s="1042"/>
      <c r="H5" s="1042"/>
      <c r="I5" s="1042"/>
      <c r="J5" s="1042"/>
      <c r="K5" s="1042"/>
      <c r="L5" s="1042"/>
      <c r="M5" s="1043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7"/>
    </row>
    <row r="6" spans="1:13" ht="12.75" customHeight="1">
      <c r="A6" s="1040"/>
      <c r="B6" s="1037"/>
      <c r="C6" s="1048" t="s">
        <v>481</v>
      </c>
      <c r="D6" s="1027" t="s">
        <v>482</v>
      </c>
      <c r="E6" s="1028"/>
      <c r="F6" s="1029"/>
      <c r="G6" s="1027" t="s">
        <v>483</v>
      </c>
      <c r="H6" s="1028"/>
      <c r="I6" s="1029"/>
      <c r="J6" s="1027" t="s">
        <v>484</v>
      </c>
      <c r="K6" s="1028"/>
      <c r="L6" s="1029"/>
      <c r="M6" s="1044" t="s">
        <v>366</v>
      </c>
    </row>
    <row r="7" spans="1:13" ht="12.75" customHeight="1">
      <c r="A7" s="1040"/>
      <c r="B7" s="1037"/>
      <c r="C7" s="1049"/>
      <c r="D7" s="1030"/>
      <c r="E7" s="1031"/>
      <c r="F7" s="1032"/>
      <c r="G7" s="1030"/>
      <c r="H7" s="1031"/>
      <c r="I7" s="1032"/>
      <c r="J7" s="1030"/>
      <c r="K7" s="1031"/>
      <c r="L7" s="1032"/>
      <c r="M7" s="1045"/>
    </row>
    <row r="8" spans="1:13" ht="24" customHeight="1" thickBot="1">
      <c r="A8" s="1041"/>
      <c r="B8" s="1038"/>
      <c r="C8" s="1050"/>
      <c r="D8" s="218" t="s">
        <v>86</v>
      </c>
      <c r="E8" s="219" t="s">
        <v>87</v>
      </c>
      <c r="F8" s="220" t="s">
        <v>88</v>
      </c>
      <c r="G8" s="221" t="s">
        <v>86</v>
      </c>
      <c r="H8" s="219" t="s">
        <v>87</v>
      </c>
      <c r="I8" s="220" t="s">
        <v>88</v>
      </c>
      <c r="J8" s="221" t="s">
        <v>86</v>
      </c>
      <c r="K8" s="219" t="s">
        <v>87</v>
      </c>
      <c r="L8" s="220" t="s">
        <v>88</v>
      </c>
      <c r="M8" s="1046"/>
    </row>
    <row r="9" spans="1:13" ht="29.25" customHeight="1">
      <c r="A9" s="222" t="s">
        <v>389</v>
      </c>
      <c r="B9" s="223" t="s">
        <v>61</v>
      </c>
      <c r="C9" s="224" t="s">
        <v>724</v>
      </c>
      <c r="D9" s="225">
        <f>50694554+1031200+30800+6006+63500+190500+1055350+1492000+100000</f>
        <v>54663910</v>
      </c>
      <c r="E9" s="630"/>
      <c r="F9" s="227">
        <f aca="true" t="shared" si="0" ref="F9:F53">SUM(D9:E9)</f>
        <v>54663910</v>
      </c>
      <c r="G9" s="228"/>
      <c r="H9" s="630"/>
      <c r="I9" s="227">
        <f aca="true" t="shared" si="1" ref="I9:I53">SUM(G9:H9)</f>
        <v>0</v>
      </c>
      <c r="J9" s="229"/>
      <c r="K9" s="230"/>
      <c r="L9" s="227">
        <f aca="true" t="shared" si="2" ref="L9:L43">SUM(J9:K9)</f>
        <v>0</v>
      </c>
      <c r="M9" s="231">
        <f aca="true" t="shared" si="3" ref="M9:M53">SUM(F9+I9+L9)</f>
        <v>54663910</v>
      </c>
    </row>
    <row r="10" spans="1:13" ht="29.25" customHeight="1">
      <c r="A10" s="232" t="s">
        <v>390</v>
      </c>
      <c r="B10" s="234" t="s">
        <v>56</v>
      </c>
      <c r="C10" s="233" t="s">
        <v>710</v>
      </c>
      <c r="D10" s="225">
        <f>65256278+68000+7679730+1417+7100000</f>
        <v>80105425</v>
      </c>
      <c r="E10" s="226">
        <f>2949520+3000000+5000000</f>
        <v>10949520</v>
      </c>
      <c r="F10" s="227">
        <f t="shared" si="0"/>
        <v>91054945</v>
      </c>
      <c r="G10" s="635"/>
      <c r="H10" s="226">
        <v>1159500</v>
      </c>
      <c r="I10" s="227">
        <f t="shared" si="1"/>
        <v>1159500</v>
      </c>
      <c r="J10" s="229"/>
      <c r="K10" s="230"/>
      <c r="L10" s="227">
        <f t="shared" si="2"/>
        <v>0</v>
      </c>
      <c r="M10" s="231">
        <f t="shared" si="3"/>
        <v>92214445</v>
      </c>
    </row>
    <row r="11" spans="1:13" ht="29.25" customHeight="1">
      <c r="A11" s="232" t="s">
        <v>391</v>
      </c>
      <c r="B11" s="234" t="s">
        <v>58</v>
      </c>
      <c r="C11" s="233" t="s">
        <v>800</v>
      </c>
      <c r="D11" s="225">
        <v>2638913</v>
      </c>
      <c r="E11" s="630"/>
      <c r="F11" s="227">
        <f t="shared" si="0"/>
        <v>2638913</v>
      </c>
      <c r="G11" s="228">
        <v>4592665</v>
      </c>
      <c r="H11" s="630"/>
      <c r="I11" s="227">
        <f t="shared" si="1"/>
        <v>4592665</v>
      </c>
      <c r="J11" s="229"/>
      <c r="K11" s="230"/>
      <c r="L11" s="227">
        <f t="shared" si="2"/>
        <v>0</v>
      </c>
      <c r="M11" s="231">
        <f t="shared" si="3"/>
        <v>7231578</v>
      </c>
    </row>
    <row r="12" spans="1:13" ht="29.25" customHeight="1">
      <c r="A12" s="232" t="s">
        <v>392</v>
      </c>
      <c r="B12" s="234" t="s">
        <v>373</v>
      </c>
      <c r="C12" s="235"/>
      <c r="D12" s="629"/>
      <c r="E12" s="630"/>
      <c r="F12" s="227">
        <f t="shared" si="0"/>
        <v>0</v>
      </c>
      <c r="G12" s="228">
        <f>7224187-5500000+1100000</f>
        <v>2824187</v>
      </c>
      <c r="H12" s="630"/>
      <c r="I12" s="227">
        <f t="shared" si="1"/>
        <v>2824187</v>
      </c>
      <c r="J12" s="229"/>
      <c r="K12" s="230"/>
      <c r="L12" s="227">
        <f t="shared" si="2"/>
        <v>0</v>
      </c>
      <c r="M12" s="231">
        <f t="shared" si="3"/>
        <v>2824187</v>
      </c>
    </row>
    <row r="13" spans="1:13" ht="29.25" customHeight="1">
      <c r="A13" s="232" t="s">
        <v>393</v>
      </c>
      <c r="B13" s="234" t="s">
        <v>778</v>
      </c>
      <c r="C13" s="227" t="s">
        <v>801</v>
      </c>
      <c r="D13" s="225">
        <f>34037935+66110+32640+20906574</f>
        <v>55043259</v>
      </c>
      <c r="E13" s="630"/>
      <c r="F13" s="227">
        <f t="shared" si="0"/>
        <v>55043259</v>
      </c>
      <c r="G13" s="635"/>
      <c r="H13" s="630"/>
      <c r="I13" s="227">
        <f t="shared" si="1"/>
        <v>0</v>
      </c>
      <c r="J13" s="229"/>
      <c r="K13" s="230"/>
      <c r="L13" s="227">
        <f t="shared" si="2"/>
        <v>0</v>
      </c>
      <c r="M13" s="231">
        <f t="shared" si="3"/>
        <v>55043259</v>
      </c>
    </row>
    <row r="14" spans="1:13" ht="21.75" customHeight="1">
      <c r="A14" s="232" t="s">
        <v>394</v>
      </c>
      <c r="B14" s="250" t="s">
        <v>634</v>
      </c>
      <c r="C14" s="227" t="s">
        <v>801</v>
      </c>
      <c r="D14" s="237">
        <f>19198739+936+141447+1283275</f>
        <v>20624397</v>
      </c>
      <c r="E14" s="632"/>
      <c r="F14" s="227">
        <f t="shared" si="0"/>
        <v>20624397</v>
      </c>
      <c r="G14" s="636"/>
      <c r="H14" s="632"/>
      <c r="I14" s="227">
        <f t="shared" si="1"/>
        <v>0</v>
      </c>
      <c r="J14" s="240"/>
      <c r="K14" s="241"/>
      <c r="L14" s="227">
        <f t="shared" si="2"/>
        <v>0</v>
      </c>
      <c r="M14" s="231">
        <f t="shared" si="3"/>
        <v>20624397</v>
      </c>
    </row>
    <row r="15" spans="1:13" ht="29.25" customHeight="1">
      <c r="A15" s="232" t="s">
        <v>395</v>
      </c>
      <c r="B15" s="234" t="s">
        <v>66</v>
      </c>
      <c r="C15" s="227" t="s">
        <v>711</v>
      </c>
      <c r="D15" s="629"/>
      <c r="E15" s="630"/>
      <c r="F15" s="227">
        <f t="shared" si="0"/>
        <v>0</v>
      </c>
      <c r="G15" s="635"/>
      <c r="H15" s="630"/>
      <c r="I15" s="227">
        <f t="shared" si="1"/>
        <v>0</v>
      </c>
      <c r="J15" s="229">
        <f>50486791+2200+429-120000-73660</f>
        <v>50295760</v>
      </c>
      <c r="K15" s="230">
        <f>508000+120000+73660</f>
        <v>701660</v>
      </c>
      <c r="L15" s="227">
        <f t="shared" si="2"/>
        <v>50997420</v>
      </c>
      <c r="M15" s="231">
        <f t="shared" si="3"/>
        <v>50997420</v>
      </c>
    </row>
    <row r="16" spans="1:13" ht="29.25" customHeight="1">
      <c r="A16" s="232" t="s">
        <v>396</v>
      </c>
      <c r="B16" s="234" t="s">
        <v>779</v>
      </c>
      <c r="C16" s="233"/>
      <c r="D16" s="629"/>
      <c r="E16" s="630"/>
      <c r="F16" s="227">
        <f t="shared" si="0"/>
        <v>0</v>
      </c>
      <c r="G16" s="635"/>
      <c r="H16" s="226">
        <f>264185263+151044</f>
        <v>264336307</v>
      </c>
      <c r="I16" s="227">
        <f t="shared" si="1"/>
        <v>264336307</v>
      </c>
      <c r="J16" s="229"/>
      <c r="K16" s="230"/>
      <c r="L16" s="227">
        <f t="shared" si="2"/>
        <v>0</v>
      </c>
      <c r="M16" s="231">
        <f t="shared" si="3"/>
        <v>264336307</v>
      </c>
    </row>
    <row r="17" spans="1:13" ht="29.25" customHeight="1">
      <c r="A17" s="232" t="s">
        <v>397</v>
      </c>
      <c r="B17" s="234" t="s">
        <v>781</v>
      </c>
      <c r="C17" s="233" t="s">
        <v>798</v>
      </c>
      <c r="D17" s="225">
        <f>11977188+28103985+2740077+8057715+246024</f>
        <v>51124989</v>
      </c>
      <c r="E17" s="226">
        <v>1846997</v>
      </c>
      <c r="F17" s="227">
        <f t="shared" si="0"/>
        <v>52971986</v>
      </c>
      <c r="G17" s="635"/>
      <c r="H17" s="630"/>
      <c r="I17" s="227">
        <f t="shared" si="1"/>
        <v>0</v>
      </c>
      <c r="J17" s="229"/>
      <c r="K17" s="230"/>
      <c r="L17" s="227">
        <f t="shared" si="2"/>
        <v>0</v>
      </c>
      <c r="M17" s="231">
        <f t="shared" si="3"/>
        <v>52971986</v>
      </c>
    </row>
    <row r="18" spans="1:13" ht="29.25" customHeight="1">
      <c r="A18" s="232" t="s">
        <v>398</v>
      </c>
      <c r="B18" s="234" t="s">
        <v>782</v>
      </c>
      <c r="C18" s="233" t="s">
        <v>798</v>
      </c>
      <c r="D18" s="225">
        <f>23626850+40610080+3959404+2045415+426539</f>
        <v>70668288</v>
      </c>
      <c r="E18" s="226">
        <v>299888</v>
      </c>
      <c r="F18" s="227">
        <f t="shared" si="0"/>
        <v>70968176</v>
      </c>
      <c r="G18" s="635"/>
      <c r="H18" s="630"/>
      <c r="I18" s="227">
        <f t="shared" si="1"/>
        <v>0</v>
      </c>
      <c r="J18" s="229"/>
      <c r="K18" s="230"/>
      <c r="L18" s="227">
        <f t="shared" si="2"/>
        <v>0</v>
      </c>
      <c r="M18" s="231">
        <f t="shared" si="3"/>
        <v>70968176</v>
      </c>
    </row>
    <row r="19" spans="1:13" ht="21.75" customHeight="1">
      <c r="A19" s="232" t="s">
        <v>399</v>
      </c>
      <c r="B19" s="250" t="s">
        <v>635</v>
      </c>
      <c r="C19" s="233" t="s">
        <v>712</v>
      </c>
      <c r="D19" s="631"/>
      <c r="E19" s="632"/>
      <c r="F19" s="227">
        <f t="shared" si="0"/>
        <v>0</v>
      </c>
      <c r="G19" s="636"/>
      <c r="H19" s="238">
        <v>12223750</v>
      </c>
      <c r="I19" s="227">
        <f t="shared" si="1"/>
        <v>12223750</v>
      </c>
      <c r="J19" s="240"/>
      <c r="K19" s="241"/>
      <c r="L19" s="227">
        <f t="shared" si="2"/>
        <v>0</v>
      </c>
      <c r="M19" s="231">
        <f t="shared" si="3"/>
        <v>12223750</v>
      </c>
    </row>
    <row r="20" spans="1:13" ht="29.25" customHeight="1">
      <c r="A20" s="236" t="s">
        <v>400</v>
      </c>
      <c r="B20" s="234" t="s">
        <v>354</v>
      </c>
      <c r="C20" s="233" t="s">
        <v>712</v>
      </c>
      <c r="D20" s="225">
        <f>9850000+5000000+868</f>
        <v>14850868</v>
      </c>
      <c r="E20" s="226">
        <f>18159504+30000</f>
        <v>18189504</v>
      </c>
      <c r="F20" s="227">
        <f t="shared" si="0"/>
        <v>33040372</v>
      </c>
      <c r="G20" s="635"/>
      <c r="H20" s="630"/>
      <c r="I20" s="227">
        <f t="shared" si="1"/>
        <v>0</v>
      </c>
      <c r="J20" s="229"/>
      <c r="K20" s="230"/>
      <c r="L20" s="227">
        <f t="shared" si="2"/>
        <v>0</v>
      </c>
      <c r="M20" s="231">
        <f t="shared" si="3"/>
        <v>33040372</v>
      </c>
    </row>
    <row r="21" spans="1:13" ht="29.25" customHeight="1">
      <c r="A21" s="232" t="s">
        <v>401</v>
      </c>
      <c r="B21" s="234" t="s">
        <v>68</v>
      </c>
      <c r="C21" s="233" t="s">
        <v>713</v>
      </c>
      <c r="D21" s="225">
        <v>1270000</v>
      </c>
      <c r="E21" s="226">
        <v>8644085</v>
      </c>
      <c r="F21" s="227">
        <f t="shared" si="0"/>
        <v>9914085</v>
      </c>
      <c r="G21" s="635"/>
      <c r="H21" s="630"/>
      <c r="I21" s="227">
        <f t="shared" si="1"/>
        <v>0</v>
      </c>
      <c r="J21" s="229"/>
      <c r="K21" s="230"/>
      <c r="L21" s="227">
        <f t="shared" si="2"/>
        <v>0</v>
      </c>
      <c r="M21" s="231">
        <f t="shared" si="3"/>
        <v>9914085</v>
      </c>
    </row>
    <row r="22" spans="1:13" ht="29.25" customHeight="1">
      <c r="A22" s="232" t="s">
        <v>402</v>
      </c>
      <c r="B22" s="234" t="s">
        <v>1004</v>
      </c>
      <c r="C22" s="233" t="s">
        <v>712</v>
      </c>
      <c r="D22" s="225">
        <v>7265000</v>
      </c>
      <c r="E22" s="226"/>
      <c r="F22" s="227">
        <f t="shared" si="0"/>
        <v>7265000</v>
      </c>
      <c r="G22" s="635"/>
      <c r="H22" s="630"/>
      <c r="I22" s="227">
        <f t="shared" si="1"/>
        <v>0</v>
      </c>
      <c r="J22" s="229"/>
      <c r="K22" s="230"/>
      <c r="L22" s="227">
        <f t="shared" si="2"/>
        <v>0</v>
      </c>
      <c r="M22" s="231">
        <f t="shared" si="3"/>
        <v>7265000</v>
      </c>
    </row>
    <row r="23" spans="1:13" ht="30.75" customHeight="1">
      <c r="A23" s="232" t="s">
        <v>403</v>
      </c>
      <c r="B23" s="234" t="s">
        <v>50</v>
      </c>
      <c r="C23" s="233" t="s">
        <v>714</v>
      </c>
      <c r="D23" s="237">
        <f>1736016+300000</f>
        <v>2036016</v>
      </c>
      <c r="E23" s="632"/>
      <c r="F23" s="227">
        <f t="shared" si="0"/>
        <v>2036016</v>
      </c>
      <c r="G23" s="636"/>
      <c r="H23" s="632"/>
      <c r="I23" s="227">
        <f t="shared" si="1"/>
        <v>0</v>
      </c>
      <c r="J23" s="240"/>
      <c r="K23" s="241"/>
      <c r="L23" s="227">
        <f t="shared" si="2"/>
        <v>0</v>
      </c>
      <c r="M23" s="231">
        <f t="shared" si="3"/>
        <v>2036016</v>
      </c>
    </row>
    <row r="24" spans="1:13" ht="31.5" customHeight="1">
      <c r="A24" s="232" t="s">
        <v>404</v>
      </c>
      <c r="B24" s="234" t="s">
        <v>371</v>
      </c>
      <c r="C24" s="233" t="s">
        <v>715</v>
      </c>
      <c r="D24" s="237">
        <f>11239754-848360+3300476</f>
        <v>13691870</v>
      </c>
      <c r="E24" s="632"/>
      <c r="F24" s="227">
        <f t="shared" si="0"/>
        <v>13691870</v>
      </c>
      <c r="G24" s="636"/>
      <c r="H24" s="632"/>
      <c r="I24" s="227">
        <f t="shared" si="1"/>
        <v>0</v>
      </c>
      <c r="J24" s="240"/>
      <c r="K24" s="241"/>
      <c r="L24" s="227">
        <f t="shared" si="2"/>
        <v>0</v>
      </c>
      <c r="M24" s="231">
        <f t="shared" si="3"/>
        <v>13691870</v>
      </c>
    </row>
    <row r="25" spans="1:13" ht="31.5" customHeight="1">
      <c r="A25" s="232" t="s">
        <v>405</v>
      </c>
      <c r="B25" s="234" t="s">
        <v>998</v>
      </c>
      <c r="C25" s="245" t="s">
        <v>799</v>
      </c>
      <c r="D25" s="237">
        <v>15000000</v>
      </c>
      <c r="E25" s="238">
        <v>18081467</v>
      </c>
      <c r="F25" s="227">
        <f t="shared" si="0"/>
        <v>33081467</v>
      </c>
      <c r="G25" s="636"/>
      <c r="H25" s="632"/>
      <c r="I25" s="227"/>
      <c r="J25" s="240"/>
      <c r="K25" s="241"/>
      <c r="L25" s="227"/>
      <c r="M25" s="231">
        <f t="shared" si="3"/>
        <v>33081467</v>
      </c>
    </row>
    <row r="26" spans="1:13" ht="21.75" customHeight="1">
      <c r="A26" s="232" t="s">
        <v>406</v>
      </c>
      <c r="B26" s="250" t="s">
        <v>784</v>
      </c>
      <c r="C26" s="245" t="s">
        <v>799</v>
      </c>
      <c r="D26" s="237">
        <v>0</v>
      </c>
      <c r="E26" s="238">
        <v>389000</v>
      </c>
      <c r="F26" s="227">
        <f t="shared" si="0"/>
        <v>389000</v>
      </c>
      <c r="G26" s="636"/>
      <c r="H26" s="632"/>
      <c r="I26" s="227">
        <f t="shared" si="1"/>
        <v>0</v>
      </c>
      <c r="J26" s="240"/>
      <c r="K26" s="241"/>
      <c r="L26" s="227">
        <f t="shared" si="2"/>
        <v>0</v>
      </c>
      <c r="M26" s="231">
        <f t="shared" si="3"/>
        <v>389000</v>
      </c>
    </row>
    <row r="27" spans="1:13" ht="21.75" customHeight="1">
      <c r="A27" s="232" t="s">
        <v>407</v>
      </c>
      <c r="B27" s="250" t="s">
        <v>374</v>
      </c>
      <c r="C27" s="245" t="s">
        <v>712</v>
      </c>
      <c r="D27" s="237">
        <v>23139400</v>
      </c>
      <c r="E27" s="632"/>
      <c r="F27" s="227">
        <f t="shared" si="0"/>
        <v>23139400</v>
      </c>
      <c r="G27" s="636"/>
      <c r="H27" s="632"/>
      <c r="I27" s="227">
        <f t="shared" si="1"/>
        <v>0</v>
      </c>
      <c r="J27" s="240"/>
      <c r="K27" s="241"/>
      <c r="L27" s="227">
        <f t="shared" si="2"/>
        <v>0</v>
      </c>
      <c r="M27" s="231">
        <f t="shared" si="3"/>
        <v>23139400</v>
      </c>
    </row>
    <row r="28" spans="1:13" ht="21.75" customHeight="1">
      <c r="A28" s="232" t="s">
        <v>408</v>
      </c>
      <c r="B28" s="250" t="s">
        <v>372</v>
      </c>
      <c r="C28" s="245" t="s">
        <v>712</v>
      </c>
      <c r="D28" s="237">
        <f>26082000+3692132</f>
        <v>29774132</v>
      </c>
      <c r="E28" s="238">
        <v>2606050</v>
      </c>
      <c r="F28" s="227">
        <f t="shared" si="0"/>
        <v>32380182</v>
      </c>
      <c r="G28" s="636"/>
      <c r="H28" s="632"/>
      <c r="I28" s="227">
        <f t="shared" si="1"/>
        <v>0</v>
      </c>
      <c r="J28" s="240"/>
      <c r="K28" s="241"/>
      <c r="L28" s="227">
        <f t="shared" si="2"/>
        <v>0</v>
      </c>
      <c r="M28" s="231">
        <f t="shared" si="3"/>
        <v>32380182</v>
      </c>
    </row>
    <row r="29" spans="1:13" ht="22.5" customHeight="1">
      <c r="A29" s="232" t="s">
        <v>409</v>
      </c>
      <c r="B29" s="250" t="s">
        <v>84</v>
      </c>
      <c r="C29" s="245" t="s">
        <v>716</v>
      </c>
      <c r="D29" s="237">
        <f>28083700+90000+146050+2600000</f>
        <v>30919750</v>
      </c>
      <c r="E29" s="238">
        <v>831000</v>
      </c>
      <c r="F29" s="227">
        <f t="shared" si="0"/>
        <v>31750750</v>
      </c>
      <c r="G29" s="239">
        <f>2990082+200000+550000</f>
        <v>3740082</v>
      </c>
      <c r="H29" s="632"/>
      <c r="I29" s="227">
        <f t="shared" si="1"/>
        <v>3740082</v>
      </c>
      <c r="J29" s="240"/>
      <c r="K29" s="241"/>
      <c r="L29" s="227">
        <f t="shared" si="2"/>
        <v>0</v>
      </c>
      <c r="M29" s="231">
        <f t="shared" si="3"/>
        <v>35490832</v>
      </c>
    </row>
    <row r="30" spans="1:13" ht="23.25" customHeight="1">
      <c r="A30" s="232" t="s">
        <v>410</v>
      </c>
      <c r="B30" s="250" t="s">
        <v>376</v>
      </c>
      <c r="C30" s="245" t="s">
        <v>717</v>
      </c>
      <c r="D30" s="237">
        <v>360000</v>
      </c>
      <c r="E30" s="632"/>
      <c r="F30" s="227">
        <f t="shared" si="0"/>
        <v>360000</v>
      </c>
      <c r="G30" s="636"/>
      <c r="H30" s="632"/>
      <c r="I30" s="227">
        <f t="shared" si="1"/>
        <v>0</v>
      </c>
      <c r="J30" s="240"/>
      <c r="K30" s="241"/>
      <c r="L30" s="227">
        <f t="shared" si="2"/>
        <v>0</v>
      </c>
      <c r="M30" s="231">
        <f t="shared" si="3"/>
        <v>360000</v>
      </c>
    </row>
    <row r="31" spans="1:13" ht="22.5" customHeight="1">
      <c r="A31" s="232" t="s">
        <v>485</v>
      </c>
      <c r="B31" s="250" t="s">
        <v>377</v>
      </c>
      <c r="C31" s="245" t="s">
        <v>717</v>
      </c>
      <c r="D31" s="237">
        <f>21638205+601200+28922-233830</f>
        <v>22034497</v>
      </c>
      <c r="E31" s="238">
        <f>76200+233830</f>
        <v>310030</v>
      </c>
      <c r="F31" s="227">
        <f t="shared" si="0"/>
        <v>22344527</v>
      </c>
      <c r="G31" s="636"/>
      <c r="H31" s="632"/>
      <c r="I31" s="227">
        <f t="shared" si="1"/>
        <v>0</v>
      </c>
      <c r="J31" s="240"/>
      <c r="K31" s="241"/>
      <c r="L31" s="227">
        <f t="shared" si="2"/>
        <v>0</v>
      </c>
      <c r="M31" s="231">
        <f t="shared" si="3"/>
        <v>22344527</v>
      </c>
    </row>
    <row r="32" spans="1:13" ht="22.5" customHeight="1">
      <c r="A32" s="232" t="s">
        <v>486</v>
      </c>
      <c r="B32" s="250" t="s">
        <v>378</v>
      </c>
      <c r="C32" s="245" t="s">
        <v>717</v>
      </c>
      <c r="D32" s="237">
        <v>120000</v>
      </c>
      <c r="E32" s="632"/>
      <c r="F32" s="227">
        <f t="shared" si="0"/>
        <v>120000</v>
      </c>
      <c r="G32" s="636"/>
      <c r="H32" s="632"/>
      <c r="I32" s="227">
        <f t="shared" si="1"/>
        <v>0</v>
      </c>
      <c r="J32" s="240"/>
      <c r="K32" s="241"/>
      <c r="L32" s="227">
        <f t="shared" si="2"/>
        <v>0</v>
      </c>
      <c r="M32" s="231">
        <f t="shared" si="3"/>
        <v>120000</v>
      </c>
    </row>
    <row r="33" spans="1:13" ht="29.25" customHeight="1">
      <c r="A33" s="232" t="s">
        <v>487</v>
      </c>
      <c r="B33" s="234" t="s">
        <v>726</v>
      </c>
      <c r="C33" s="233" t="s">
        <v>717</v>
      </c>
      <c r="D33" s="237">
        <v>23068191</v>
      </c>
      <c r="E33" s="238"/>
      <c r="F33" s="227">
        <f t="shared" si="0"/>
        <v>23068191</v>
      </c>
      <c r="G33" s="636"/>
      <c r="H33" s="632"/>
      <c r="I33" s="227">
        <f t="shared" si="1"/>
        <v>0</v>
      </c>
      <c r="J33" s="240"/>
      <c r="K33" s="241"/>
      <c r="L33" s="227">
        <f t="shared" si="2"/>
        <v>0</v>
      </c>
      <c r="M33" s="231">
        <f t="shared" si="3"/>
        <v>23068191</v>
      </c>
    </row>
    <row r="34" spans="1:13" ht="29.25" customHeight="1">
      <c r="A34" s="232" t="s">
        <v>455</v>
      </c>
      <c r="B34" s="242" t="s">
        <v>83</v>
      </c>
      <c r="C34" s="227" t="s">
        <v>718</v>
      </c>
      <c r="D34" s="237">
        <f>16441000+4638836</f>
        <v>21079836</v>
      </c>
      <c r="E34" s="632"/>
      <c r="F34" s="227">
        <f t="shared" si="0"/>
        <v>21079836</v>
      </c>
      <c r="G34" s="637"/>
      <c r="H34" s="238">
        <f>15576620-11201400+150000+235153</f>
        <v>4760373</v>
      </c>
      <c r="I34" s="227">
        <f t="shared" si="1"/>
        <v>4760373</v>
      </c>
      <c r="J34" s="240"/>
      <c r="K34" s="241"/>
      <c r="L34" s="227">
        <f t="shared" si="2"/>
        <v>0</v>
      </c>
      <c r="M34" s="231">
        <f t="shared" si="3"/>
        <v>25840209</v>
      </c>
    </row>
    <row r="35" spans="1:13" ht="30.75" customHeight="1">
      <c r="A35" s="232" t="s">
        <v>488</v>
      </c>
      <c r="B35" s="257" t="s">
        <v>613</v>
      </c>
      <c r="C35" s="227"/>
      <c r="D35" s="631"/>
      <c r="E35" s="632"/>
      <c r="F35" s="227">
        <f t="shared" si="0"/>
        <v>0</v>
      </c>
      <c r="G35" s="244">
        <f>2039211-235153</f>
        <v>1804058</v>
      </c>
      <c r="H35" s="238">
        <f>22279919+850900</f>
        <v>23130819</v>
      </c>
      <c r="I35" s="227">
        <f t="shared" si="1"/>
        <v>24934877</v>
      </c>
      <c r="J35" s="240"/>
      <c r="K35" s="241"/>
      <c r="L35" s="227">
        <f t="shared" si="2"/>
        <v>0</v>
      </c>
      <c r="M35" s="231">
        <f t="shared" si="3"/>
        <v>24934877</v>
      </c>
    </row>
    <row r="36" spans="1:13" ht="30.75" customHeight="1">
      <c r="A36" s="232" t="s">
        <v>411</v>
      </c>
      <c r="B36" s="234" t="s">
        <v>543</v>
      </c>
      <c r="C36" s="233" t="s">
        <v>719</v>
      </c>
      <c r="D36" s="237">
        <v>95585</v>
      </c>
      <c r="E36" s="632"/>
      <c r="F36" s="227">
        <f t="shared" si="0"/>
        <v>95585</v>
      </c>
      <c r="G36" s="244"/>
      <c r="H36" s="238"/>
      <c r="I36" s="227">
        <f t="shared" si="1"/>
        <v>0</v>
      </c>
      <c r="J36" s="240"/>
      <c r="K36" s="241"/>
      <c r="L36" s="227">
        <f t="shared" si="2"/>
        <v>0</v>
      </c>
      <c r="M36" s="231">
        <f t="shared" si="3"/>
        <v>95585</v>
      </c>
    </row>
    <row r="37" spans="1:13" ht="34.5" customHeight="1">
      <c r="A37" s="232" t="s">
        <v>412</v>
      </c>
      <c r="B37" s="234" t="s">
        <v>899</v>
      </c>
      <c r="C37" s="233"/>
      <c r="D37" s="631"/>
      <c r="E37" s="632"/>
      <c r="F37" s="227">
        <f t="shared" si="0"/>
        <v>0</v>
      </c>
      <c r="G37" s="244">
        <v>17772766</v>
      </c>
      <c r="H37" s="238">
        <v>2497100</v>
      </c>
      <c r="I37" s="227">
        <f t="shared" si="1"/>
        <v>20269866</v>
      </c>
      <c r="J37" s="240"/>
      <c r="K37" s="241"/>
      <c r="L37" s="227">
        <f t="shared" si="2"/>
        <v>0</v>
      </c>
      <c r="M37" s="231">
        <f t="shared" si="3"/>
        <v>20269866</v>
      </c>
    </row>
    <row r="38" spans="1:13" ht="34.5" customHeight="1">
      <c r="A38" s="232" t="s">
        <v>413</v>
      </c>
      <c r="B38" s="234" t="s">
        <v>997</v>
      </c>
      <c r="C38" s="233"/>
      <c r="D38" s="631"/>
      <c r="E38" s="238">
        <v>1576197</v>
      </c>
      <c r="F38" s="227">
        <f t="shared" si="0"/>
        <v>1576197</v>
      </c>
      <c r="G38" s="244"/>
      <c r="H38" s="238"/>
      <c r="I38" s="227">
        <f t="shared" si="1"/>
        <v>0</v>
      </c>
      <c r="J38" s="240"/>
      <c r="K38" s="241"/>
      <c r="L38" s="227">
        <f t="shared" si="2"/>
        <v>0</v>
      </c>
      <c r="M38" s="231">
        <f t="shared" si="3"/>
        <v>1576197</v>
      </c>
    </row>
    <row r="39" spans="1:13" ht="23.25" customHeight="1">
      <c r="A39" s="232" t="s">
        <v>489</v>
      </c>
      <c r="B39" s="234" t="s">
        <v>608</v>
      </c>
      <c r="C39" s="249"/>
      <c r="D39" s="633"/>
      <c r="E39" s="634"/>
      <c r="F39" s="227">
        <f t="shared" si="0"/>
        <v>0</v>
      </c>
      <c r="G39" s="248">
        <f>4592665-4592665</f>
        <v>0</v>
      </c>
      <c r="H39" s="634"/>
      <c r="I39" s="227">
        <f t="shared" si="1"/>
        <v>0</v>
      </c>
      <c r="J39" s="240"/>
      <c r="K39" s="241"/>
      <c r="L39" s="227">
        <f t="shared" si="2"/>
        <v>0</v>
      </c>
      <c r="M39" s="231">
        <f t="shared" si="3"/>
        <v>0</v>
      </c>
    </row>
    <row r="40" spans="1:13" ht="24" customHeight="1">
      <c r="A40" s="232" t="s">
        <v>414</v>
      </c>
      <c r="B40" s="234" t="s">
        <v>642</v>
      </c>
      <c r="C40" s="243" t="s">
        <v>729</v>
      </c>
      <c r="D40" s="246">
        <v>56893304</v>
      </c>
      <c r="E40" s="247">
        <v>10986734</v>
      </c>
      <c r="F40" s="227">
        <f t="shared" si="0"/>
        <v>67880038</v>
      </c>
      <c r="G40" s="638"/>
      <c r="H40" s="634"/>
      <c r="I40" s="227">
        <f t="shared" si="1"/>
        <v>0</v>
      </c>
      <c r="J40" s="240"/>
      <c r="K40" s="241"/>
      <c r="L40" s="227">
        <f t="shared" si="2"/>
        <v>0</v>
      </c>
      <c r="M40" s="231">
        <f t="shared" si="3"/>
        <v>67880038</v>
      </c>
    </row>
    <row r="41" spans="1:13" ht="24">
      <c r="A41" s="232" t="s">
        <v>429</v>
      </c>
      <c r="B41" s="234" t="s">
        <v>610</v>
      </c>
      <c r="C41" s="233"/>
      <c r="D41" s="633"/>
      <c r="E41" s="634"/>
      <c r="F41" s="227">
        <f>SUM(D41:E41)</f>
        <v>0</v>
      </c>
      <c r="G41" s="248">
        <v>117194</v>
      </c>
      <c r="H41" s="634"/>
      <c r="I41" s="227">
        <f>SUM(G41:H41)</f>
        <v>117194</v>
      </c>
      <c r="J41" s="240"/>
      <c r="K41" s="241"/>
      <c r="L41" s="227">
        <f>SUM(J41:K41)</f>
        <v>0</v>
      </c>
      <c r="M41" s="231">
        <f>SUM(F41+I41+L41)</f>
        <v>117194</v>
      </c>
    </row>
    <row r="42" spans="1:13" ht="21.75" customHeight="1">
      <c r="A42" s="232" t="s">
        <v>490</v>
      </c>
      <c r="B42" s="250" t="s">
        <v>705</v>
      </c>
      <c r="C42" s="245"/>
      <c r="D42" s="631"/>
      <c r="E42" s="632"/>
      <c r="F42" s="227">
        <f t="shared" si="0"/>
        <v>0</v>
      </c>
      <c r="G42" s="239">
        <f>37171000+5275000</f>
        <v>42446000</v>
      </c>
      <c r="H42" s="632"/>
      <c r="I42" s="227">
        <f t="shared" si="1"/>
        <v>42446000</v>
      </c>
      <c r="J42" s="240"/>
      <c r="K42" s="241"/>
      <c r="L42" s="227">
        <f t="shared" si="2"/>
        <v>0</v>
      </c>
      <c r="M42" s="231">
        <f t="shared" si="3"/>
        <v>42446000</v>
      </c>
    </row>
    <row r="43" spans="1:13" ht="21.75" customHeight="1">
      <c r="A43" s="232" t="s">
        <v>491</v>
      </c>
      <c r="B43" s="250" t="s">
        <v>872</v>
      </c>
      <c r="C43" s="245" t="s">
        <v>881</v>
      </c>
      <c r="D43" s="237">
        <f>4562000+3015000</f>
        <v>7577000</v>
      </c>
      <c r="E43" s="632"/>
      <c r="F43" s="227">
        <f t="shared" si="0"/>
        <v>7577000</v>
      </c>
      <c r="G43" s="239"/>
      <c r="H43" s="632"/>
      <c r="I43" s="227">
        <f t="shared" si="1"/>
        <v>0</v>
      </c>
      <c r="J43" s="240"/>
      <c r="K43" s="241"/>
      <c r="L43" s="227">
        <f t="shared" si="2"/>
        <v>0</v>
      </c>
      <c r="M43" s="231">
        <f t="shared" si="3"/>
        <v>7577000</v>
      </c>
    </row>
    <row r="44" spans="1:13" ht="36">
      <c r="A44" s="232" t="s">
        <v>879</v>
      </c>
      <c r="B44" s="262" t="s">
        <v>1033</v>
      </c>
      <c r="C44" s="243"/>
      <c r="D44" s="246"/>
      <c r="E44" s="247"/>
      <c r="F44" s="261">
        <f>SUM(D44:E44)</f>
        <v>0</v>
      </c>
      <c r="G44" s="246">
        <v>0</v>
      </c>
      <c r="H44" s="247">
        <v>1920000</v>
      </c>
      <c r="I44" s="261">
        <f>SUM(G44:H44)</f>
        <v>1920000</v>
      </c>
      <c r="J44" s="240"/>
      <c r="K44" s="240"/>
      <c r="L44" s="261">
        <f>SUM(J44:K44)</f>
        <v>0</v>
      </c>
      <c r="M44" s="231">
        <f>SUM(L44,I44,F44)</f>
        <v>1920000</v>
      </c>
    </row>
    <row r="45" spans="1:13" ht="24" customHeight="1">
      <c r="A45" s="232" t="s">
        <v>880</v>
      </c>
      <c r="B45" s="234" t="s">
        <v>644</v>
      </c>
      <c r="C45" s="243" t="s">
        <v>734</v>
      </c>
      <c r="D45" s="246">
        <v>2114700</v>
      </c>
      <c r="E45" s="634"/>
      <c r="F45" s="227">
        <f>SUM(D45:E45)</f>
        <v>2114700</v>
      </c>
      <c r="G45" s="638"/>
      <c r="H45" s="634"/>
      <c r="I45" s="227">
        <f>SUM(G45:H45)</f>
        <v>0</v>
      </c>
      <c r="J45" s="240"/>
      <c r="K45" s="241"/>
      <c r="L45" s="227">
        <f aca="true" t="shared" si="4" ref="L45:L53">SUM(J45:K45)</f>
        <v>0</v>
      </c>
      <c r="M45" s="231">
        <f>SUM(F45+I45+L45)</f>
        <v>2114700</v>
      </c>
    </row>
    <row r="46" spans="1:13" ht="29.25" customHeight="1">
      <c r="A46" s="232" t="s">
        <v>886</v>
      </c>
      <c r="B46" s="250" t="s">
        <v>785</v>
      </c>
      <c r="C46" s="245"/>
      <c r="D46" s="631"/>
      <c r="E46" s="632"/>
      <c r="F46" s="227">
        <f t="shared" si="0"/>
        <v>0</v>
      </c>
      <c r="G46" s="239">
        <f>60353914+27815502+6738701+54417221+12762600+2999211+15053577+1564044+10976885</f>
        <v>192681655</v>
      </c>
      <c r="H46" s="238">
        <f>8983129+6528562</f>
        <v>15511691</v>
      </c>
      <c r="I46" s="227">
        <f t="shared" si="1"/>
        <v>208193346</v>
      </c>
      <c r="J46" s="240"/>
      <c r="K46" s="241"/>
      <c r="L46" s="227">
        <f t="shared" si="4"/>
        <v>0</v>
      </c>
      <c r="M46" s="231">
        <f t="shared" si="3"/>
        <v>208193346</v>
      </c>
    </row>
    <row r="47" spans="1:13" ht="29.25" customHeight="1">
      <c r="A47" s="232" t="s">
        <v>887</v>
      </c>
      <c r="B47" s="250" t="s">
        <v>883</v>
      </c>
      <c r="C47" s="227" t="s">
        <v>882</v>
      </c>
      <c r="D47" s="631"/>
      <c r="E47" s="632"/>
      <c r="F47" s="227">
        <f t="shared" si="0"/>
        <v>0</v>
      </c>
      <c r="G47" s="239">
        <f>3712000+922000</f>
        <v>4634000</v>
      </c>
      <c r="H47" s="632"/>
      <c r="I47" s="227">
        <f t="shared" si="1"/>
        <v>4634000</v>
      </c>
      <c r="J47" s="240"/>
      <c r="K47" s="241"/>
      <c r="L47" s="227">
        <f t="shared" si="4"/>
        <v>0</v>
      </c>
      <c r="M47" s="231">
        <f t="shared" si="3"/>
        <v>4634000</v>
      </c>
    </row>
    <row r="48" spans="1:13" ht="29.25" customHeight="1">
      <c r="A48" s="232" t="s">
        <v>900</v>
      </c>
      <c r="B48" s="250" t="s">
        <v>884</v>
      </c>
      <c r="C48" s="227" t="s">
        <v>882</v>
      </c>
      <c r="D48" s="631"/>
      <c r="E48" s="632"/>
      <c r="F48" s="227">
        <f t="shared" si="0"/>
        <v>0</v>
      </c>
      <c r="G48" s="239">
        <f>4717000+1397000</f>
        <v>6114000</v>
      </c>
      <c r="H48" s="632"/>
      <c r="I48" s="227">
        <f t="shared" si="1"/>
        <v>6114000</v>
      </c>
      <c r="J48" s="240"/>
      <c r="K48" s="241"/>
      <c r="L48" s="227">
        <f t="shared" si="4"/>
        <v>0</v>
      </c>
      <c r="M48" s="231">
        <f t="shared" si="3"/>
        <v>6114000</v>
      </c>
    </row>
    <row r="49" spans="1:13" ht="21.75" customHeight="1">
      <c r="A49" s="232" t="s">
        <v>1007</v>
      </c>
      <c r="B49" s="250" t="s">
        <v>451</v>
      </c>
      <c r="C49" s="245" t="s">
        <v>722</v>
      </c>
      <c r="D49" s="237">
        <f>2400000+200000+1838000+2261329</f>
        <v>6699329</v>
      </c>
      <c r="E49" s="632"/>
      <c r="F49" s="227">
        <f t="shared" si="0"/>
        <v>6699329</v>
      </c>
      <c r="G49" s="636"/>
      <c r="H49" s="632"/>
      <c r="I49" s="227">
        <f t="shared" si="1"/>
        <v>0</v>
      </c>
      <c r="J49" s="240"/>
      <c r="K49" s="241"/>
      <c r="L49" s="227">
        <f t="shared" si="4"/>
        <v>0</v>
      </c>
      <c r="M49" s="231">
        <f t="shared" si="3"/>
        <v>6699329</v>
      </c>
    </row>
    <row r="50" spans="1:13" ht="21.75" customHeight="1">
      <c r="A50" s="232" t="s">
        <v>1008</v>
      </c>
      <c r="B50" s="250" t="s">
        <v>878</v>
      </c>
      <c r="C50" s="245" t="s">
        <v>885</v>
      </c>
      <c r="D50" s="237">
        <f>3719000+1625335</f>
        <v>5344335</v>
      </c>
      <c r="E50" s="632"/>
      <c r="F50" s="227">
        <f t="shared" si="0"/>
        <v>5344335</v>
      </c>
      <c r="G50" s="636"/>
      <c r="H50" s="632"/>
      <c r="I50" s="227">
        <f t="shared" si="1"/>
        <v>0</v>
      </c>
      <c r="J50" s="240"/>
      <c r="K50" s="241"/>
      <c r="L50" s="227">
        <f t="shared" si="4"/>
        <v>0</v>
      </c>
      <c r="M50" s="231">
        <f t="shared" si="3"/>
        <v>5344335</v>
      </c>
    </row>
    <row r="51" spans="1:13" ht="26.25" customHeight="1">
      <c r="A51" s="232" t="s">
        <v>1039</v>
      </c>
      <c r="B51" s="234" t="s">
        <v>614</v>
      </c>
      <c r="C51" s="227" t="s">
        <v>730</v>
      </c>
      <c r="D51" s="237">
        <v>2942222</v>
      </c>
      <c r="E51" s="632"/>
      <c r="F51" s="227">
        <f t="shared" si="0"/>
        <v>2942222</v>
      </c>
      <c r="G51" s="636"/>
      <c r="H51" s="632"/>
      <c r="I51" s="227">
        <f t="shared" si="1"/>
        <v>0</v>
      </c>
      <c r="J51" s="240"/>
      <c r="K51" s="241"/>
      <c r="L51" s="227">
        <f t="shared" si="4"/>
        <v>0</v>
      </c>
      <c r="M51" s="231">
        <f t="shared" si="3"/>
        <v>2942222</v>
      </c>
    </row>
    <row r="52" spans="1:13" s="203" customFormat="1" ht="27.75" customHeight="1">
      <c r="A52" s="232" t="s">
        <v>1041</v>
      </c>
      <c r="B52" s="234" t="s">
        <v>375</v>
      </c>
      <c r="C52" s="233" t="s">
        <v>723</v>
      </c>
      <c r="D52" s="237">
        <f>2495000-63500-68000-30000-90000-146050-190500-150000-261950+59808757+9782649-7679730+553029-553029-602617-1492000-8045171-7935168-4176519-28922-20906574-217072-8171955-6323709-100000-3358940</f>
        <v>2048029</v>
      </c>
      <c r="E52" s="238">
        <f>5000000+4176519</f>
        <v>9176519</v>
      </c>
      <c r="F52" s="227">
        <f t="shared" si="0"/>
        <v>11224548</v>
      </c>
      <c r="G52" s="237">
        <f>3433000-1576197-1055350-288050</f>
        <v>513403</v>
      </c>
      <c r="H52" s="632"/>
      <c r="I52" s="227">
        <f t="shared" si="1"/>
        <v>513403</v>
      </c>
      <c r="J52" s="252"/>
      <c r="K52" s="252"/>
      <c r="L52" s="227">
        <f t="shared" si="4"/>
        <v>0</v>
      </c>
      <c r="M52" s="231">
        <f t="shared" si="3"/>
        <v>11737951</v>
      </c>
    </row>
    <row r="53" spans="1:13" ht="24.75" customHeight="1" thickBot="1">
      <c r="A53" s="232" t="s">
        <v>1042</v>
      </c>
      <c r="B53" s="234" t="s">
        <v>611</v>
      </c>
      <c r="C53" s="254"/>
      <c r="D53" s="642"/>
      <c r="E53" s="643"/>
      <c r="F53" s="261">
        <f t="shared" si="0"/>
        <v>0</v>
      </c>
      <c r="G53" s="644">
        <v>7848600</v>
      </c>
      <c r="H53" s="643"/>
      <c r="I53" s="261">
        <f t="shared" si="1"/>
        <v>7848600</v>
      </c>
      <c r="J53" s="645"/>
      <c r="K53" s="645"/>
      <c r="L53" s="261">
        <f t="shared" si="4"/>
        <v>0</v>
      </c>
      <c r="M53" s="646">
        <f t="shared" si="3"/>
        <v>7848600</v>
      </c>
    </row>
    <row r="54" spans="1:16" s="203" customFormat="1" ht="14.25" thickBot="1">
      <c r="A54" s="1024" t="s">
        <v>706</v>
      </c>
      <c r="B54" s="1025"/>
      <c r="C54" s="1026"/>
      <c r="D54" s="259">
        <f aca="true" t="shared" si="5" ref="D54:M54">SUM(D9:D53)</f>
        <v>623193245</v>
      </c>
      <c r="E54" s="647">
        <f t="shared" si="5"/>
        <v>83886991</v>
      </c>
      <c r="F54" s="648">
        <f t="shared" si="5"/>
        <v>707080236</v>
      </c>
      <c r="G54" s="647">
        <f t="shared" si="5"/>
        <v>285088610</v>
      </c>
      <c r="H54" s="647">
        <f t="shared" si="5"/>
        <v>325539540</v>
      </c>
      <c r="I54" s="648">
        <f t="shared" si="5"/>
        <v>610628150</v>
      </c>
      <c r="J54" s="647">
        <f t="shared" si="5"/>
        <v>50295760</v>
      </c>
      <c r="K54" s="647">
        <f t="shared" si="5"/>
        <v>701660</v>
      </c>
      <c r="L54" s="648">
        <f t="shared" si="5"/>
        <v>50997420</v>
      </c>
      <c r="M54" s="648">
        <f t="shared" si="5"/>
        <v>1368705806</v>
      </c>
      <c r="P54" s="479">
        <f>SUM(L54,I54,F54)</f>
        <v>1368705806</v>
      </c>
    </row>
    <row r="55" spans="1:13" ht="30.75" customHeight="1">
      <c r="A55" s="236" t="s">
        <v>389</v>
      </c>
      <c r="B55" s="234" t="s">
        <v>61</v>
      </c>
      <c r="C55" s="224" t="s">
        <v>724</v>
      </c>
      <c r="D55" s="255">
        <f>119407796+385000+75075+439819+1083000+211188</f>
        <v>121601878</v>
      </c>
      <c r="E55" s="256">
        <f>1229404-139700</f>
        <v>1089704</v>
      </c>
      <c r="F55" s="227">
        <f>SUM(D55:E55)</f>
        <v>122691582</v>
      </c>
      <c r="G55" s="255"/>
      <c r="H55" s="256"/>
      <c r="I55" s="224">
        <f>SUM(G55:H55)</f>
        <v>0</v>
      </c>
      <c r="J55" s="255"/>
      <c r="K55" s="256"/>
      <c r="L55" s="224">
        <f>SUM(J55:K55)</f>
        <v>0</v>
      </c>
      <c r="M55" s="231">
        <f>SUM(L55,I55,F55)</f>
        <v>122691582</v>
      </c>
    </row>
    <row r="56" spans="1:13" ht="36">
      <c r="A56" s="236" t="s">
        <v>390</v>
      </c>
      <c r="B56" s="257" t="s">
        <v>617</v>
      </c>
      <c r="C56" s="258" t="s">
        <v>619</v>
      </c>
      <c r="D56" s="237">
        <v>6018160</v>
      </c>
      <c r="E56" s="238"/>
      <c r="F56" s="227">
        <f>SUM(D56:E56)</f>
        <v>6018160</v>
      </c>
      <c r="G56" s="237"/>
      <c r="H56" s="238"/>
      <c r="I56" s="227">
        <f>SUM(G56:H56)</f>
        <v>0</v>
      </c>
      <c r="J56" s="237"/>
      <c r="K56" s="238"/>
      <c r="L56" s="227">
        <f>SUM(J56:K56)</f>
        <v>0</v>
      </c>
      <c r="M56" s="231">
        <f>SUM(L56,I56,F56)</f>
        <v>6018160</v>
      </c>
    </row>
    <row r="57" spans="1:13" ht="24.75" thickBot="1">
      <c r="A57" s="786" t="s">
        <v>391</v>
      </c>
      <c r="B57" s="787" t="s">
        <v>895</v>
      </c>
      <c r="C57" s="788" t="s">
        <v>902</v>
      </c>
      <c r="D57" s="784">
        <f>1969798+34746+2370+6373+2234-8607</f>
        <v>2006914</v>
      </c>
      <c r="E57" s="785">
        <v>139700</v>
      </c>
      <c r="F57" s="227">
        <f>SUM(D57:E57)</f>
        <v>2146614</v>
      </c>
      <c r="G57" s="784"/>
      <c r="H57" s="785"/>
      <c r="I57" s="227">
        <f>SUM(G57:H57)</f>
        <v>0</v>
      </c>
      <c r="J57" s="784"/>
      <c r="K57" s="785"/>
      <c r="L57" s="227">
        <f>SUM(J57:K57)</f>
        <v>0</v>
      </c>
      <c r="M57" s="231">
        <f>SUM(L57,I57,F57)</f>
        <v>2146614</v>
      </c>
    </row>
    <row r="58" spans="1:16" s="203" customFormat="1" ht="16.5" customHeight="1" thickBot="1">
      <c r="A58" s="1024" t="s">
        <v>492</v>
      </c>
      <c r="B58" s="1025"/>
      <c r="C58" s="1026"/>
      <c r="D58" s="259">
        <f aca="true" t="shared" si="6" ref="D58:M58">SUM(D55:D57)</f>
        <v>129626952</v>
      </c>
      <c r="E58" s="647">
        <f t="shared" si="6"/>
        <v>1229404</v>
      </c>
      <c r="F58" s="648">
        <f t="shared" si="6"/>
        <v>130856356</v>
      </c>
      <c r="G58" s="647">
        <f t="shared" si="6"/>
        <v>0</v>
      </c>
      <c r="H58" s="647">
        <f t="shared" si="6"/>
        <v>0</v>
      </c>
      <c r="I58" s="648">
        <f t="shared" si="6"/>
        <v>0</v>
      </c>
      <c r="J58" s="647">
        <f t="shared" si="6"/>
        <v>0</v>
      </c>
      <c r="K58" s="647">
        <f t="shared" si="6"/>
        <v>0</v>
      </c>
      <c r="L58" s="648">
        <f t="shared" si="6"/>
        <v>0</v>
      </c>
      <c r="M58" s="648">
        <f t="shared" si="6"/>
        <v>130856356</v>
      </c>
      <c r="P58" s="479"/>
    </row>
    <row r="59" spans="1:13" ht="23.25" customHeight="1">
      <c r="A59" s="222" t="s">
        <v>389</v>
      </c>
      <c r="B59" s="262" t="s">
        <v>493</v>
      </c>
      <c r="C59" s="243" t="s">
        <v>729</v>
      </c>
      <c r="D59" s="263">
        <v>30823296</v>
      </c>
      <c r="E59" s="264"/>
      <c r="F59" s="261">
        <f aca="true" t="shared" si="7" ref="F59:F67">SUM(D59:E59)</f>
        <v>30823296</v>
      </c>
      <c r="G59" s="263"/>
      <c r="H59" s="264"/>
      <c r="I59" s="261">
        <f aca="true" t="shared" si="8" ref="I59:I67">SUM(G59:H59)</f>
        <v>0</v>
      </c>
      <c r="J59" s="263"/>
      <c r="K59" s="264"/>
      <c r="L59" s="261">
        <f aca="true" t="shared" si="9" ref="L59:L67">SUM(J59:K59)</f>
        <v>0</v>
      </c>
      <c r="M59" s="231">
        <f aca="true" t="shared" si="10" ref="M59:M67">SUM(L59,I59,F59)</f>
        <v>30823296</v>
      </c>
    </row>
    <row r="60" spans="1:13" ht="23.25" customHeight="1">
      <c r="A60" s="232" t="s">
        <v>390</v>
      </c>
      <c r="B60" s="234" t="s">
        <v>494</v>
      </c>
      <c r="C60" s="276" t="s">
        <v>725</v>
      </c>
      <c r="D60" s="246">
        <f>128358348-7297240-1422962-336000-65520-96000-170000+433600+84552-84541-195000-79900-198285</f>
        <v>118931052</v>
      </c>
      <c r="E60" s="247">
        <f>139700+84541+79900</f>
        <v>304141</v>
      </c>
      <c r="F60" s="227">
        <f t="shared" si="7"/>
        <v>119235193</v>
      </c>
      <c r="G60" s="253"/>
      <c r="H60" s="251"/>
      <c r="I60" s="227">
        <f t="shared" si="8"/>
        <v>0</v>
      </c>
      <c r="J60" s="240"/>
      <c r="K60" s="240"/>
      <c r="L60" s="227">
        <f t="shared" si="9"/>
        <v>0</v>
      </c>
      <c r="M60" s="231">
        <f t="shared" si="10"/>
        <v>119235193</v>
      </c>
    </row>
    <row r="61" spans="1:13" ht="23.25" customHeight="1">
      <c r="A61" s="232" t="s">
        <v>391</v>
      </c>
      <c r="B61" s="234" t="s">
        <v>495</v>
      </c>
      <c r="C61" s="243" t="s">
        <v>725</v>
      </c>
      <c r="D61" s="246">
        <v>13449095</v>
      </c>
      <c r="E61" s="247"/>
      <c r="F61" s="227">
        <f t="shared" si="7"/>
        <v>13449095</v>
      </c>
      <c r="G61" s="253"/>
      <c r="H61" s="251"/>
      <c r="I61" s="227">
        <f t="shared" si="8"/>
        <v>0</v>
      </c>
      <c r="J61" s="240"/>
      <c r="K61" s="240"/>
      <c r="L61" s="227">
        <f t="shared" si="9"/>
        <v>0</v>
      </c>
      <c r="M61" s="231">
        <f t="shared" si="10"/>
        <v>13449095</v>
      </c>
    </row>
    <row r="62" spans="1:13" ht="23.25" customHeight="1">
      <c r="A62" s="232" t="s">
        <v>392</v>
      </c>
      <c r="B62" s="234" t="s">
        <v>584</v>
      </c>
      <c r="C62" s="276" t="s">
        <v>618</v>
      </c>
      <c r="D62" s="246">
        <f>23996793-152273</f>
        <v>23844520</v>
      </c>
      <c r="E62" s="247">
        <f>88900+152273</f>
        <v>241173</v>
      </c>
      <c r="F62" s="227">
        <f t="shared" si="7"/>
        <v>24085693</v>
      </c>
      <c r="G62" s="253"/>
      <c r="H62" s="251"/>
      <c r="I62" s="227">
        <f t="shared" si="8"/>
        <v>0</v>
      </c>
      <c r="J62" s="240"/>
      <c r="K62" s="240"/>
      <c r="L62" s="227">
        <f t="shared" si="9"/>
        <v>0</v>
      </c>
      <c r="M62" s="231">
        <f t="shared" si="10"/>
        <v>24085693</v>
      </c>
    </row>
    <row r="63" spans="1:13" ht="23.25" customHeight="1">
      <c r="A63" s="232" t="s">
        <v>393</v>
      </c>
      <c r="B63" s="234" t="s">
        <v>707</v>
      </c>
      <c r="C63" s="276" t="s">
        <v>731</v>
      </c>
      <c r="D63" s="246">
        <f>18371172-151629</f>
        <v>18219543</v>
      </c>
      <c r="E63" s="247">
        <f>76200+151629</f>
        <v>227829</v>
      </c>
      <c r="F63" s="227">
        <f t="shared" si="7"/>
        <v>18447372</v>
      </c>
      <c r="G63" s="253"/>
      <c r="H63" s="251"/>
      <c r="I63" s="227">
        <f t="shared" si="8"/>
        <v>0</v>
      </c>
      <c r="J63" s="240"/>
      <c r="K63" s="240"/>
      <c r="L63" s="227">
        <f t="shared" si="9"/>
        <v>0</v>
      </c>
      <c r="M63" s="231">
        <f t="shared" si="10"/>
        <v>18447372</v>
      </c>
    </row>
    <row r="64" spans="1:13" ht="23.25" customHeight="1">
      <c r="A64" s="232" t="s">
        <v>394</v>
      </c>
      <c r="B64" s="234" t="s">
        <v>708</v>
      </c>
      <c r="C64" s="276" t="s">
        <v>732</v>
      </c>
      <c r="D64" s="246"/>
      <c r="E64" s="247"/>
      <c r="F64" s="227">
        <f t="shared" si="7"/>
        <v>0</v>
      </c>
      <c r="G64" s="246">
        <f>11506731+66000+12870</f>
        <v>11585601</v>
      </c>
      <c r="H64" s="247">
        <f>195000</f>
        <v>195000</v>
      </c>
      <c r="I64" s="227">
        <f t="shared" si="8"/>
        <v>11780601</v>
      </c>
      <c r="J64" s="240"/>
      <c r="K64" s="240"/>
      <c r="L64" s="227">
        <f t="shared" si="9"/>
        <v>0</v>
      </c>
      <c r="M64" s="231">
        <f t="shared" si="10"/>
        <v>11780601</v>
      </c>
    </row>
    <row r="65" spans="1:13" ht="23.25" customHeight="1">
      <c r="A65" s="232" t="s">
        <v>395</v>
      </c>
      <c r="B65" s="234" t="s">
        <v>709</v>
      </c>
      <c r="C65" s="243" t="s">
        <v>729</v>
      </c>
      <c r="D65" s="246"/>
      <c r="E65" s="247"/>
      <c r="F65" s="227">
        <f t="shared" si="7"/>
        <v>0</v>
      </c>
      <c r="G65" s="246">
        <v>2665263</v>
      </c>
      <c r="H65" s="247"/>
      <c r="I65" s="227">
        <f t="shared" si="8"/>
        <v>2665263</v>
      </c>
      <c r="J65" s="240"/>
      <c r="K65" s="240"/>
      <c r="L65" s="227">
        <f t="shared" si="9"/>
        <v>0</v>
      </c>
      <c r="M65" s="231">
        <f t="shared" si="10"/>
        <v>2665263</v>
      </c>
    </row>
    <row r="66" spans="1:13" ht="23.25" customHeight="1">
      <c r="A66" s="232" t="s">
        <v>396</v>
      </c>
      <c r="B66" s="262" t="s">
        <v>544</v>
      </c>
      <c r="C66" s="243" t="s">
        <v>733</v>
      </c>
      <c r="D66" s="263"/>
      <c r="E66" s="264"/>
      <c r="F66" s="261">
        <f t="shared" si="7"/>
        <v>0</v>
      </c>
      <c r="G66" s="263">
        <f>6245112+3+17240</f>
        <v>6262355</v>
      </c>
      <c r="H66" s="264">
        <f>123070+700924+198285</f>
        <v>1022279</v>
      </c>
      <c r="I66" s="261">
        <f t="shared" si="8"/>
        <v>7284634</v>
      </c>
      <c r="J66" s="263"/>
      <c r="K66" s="264"/>
      <c r="L66" s="261">
        <f t="shared" si="9"/>
        <v>0</v>
      </c>
      <c r="M66" s="231">
        <f t="shared" si="10"/>
        <v>7284634</v>
      </c>
    </row>
    <row r="67" spans="1:13" ht="39" customHeight="1">
      <c r="A67" s="232" t="s">
        <v>397</v>
      </c>
      <c r="B67" s="262" t="s">
        <v>897</v>
      </c>
      <c r="C67" s="276"/>
      <c r="D67" s="246"/>
      <c r="E67" s="247"/>
      <c r="F67" s="261">
        <f t="shared" si="7"/>
        <v>0</v>
      </c>
      <c r="G67" s="246">
        <v>43407259</v>
      </c>
      <c r="H67" s="247">
        <v>1687190</v>
      </c>
      <c r="I67" s="261">
        <f t="shared" si="8"/>
        <v>45094449</v>
      </c>
      <c r="J67" s="240"/>
      <c r="K67" s="240"/>
      <c r="L67" s="261">
        <f t="shared" si="9"/>
        <v>0</v>
      </c>
      <c r="M67" s="231">
        <f t="shared" si="10"/>
        <v>45094449</v>
      </c>
    </row>
    <row r="68" spans="1:13" ht="26.25" customHeight="1" thickBot="1">
      <c r="A68" s="232" t="s">
        <v>398</v>
      </c>
      <c r="B68" s="262" t="s">
        <v>896</v>
      </c>
      <c r="C68" s="243"/>
      <c r="D68" s="246"/>
      <c r="E68" s="247"/>
      <c r="F68" s="261">
        <f>SUM(D68:E68)</f>
        <v>0</v>
      </c>
      <c r="G68" s="246">
        <v>31099867</v>
      </c>
      <c r="H68" s="247">
        <v>2412553</v>
      </c>
      <c r="I68" s="261">
        <f>SUM(G68:H68)</f>
        <v>33512420</v>
      </c>
      <c r="J68" s="240"/>
      <c r="K68" s="240"/>
      <c r="L68" s="261">
        <f>SUM(J68:K68)</f>
        <v>0</v>
      </c>
      <c r="M68" s="231">
        <f>SUM(L68,I68,F68)</f>
        <v>33512420</v>
      </c>
    </row>
    <row r="69" spans="1:16" s="203" customFormat="1" ht="29.25" customHeight="1" thickBot="1">
      <c r="A69" s="1033" t="s">
        <v>804</v>
      </c>
      <c r="B69" s="1034"/>
      <c r="C69" s="1035"/>
      <c r="D69" s="259">
        <f aca="true" t="shared" si="11" ref="D69:M69">SUM(D59:D68)</f>
        <v>205267506</v>
      </c>
      <c r="E69" s="647">
        <f t="shared" si="11"/>
        <v>773143</v>
      </c>
      <c r="F69" s="648">
        <f t="shared" si="11"/>
        <v>206040649</v>
      </c>
      <c r="G69" s="647">
        <f t="shared" si="11"/>
        <v>95020345</v>
      </c>
      <c r="H69" s="647">
        <f t="shared" si="11"/>
        <v>5317022</v>
      </c>
      <c r="I69" s="648">
        <f t="shared" si="11"/>
        <v>100337367</v>
      </c>
      <c r="J69" s="647">
        <f t="shared" si="11"/>
        <v>0</v>
      </c>
      <c r="K69" s="647">
        <f t="shared" si="11"/>
        <v>0</v>
      </c>
      <c r="L69" s="648">
        <f t="shared" si="11"/>
        <v>0</v>
      </c>
      <c r="M69" s="648">
        <f t="shared" si="11"/>
        <v>306378016</v>
      </c>
      <c r="P69" s="479">
        <f>SUM(L69,I69,F69)</f>
        <v>306378016</v>
      </c>
    </row>
    <row r="70" spans="1:13" ht="32.25" customHeight="1">
      <c r="A70" s="232" t="s">
        <v>389</v>
      </c>
      <c r="B70" s="242" t="s">
        <v>543</v>
      </c>
      <c r="C70" s="233" t="s">
        <v>719</v>
      </c>
      <c r="D70" s="237">
        <v>1100000</v>
      </c>
      <c r="E70" s="238"/>
      <c r="F70" s="227">
        <f>SUM(D70:E70)</f>
        <v>1100000</v>
      </c>
      <c r="G70" s="239"/>
      <c r="H70" s="238"/>
      <c r="I70" s="227">
        <f>SUM(G70:H70)</f>
        <v>0</v>
      </c>
      <c r="J70" s="240"/>
      <c r="K70" s="241"/>
      <c r="L70" s="227">
        <f>SUM(J70:K70)</f>
        <v>0</v>
      </c>
      <c r="M70" s="231">
        <f>SUM(F70+I70+L70)</f>
        <v>1100000</v>
      </c>
    </row>
    <row r="71" spans="1:13" ht="22.5" customHeight="1">
      <c r="A71" s="232" t="s">
        <v>390</v>
      </c>
      <c r="B71" s="250" t="s">
        <v>379</v>
      </c>
      <c r="C71" s="245" t="s">
        <v>719</v>
      </c>
      <c r="D71" s="237">
        <v>6307871</v>
      </c>
      <c r="E71" s="238"/>
      <c r="F71" s="227">
        <f>SUM(D71:E71)</f>
        <v>6307871</v>
      </c>
      <c r="G71" s="239"/>
      <c r="H71" s="238"/>
      <c r="I71" s="227">
        <f>SUM(G71:H71)</f>
        <v>0</v>
      </c>
      <c r="J71" s="240"/>
      <c r="K71" s="241"/>
      <c r="L71" s="227">
        <f>SUM(J71:K71)</f>
        <v>0</v>
      </c>
      <c r="M71" s="231">
        <f>SUM(F71+I71+L71)</f>
        <v>6307871</v>
      </c>
    </row>
    <row r="72" spans="1:13" ht="21.75" customHeight="1">
      <c r="A72" s="232" t="s">
        <v>391</v>
      </c>
      <c r="B72" s="250" t="s">
        <v>85</v>
      </c>
      <c r="C72" s="245" t="s">
        <v>720</v>
      </c>
      <c r="D72" s="237"/>
      <c r="E72" s="238"/>
      <c r="F72" s="227">
        <f>SUM(D72:E72)</f>
        <v>0</v>
      </c>
      <c r="G72" s="239">
        <v>49530</v>
      </c>
      <c r="H72" s="238"/>
      <c r="I72" s="227">
        <f>SUM(G72:H72)</f>
        <v>49530</v>
      </c>
      <c r="J72" s="240"/>
      <c r="K72" s="241"/>
      <c r="L72" s="227">
        <f>SUM(J72:K72)</f>
        <v>0</v>
      </c>
      <c r="M72" s="231">
        <f>SUM(F72+I72+L72)</f>
        <v>49530</v>
      </c>
    </row>
    <row r="73" spans="1:13" ht="33.75" customHeight="1" thickBot="1">
      <c r="A73" s="232" t="s">
        <v>392</v>
      </c>
      <c r="B73" s="234" t="s">
        <v>81</v>
      </c>
      <c r="C73" s="249" t="s">
        <v>721</v>
      </c>
      <c r="D73" s="246">
        <f>22766189-3000000-103900</f>
        <v>19662289</v>
      </c>
      <c r="E73" s="247">
        <v>103900</v>
      </c>
      <c r="F73" s="227">
        <f>SUM(D73:E73)</f>
        <v>19766189</v>
      </c>
      <c r="G73" s="248"/>
      <c r="H73" s="247"/>
      <c r="I73" s="227">
        <f>SUM(G73:H73)</f>
        <v>0</v>
      </c>
      <c r="J73" s="240"/>
      <c r="K73" s="241"/>
      <c r="L73" s="227">
        <f>SUM(J73:K73)</f>
        <v>0</v>
      </c>
      <c r="M73" s="231">
        <f>SUM(F73+I73+L73)</f>
        <v>19766189</v>
      </c>
    </row>
    <row r="74" spans="1:16" ht="27.75" customHeight="1" thickBot="1">
      <c r="A74" s="1033" t="s">
        <v>863</v>
      </c>
      <c r="B74" s="1034"/>
      <c r="C74" s="1035"/>
      <c r="D74" s="265">
        <f>SUM(D70:D73)</f>
        <v>27070160</v>
      </c>
      <c r="E74" s="477">
        <f aca="true" t="shared" si="12" ref="E74:K74">SUM(E70:E73)</f>
        <v>103900</v>
      </c>
      <c r="F74" s="476">
        <f t="shared" si="12"/>
        <v>27174060</v>
      </c>
      <c r="G74" s="265">
        <f t="shared" si="12"/>
        <v>49530</v>
      </c>
      <c r="H74" s="477">
        <f t="shared" si="12"/>
        <v>0</v>
      </c>
      <c r="I74" s="476">
        <f t="shared" si="12"/>
        <v>49530</v>
      </c>
      <c r="J74" s="265">
        <f t="shared" si="12"/>
        <v>0</v>
      </c>
      <c r="K74" s="477">
        <f t="shared" si="12"/>
        <v>0</v>
      </c>
      <c r="L74" s="476">
        <f>SUM(L70:L73)</f>
        <v>0</v>
      </c>
      <c r="M74" s="260">
        <f>SUM(M70:M73)</f>
        <v>27223590</v>
      </c>
      <c r="P74" s="480"/>
    </row>
    <row r="75" spans="1:13" s="207" customFormat="1" ht="16.5" thickBot="1">
      <c r="A75" s="1021" t="s">
        <v>496</v>
      </c>
      <c r="B75" s="1022"/>
      <c r="C75" s="1023"/>
      <c r="D75" s="266">
        <f aca="true" t="shared" si="13" ref="D75:M75">D54+D58+D69+D74</f>
        <v>985157863</v>
      </c>
      <c r="E75" s="266">
        <f t="shared" si="13"/>
        <v>85993438</v>
      </c>
      <c r="F75" s="639">
        <f t="shared" si="13"/>
        <v>1071151301</v>
      </c>
      <c r="G75" s="266">
        <f t="shared" si="13"/>
        <v>380158485</v>
      </c>
      <c r="H75" s="266">
        <f t="shared" si="13"/>
        <v>330856562</v>
      </c>
      <c r="I75" s="267">
        <f t="shared" si="13"/>
        <v>711015047</v>
      </c>
      <c r="J75" s="478">
        <f t="shared" si="13"/>
        <v>50295760</v>
      </c>
      <c r="K75" s="640">
        <f t="shared" si="13"/>
        <v>701660</v>
      </c>
      <c r="L75" s="641">
        <f t="shared" si="13"/>
        <v>50997420</v>
      </c>
      <c r="M75" s="268">
        <f t="shared" si="13"/>
        <v>1833163768</v>
      </c>
    </row>
    <row r="78" spans="1:2" ht="12.75">
      <c r="A78" s="142" t="s">
        <v>497</v>
      </c>
      <c r="B78" s="142" t="s">
        <v>498</v>
      </c>
    </row>
    <row r="79" spans="1:2" ht="12.75">
      <c r="A79" s="142" t="s">
        <v>499</v>
      </c>
      <c r="B79" s="142" t="s">
        <v>500</v>
      </c>
    </row>
    <row r="80" spans="1:2" ht="12.75">
      <c r="A80" s="142" t="s">
        <v>501</v>
      </c>
      <c r="B80" s="142" t="s">
        <v>502</v>
      </c>
    </row>
    <row r="81" spans="1:2" ht="12.75">
      <c r="A81" s="142" t="s">
        <v>503</v>
      </c>
      <c r="B81" s="142" t="s">
        <v>504</v>
      </c>
    </row>
    <row r="82" spans="1:2" ht="12.75">
      <c r="A82" s="142" t="s">
        <v>505</v>
      </c>
      <c r="B82" s="142" t="s">
        <v>506</v>
      </c>
    </row>
    <row r="83" spans="1:2" ht="12.75">
      <c r="A83" s="142" t="s">
        <v>802</v>
      </c>
      <c r="B83" s="142" t="s">
        <v>803</v>
      </c>
    </row>
    <row r="84" spans="1:2" ht="12.75">
      <c r="A84" s="142" t="s">
        <v>616</v>
      </c>
      <c r="B84" s="142" t="s">
        <v>615</v>
      </c>
    </row>
    <row r="85" spans="1:2" ht="12.75">
      <c r="A85" s="142" t="s">
        <v>902</v>
      </c>
      <c r="B85" s="142" t="s">
        <v>901</v>
      </c>
    </row>
  </sheetData>
  <sheetProtection/>
  <mergeCells count="15">
    <mergeCell ref="G1:M1"/>
    <mergeCell ref="M6:M8"/>
    <mergeCell ref="A3:M4"/>
    <mergeCell ref="C6:C8"/>
    <mergeCell ref="G6:I7"/>
    <mergeCell ref="J6:L7"/>
    <mergeCell ref="A75:C75"/>
    <mergeCell ref="A58:C58"/>
    <mergeCell ref="D6:F7"/>
    <mergeCell ref="A69:C69"/>
    <mergeCell ref="B5:B8"/>
    <mergeCell ref="A5:A8"/>
    <mergeCell ref="C5:M5"/>
    <mergeCell ref="A54:C54"/>
    <mergeCell ref="A74:C74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0" r:id="rId1"/>
  <rowBreaks count="2" manualBreakCount="2">
    <brk id="31" max="12" man="1"/>
    <brk id="5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O96"/>
  <sheetViews>
    <sheetView zoomScalePageLayoutView="0" workbookViewId="0" topLeftCell="Q1">
      <selection activeCell="T2" sqref="T2"/>
    </sheetView>
  </sheetViews>
  <sheetFormatPr defaultColWidth="9.00390625" defaultRowHeight="12.75"/>
  <cols>
    <col min="1" max="2" width="9.125" style="142" customWidth="1"/>
    <col min="3" max="3" width="19.125" style="142" customWidth="1"/>
    <col min="4" max="4" width="18.00390625" style="142" bestFit="1" customWidth="1"/>
    <col min="5" max="5" width="15.75390625" style="142" bestFit="1" customWidth="1"/>
    <col min="6" max="6" width="18.00390625" style="142" bestFit="1" customWidth="1"/>
    <col min="7" max="7" width="12.625" style="142" customWidth="1"/>
    <col min="8" max="8" width="18.875" style="142" customWidth="1"/>
    <col min="9" max="9" width="9.25390625" style="142" bestFit="1" customWidth="1"/>
    <col min="10" max="10" width="11.375" style="142" bestFit="1" customWidth="1"/>
    <col min="11" max="11" width="19.25390625" style="142" customWidth="1"/>
    <col min="12" max="12" width="9.75390625" style="142" customWidth="1"/>
    <col min="13" max="13" width="9.125" style="142" customWidth="1"/>
    <col min="14" max="14" width="12.625" style="142" customWidth="1"/>
    <col min="15" max="15" width="8.125" style="142" customWidth="1"/>
    <col min="16" max="16" width="10.375" style="142" bestFit="1" customWidth="1"/>
    <col min="17" max="17" width="14.00390625" style="142" bestFit="1" customWidth="1"/>
    <col min="18" max="20" width="9.125" style="142" customWidth="1"/>
    <col min="21" max="21" width="9.875" style="142" customWidth="1"/>
    <col min="22" max="22" width="13.125" style="142" customWidth="1"/>
    <col min="23" max="23" width="16.625" style="142" bestFit="1" customWidth="1"/>
    <col min="24" max="24" width="18.00390625" style="277" bestFit="1" customWidth="1"/>
    <col min="25" max="25" width="18.25390625" style="277" customWidth="1"/>
    <col min="26" max="26" width="18.75390625" style="277" customWidth="1"/>
    <col min="27" max="27" width="19.75390625" style="277" bestFit="1" customWidth="1"/>
    <col min="28" max="28" width="17.375" style="277" bestFit="1" customWidth="1"/>
    <col min="29" max="29" width="19.75390625" style="277" bestFit="1" customWidth="1"/>
    <col min="30" max="223" width="9.125" style="277" customWidth="1"/>
    <col min="224" max="16384" width="9.125" style="142" customWidth="1"/>
  </cols>
  <sheetData>
    <row r="1" spans="1:28" ht="15">
      <c r="A1" s="209"/>
      <c r="B1" s="210"/>
      <c r="C1" s="211"/>
      <c r="H1" s="210"/>
      <c r="I1" s="210"/>
      <c r="J1" s="210"/>
      <c r="K1" s="212"/>
      <c r="L1" s="212"/>
      <c r="M1" s="212"/>
      <c r="N1" s="210"/>
      <c r="T1" s="1144" t="s">
        <v>1140</v>
      </c>
      <c r="U1" s="1145"/>
      <c r="V1" s="1145"/>
      <c r="W1" s="1145"/>
      <c r="X1" s="1146"/>
      <c r="Y1" s="1146"/>
      <c r="Z1" s="1146"/>
      <c r="AA1" s="1146"/>
      <c r="AB1" s="1146"/>
    </row>
    <row r="2" spans="1:14" ht="12.75">
      <c r="A2" s="209"/>
      <c r="B2" s="210"/>
      <c r="C2" s="211"/>
      <c r="D2" s="213"/>
      <c r="E2" s="214"/>
      <c r="F2" s="214"/>
      <c r="G2" s="214"/>
      <c r="H2" s="210"/>
      <c r="I2" s="210"/>
      <c r="J2" s="210"/>
      <c r="K2" s="212"/>
      <c r="L2" s="212"/>
      <c r="M2" s="212"/>
      <c r="N2" s="210"/>
    </row>
    <row r="3" spans="1:29" ht="15.75" customHeight="1">
      <c r="A3" s="1133" t="s">
        <v>805</v>
      </c>
      <c r="B3" s="1133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1133"/>
      <c r="P3" s="1133"/>
      <c r="Q3" s="1133"/>
      <c r="R3" s="1133"/>
      <c r="S3" s="1133"/>
      <c r="T3" s="1133"/>
      <c r="U3" s="1133"/>
      <c r="V3" s="1133"/>
      <c r="W3" s="1133"/>
      <c r="X3" s="1133"/>
      <c r="Y3" s="1133"/>
      <c r="Z3" s="1133"/>
      <c r="AA3" s="1133"/>
      <c r="AB3" s="1133"/>
      <c r="AC3" s="1133"/>
    </row>
    <row r="4" spans="1:29" ht="15.75" customHeight="1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</row>
    <row r="5" spans="1:29" ht="13.5" customHeight="1" thickBot="1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</row>
    <row r="6" spans="1:223" s="278" customFormat="1" ht="15" customHeight="1" thickBot="1" thickTop="1">
      <c r="A6" s="1151" t="s">
        <v>89</v>
      </c>
      <c r="B6" s="1152"/>
      <c r="C6" s="1152"/>
      <c r="D6" s="1155" t="s">
        <v>358</v>
      </c>
      <c r="E6" s="1105"/>
      <c r="F6" s="1156"/>
      <c r="G6" s="1127" t="s">
        <v>507</v>
      </c>
      <c r="H6" s="1128"/>
      <c r="I6" s="1128"/>
      <c r="J6" s="1128"/>
      <c r="K6" s="1129"/>
      <c r="L6" s="1071" t="s">
        <v>508</v>
      </c>
      <c r="M6" s="1072"/>
      <c r="N6" s="1072"/>
      <c r="O6" s="1072"/>
      <c r="P6" s="1072"/>
      <c r="Q6" s="1096"/>
      <c r="R6" s="1071" t="s">
        <v>509</v>
      </c>
      <c r="S6" s="1072"/>
      <c r="T6" s="1072"/>
      <c r="U6" s="1072"/>
      <c r="V6" s="1072"/>
      <c r="W6" s="1072"/>
      <c r="X6" s="1147" t="s">
        <v>510</v>
      </c>
      <c r="Y6" s="1095"/>
      <c r="Z6" s="1095"/>
      <c r="AA6" s="1148" t="s">
        <v>90</v>
      </c>
      <c r="AB6" s="1149"/>
      <c r="AC6" s="1150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  <c r="FL6" s="277"/>
      <c r="FM6" s="277"/>
      <c r="FN6" s="277"/>
      <c r="FO6" s="277"/>
      <c r="FP6" s="277"/>
      <c r="FQ6" s="277"/>
      <c r="FR6" s="277"/>
      <c r="FS6" s="277"/>
      <c r="FT6" s="277"/>
      <c r="FU6" s="277"/>
      <c r="FV6" s="277"/>
      <c r="FW6" s="277"/>
      <c r="FX6" s="277"/>
      <c r="FY6" s="277"/>
      <c r="FZ6" s="277"/>
      <c r="GA6" s="277"/>
      <c r="GB6" s="277"/>
      <c r="GC6" s="277"/>
      <c r="GD6" s="277"/>
      <c r="GE6" s="277"/>
      <c r="GF6" s="277"/>
      <c r="GG6" s="277"/>
      <c r="GH6" s="277"/>
      <c r="GI6" s="277"/>
      <c r="GJ6" s="277"/>
      <c r="GK6" s="277"/>
      <c r="GL6" s="277"/>
      <c r="GM6" s="277"/>
      <c r="GN6" s="277"/>
      <c r="GO6" s="277"/>
      <c r="GP6" s="277"/>
      <c r="GQ6" s="277"/>
      <c r="GR6" s="277"/>
      <c r="GS6" s="277"/>
      <c r="GT6" s="277"/>
      <c r="GU6" s="277"/>
      <c r="GV6" s="277"/>
      <c r="GW6" s="277"/>
      <c r="GX6" s="277"/>
      <c r="GY6" s="277"/>
      <c r="GZ6" s="277"/>
      <c r="HA6" s="277"/>
      <c r="HB6" s="277"/>
      <c r="HC6" s="277"/>
      <c r="HD6" s="277"/>
      <c r="HE6" s="277"/>
      <c r="HF6" s="277"/>
      <c r="HG6" s="277"/>
      <c r="HH6" s="277"/>
      <c r="HI6" s="277"/>
      <c r="HJ6" s="277"/>
      <c r="HK6" s="277"/>
      <c r="HL6" s="277"/>
      <c r="HM6" s="277"/>
      <c r="HN6" s="277"/>
      <c r="HO6" s="277"/>
    </row>
    <row r="7" spans="1:29" s="277" customFormat="1" ht="16.5" customHeight="1" thickBot="1">
      <c r="A7" s="1153"/>
      <c r="B7" s="1154"/>
      <c r="C7" s="1154"/>
      <c r="D7" s="437" t="s">
        <v>91</v>
      </c>
      <c r="E7" s="769" t="s">
        <v>87</v>
      </c>
      <c r="F7" s="280" t="s">
        <v>92</v>
      </c>
      <c r="G7" s="1130"/>
      <c r="H7" s="1131"/>
      <c r="I7" s="1131"/>
      <c r="J7" s="1131"/>
      <c r="K7" s="1132"/>
      <c r="L7" s="1074"/>
      <c r="M7" s="1075"/>
      <c r="N7" s="1075"/>
      <c r="O7" s="1075"/>
      <c r="P7" s="1075"/>
      <c r="Q7" s="1097"/>
      <c r="R7" s="1074"/>
      <c r="S7" s="1075"/>
      <c r="T7" s="1075"/>
      <c r="U7" s="1075"/>
      <c r="V7" s="1075"/>
      <c r="W7" s="1075"/>
      <c r="X7" s="279" t="s">
        <v>91</v>
      </c>
      <c r="Y7" s="437" t="s">
        <v>87</v>
      </c>
      <c r="Z7" s="756" t="s">
        <v>92</v>
      </c>
      <c r="AA7" s="279" t="s">
        <v>91</v>
      </c>
      <c r="AB7" s="437" t="s">
        <v>87</v>
      </c>
      <c r="AC7" s="280" t="s">
        <v>92</v>
      </c>
    </row>
    <row r="8" spans="1:29" s="296" customFormat="1" ht="16.5" customHeight="1">
      <c r="A8" s="281"/>
      <c r="B8" s="282"/>
      <c r="C8" s="283"/>
      <c r="D8" s="284"/>
      <c r="E8" s="282"/>
      <c r="F8" s="285"/>
      <c r="G8" s="1134" t="s">
        <v>917</v>
      </c>
      <c r="H8" s="1060"/>
      <c r="I8" s="1060"/>
      <c r="J8" s="469">
        <v>79416609</v>
      </c>
      <c r="K8" s="1077">
        <f>SUM(J8:J17)</f>
        <v>228487876</v>
      </c>
      <c r="L8" s="1136"/>
      <c r="M8" s="1088"/>
      <c r="N8" s="1088"/>
      <c r="O8" s="1088"/>
      <c r="P8" s="287"/>
      <c r="Q8" s="1125">
        <f>SUM(P8:P17)</f>
        <v>130750309</v>
      </c>
      <c r="R8" s="1084" t="s">
        <v>243</v>
      </c>
      <c r="S8" s="1085"/>
      <c r="T8" s="1085"/>
      <c r="U8" s="1085"/>
      <c r="V8" s="469">
        <v>227595000</v>
      </c>
      <c r="W8" s="1063">
        <f>SUM(V8:V17)</f>
        <v>342536523</v>
      </c>
      <c r="X8" s="290"/>
      <c r="Y8" s="291"/>
      <c r="Z8" s="292"/>
      <c r="AA8" s="293"/>
      <c r="AB8" s="294"/>
      <c r="AC8" s="295"/>
    </row>
    <row r="9" spans="1:29" s="296" customFormat="1" ht="27" customHeight="1">
      <c r="A9" s="281"/>
      <c r="B9" s="282"/>
      <c r="C9" s="284"/>
      <c r="D9" s="284"/>
      <c r="E9" s="282"/>
      <c r="F9" s="285"/>
      <c r="G9" s="1122" t="s">
        <v>621</v>
      </c>
      <c r="H9" s="1104"/>
      <c r="I9" s="1104"/>
      <c r="J9" s="469">
        <v>2114700</v>
      </c>
      <c r="K9" s="1078"/>
      <c r="L9" s="1089" t="s">
        <v>946</v>
      </c>
      <c r="M9" s="1090"/>
      <c r="N9" s="1090"/>
      <c r="O9" s="1090"/>
      <c r="P9" s="469">
        <v>3652363</v>
      </c>
      <c r="Q9" s="1126"/>
      <c r="R9" s="1089" t="s">
        <v>741</v>
      </c>
      <c r="S9" s="1090"/>
      <c r="T9" s="1090"/>
      <c r="U9" s="1090"/>
      <c r="V9" s="469">
        <v>508000</v>
      </c>
      <c r="W9" s="1068"/>
      <c r="X9" s="297"/>
      <c r="Y9" s="291"/>
      <c r="Z9" s="298"/>
      <c r="AA9" s="281"/>
      <c r="AB9" s="299"/>
      <c r="AC9" s="300"/>
    </row>
    <row r="10" spans="1:29" s="296" customFormat="1" ht="24.75" customHeight="1">
      <c r="A10" s="301"/>
      <c r="B10" s="302"/>
      <c r="C10" s="303" t="s">
        <v>482</v>
      </c>
      <c r="D10" s="304">
        <f>SUM('6. kiadások megbontása'!D54)</f>
        <v>623193245</v>
      </c>
      <c r="E10" s="305">
        <f>SUM('6. kiadások megbontása'!E54)</f>
        <v>83886991</v>
      </c>
      <c r="F10" s="306">
        <f>SUM(D10:E10)</f>
        <v>707080236</v>
      </c>
      <c r="G10" s="1122" t="s">
        <v>747</v>
      </c>
      <c r="H10" s="1104"/>
      <c r="I10" s="1104"/>
      <c r="J10" s="469">
        <v>45748047</v>
      </c>
      <c r="K10" s="1078"/>
      <c r="L10" s="1089" t="s">
        <v>511</v>
      </c>
      <c r="M10" s="1090"/>
      <c r="N10" s="1090"/>
      <c r="O10" s="1090"/>
      <c r="P10" s="469">
        <v>21588000</v>
      </c>
      <c r="Q10" s="1126"/>
      <c r="R10" s="1084" t="s">
        <v>807</v>
      </c>
      <c r="S10" s="1085"/>
      <c r="T10" s="1085"/>
      <c r="U10" s="1085"/>
      <c r="V10" s="737">
        <v>272649</v>
      </c>
      <c r="W10" s="1068"/>
      <c r="X10" s="307"/>
      <c r="Y10" s="308"/>
      <c r="Z10" s="298"/>
      <c r="AA10" s="309"/>
      <c r="AB10" s="310"/>
      <c r="AC10" s="311"/>
    </row>
    <row r="11" spans="1:29" s="296" customFormat="1" ht="12.75" customHeight="1">
      <c r="A11" s="312"/>
      <c r="B11" s="313"/>
      <c r="C11" s="314"/>
      <c r="D11" s="314"/>
      <c r="E11" s="282"/>
      <c r="F11" s="285"/>
      <c r="G11" s="1114" t="s">
        <v>545</v>
      </c>
      <c r="H11" s="1114"/>
      <c r="I11" s="1114"/>
      <c r="J11" s="469">
        <v>63778000</v>
      </c>
      <c r="K11" s="1078"/>
      <c r="L11" s="1084" t="s">
        <v>813</v>
      </c>
      <c r="M11" s="1085"/>
      <c r="N11" s="1085"/>
      <c r="O11" s="1085"/>
      <c r="P11" s="469">
        <f>302525+67046</f>
        <v>369571</v>
      </c>
      <c r="Q11" s="1126"/>
      <c r="R11" s="1089" t="s">
        <v>114</v>
      </c>
      <c r="S11" s="1090"/>
      <c r="T11" s="1090"/>
      <c r="U11" s="1090"/>
      <c r="V11" s="469">
        <v>14236474</v>
      </c>
      <c r="W11" s="1068"/>
      <c r="X11" s="307"/>
      <c r="Y11" s="308"/>
      <c r="Z11" s="298"/>
      <c r="AA11" s="309"/>
      <c r="AB11" s="310"/>
      <c r="AC11" s="311"/>
    </row>
    <row r="12" spans="1:29" s="296" customFormat="1" ht="15" customHeight="1">
      <c r="A12" s="312"/>
      <c r="B12" s="313"/>
      <c r="C12" s="314"/>
      <c r="D12" s="314"/>
      <c r="E12" s="282"/>
      <c r="F12" s="285"/>
      <c r="G12" s="1135" t="s">
        <v>916</v>
      </c>
      <c r="H12" s="1090"/>
      <c r="I12" s="1090"/>
      <c r="J12" s="469">
        <v>39435</v>
      </c>
      <c r="K12" s="1078"/>
      <c r="L12" s="1084" t="s">
        <v>909</v>
      </c>
      <c r="M12" s="1085"/>
      <c r="N12" s="1085"/>
      <c r="O12" s="1085"/>
      <c r="P12" s="464">
        <f>11977188+38901777-8045171</f>
        <v>42833794</v>
      </c>
      <c r="Q12" s="1126"/>
      <c r="R12" s="1089" t="s">
        <v>818</v>
      </c>
      <c r="S12" s="1090"/>
      <c r="T12" s="1090"/>
      <c r="U12" s="1090"/>
      <c r="V12" s="469">
        <v>60128</v>
      </c>
      <c r="W12" s="1068"/>
      <c r="X12" s="307"/>
      <c r="Y12" s="308"/>
      <c r="Z12" s="298"/>
      <c r="AA12" s="309"/>
      <c r="AB12" s="310"/>
      <c r="AC12" s="311"/>
    </row>
    <row r="13" spans="1:29" s="296" customFormat="1" ht="15.75" customHeight="1">
      <c r="A13" s="312"/>
      <c r="B13" s="313"/>
      <c r="C13" s="314"/>
      <c r="D13" s="314"/>
      <c r="E13" s="282"/>
      <c r="F13" s="285"/>
      <c r="G13" s="1114" t="s">
        <v>921</v>
      </c>
      <c r="H13" s="1114"/>
      <c r="I13" s="1114"/>
      <c r="J13" s="286">
        <v>30500</v>
      </c>
      <c r="K13" s="1078"/>
      <c r="L13" s="1084" t="s">
        <v>910</v>
      </c>
      <c r="M13" s="1085"/>
      <c r="N13" s="1085"/>
      <c r="O13" s="1085"/>
      <c r="P13" s="464">
        <f>23626850+46614899-7935168</f>
        <v>62306581</v>
      </c>
      <c r="Q13" s="1126"/>
      <c r="R13" s="1089" t="s">
        <v>284</v>
      </c>
      <c r="S13" s="1090"/>
      <c r="T13" s="1090"/>
      <c r="U13" s="1090"/>
      <c r="V13" s="469">
        <f>639000+105030</f>
        <v>744030</v>
      </c>
      <c r="W13" s="1068"/>
      <c r="X13" s="307"/>
      <c r="Y13" s="308"/>
      <c r="Z13" s="298"/>
      <c r="AA13" s="309"/>
      <c r="AB13" s="310"/>
      <c r="AC13" s="311"/>
    </row>
    <row r="14" spans="1:29" s="296" customFormat="1" ht="13.5" customHeight="1">
      <c r="A14" s="312"/>
      <c r="B14" s="313"/>
      <c r="C14" s="314"/>
      <c r="D14" s="314"/>
      <c r="E14" s="282"/>
      <c r="F14" s="316"/>
      <c r="G14" s="1114" t="s">
        <v>1010</v>
      </c>
      <c r="H14" s="1114"/>
      <c r="I14" s="1114"/>
      <c r="J14" s="286">
        <v>7265000</v>
      </c>
      <c r="K14" s="1078"/>
      <c r="L14" s="1117"/>
      <c r="M14" s="1114"/>
      <c r="N14" s="1114"/>
      <c r="O14" s="1114"/>
      <c r="Q14" s="1126"/>
      <c r="R14" s="1089" t="s">
        <v>744</v>
      </c>
      <c r="S14" s="1090"/>
      <c r="T14" s="1090"/>
      <c r="U14" s="1090"/>
      <c r="V14" s="469">
        <f>2486532+446236+828040+117194</f>
        <v>3878002</v>
      </c>
      <c r="W14" s="1068"/>
      <c r="X14" s="318">
        <f>SUM(W8,Q8,K8)</f>
        <v>701774708</v>
      </c>
      <c r="Y14" s="319">
        <f>SUM(W18+Q18+K18)</f>
        <v>124507945</v>
      </c>
      <c r="Z14" s="320">
        <f>SUM(Y14,X14)</f>
        <v>826282653</v>
      </c>
      <c r="AA14" s="318">
        <f>X14-D10</f>
        <v>78581463</v>
      </c>
      <c r="AB14" s="319">
        <f>Y14-E10</f>
        <v>40620954</v>
      </c>
      <c r="AC14" s="321">
        <f>SUM(AA14:AB14)</f>
        <v>119202417</v>
      </c>
    </row>
    <row r="15" spans="1:29" s="277" customFormat="1" ht="12.75" customHeight="1">
      <c r="A15" s="322"/>
      <c r="B15" s="323"/>
      <c r="C15" s="324"/>
      <c r="D15" s="324"/>
      <c r="E15" s="325"/>
      <c r="F15" s="326"/>
      <c r="G15" s="1122" t="s">
        <v>1011</v>
      </c>
      <c r="H15" s="1104"/>
      <c r="I15" s="1104"/>
      <c r="J15" s="286">
        <v>95585</v>
      </c>
      <c r="K15" s="1078"/>
      <c r="L15" s="1117"/>
      <c r="M15" s="1114"/>
      <c r="N15" s="1114"/>
      <c r="O15" s="1114"/>
      <c r="P15" s="317"/>
      <c r="Q15" s="1126"/>
      <c r="R15" s="1084" t="s">
        <v>816</v>
      </c>
      <c r="S15" s="1085"/>
      <c r="T15" s="1085"/>
      <c r="U15" s="1085"/>
      <c r="V15" s="737">
        <v>6983451</v>
      </c>
      <c r="W15" s="1068"/>
      <c r="X15" s="307"/>
      <c r="Y15" s="308"/>
      <c r="Z15" s="298"/>
      <c r="AA15" s="309"/>
      <c r="AB15" s="310"/>
      <c r="AC15" s="311"/>
    </row>
    <row r="16" spans="1:29" s="277" customFormat="1" ht="13.5" customHeight="1">
      <c r="A16" s="322"/>
      <c r="B16" s="323"/>
      <c r="C16" s="324"/>
      <c r="D16" s="324"/>
      <c r="E16" s="325"/>
      <c r="F16" s="326"/>
      <c r="G16" s="1122" t="s">
        <v>1014</v>
      </c>
      <c r="H16" s="1104"/>
      <c r="I16" s="1104"/>
      <c r="J16" s="286">
        <v>30000000</v>
      </c>
      <c r="K16" s="1078"/>
      <c r="L16" s="1103"/>
      <c r="M16" s="1104"/>
      <c r="N16" s="1104"/>
      <c r="O16" s="1104"/>
      <c r="P16" s="286"/>
      <c r="Q16" s="1126"/>
      <c r="R16" s="1084" t="s">
        <v>745</v>
      </c>
      <c r="S16" s="1085"/>
      <c r="T16" s="1085"/>
      <c r="U16" s="1085"/>
      <c r="V16" s="737">
        <v>3000</v>
      </c>
      <c r="W16" s="1068"/>
      <c r="X16" s="307"/>
      <c r="Y16" s="308"/>
      <c r="Z16" s="298"/>
      <c r="AA16" s="309"/>
      <c r="AB16" s="310"/>
      <c r="AC16" s="311"/>
    </row>
    <row r="17" spans="1:29" s="277" customFormat="1" ht="13.5" customHeight="1" thickBot="1">
      <c r="A17" s="322"/>
      <c r="B17" s="323"/>
      <c r="C17" s="324"/>
      <c r="D17" s="324"/>
      <c r="E17" s="325"/>
      <c r="F17" s="326"/>
      <c r="G17" s="1122"/>
      <c r="H17" s="1104"/>
      <c r="I17" s="1104"/>
      <c r="J17" s="286"/>
      <c r="K17" s="1078"/>
      <c r="L17" s="1117"/>
      <c r="M17" s="1114"/>
      <c r="N17" s="1114"/>
      <c r="O17" s="1114"/>
      <c r="P17" s="315"/>
      <c r="Q17" s="1126"/>
      <c r="R17" s="1084" t="s">
        <v>746</v>
      </c>
      <c r="S17" s="1085"/>
      <c r="T17" s="1085"/>
      <c r="U17" s="1085"/>
      <c r="V17" s="737">
        <f>22840902+55632238+9782649</f>
        <v>88255789</v>
      </c>
      <c r="W17" s="1068"/>
      <c r="X17" s="307"/>
      <c r="Y17" s="308"/>
      <c r="Z17" s="298"/>
      <c r="AA17" s="309"/>
      <c r="AB17" s="310"/>
      <c r="AC17" s="311"/>
    </row>
    <row r="18" spans="1:29" s="277" customFormat="1" ht="54" customHeight="1">
      <c r="A18" s="322"/>
      <c r="B18" s="323"/>
      <c r="C18" s="324"/>
      <c r="D18" s="324"/>
      <c r="E18" s="325"/>
      <c r="F18" s="326"/>
      <c r="G18" s="330"/>
      <c r="H18" s="331"/>
      <c r="I18" s="331"/>
      <c r="J18" s="332"/>
      <c r="K18" s="1077"/>
      <c r="L18" s="1082" t="s">
        <v>808</v>
      </c>
      <c r="M18" s="1083"/>
      <c r="N18" s="1083"/>
      <c r="O18" s="1083"/>
      <c r="P18" s="734">
        <f>2500000+6019000+5000000</f>
        <v>13519000</v>
      </c>
      <c r="Q18" s="1098">
        <f>SUM(P18:P22)</f>
        <v>50667352</v>
      </c>
      <c r="R18" s="1123" t="s">
        <v>94</v>
      </c>
      <c r="S18" s="1124"/>
      <c r="T18" s="1124"/>
      <c r="U18" s="1124"/>
      <c r="V18" s="470">
        <f>62747330-3831623-848360+15172896+672563+3300476-30000000+1066203</f>
        <v>48279485</v>
      </c>
      <c r="W18" s="1063">
        <f>SUM(V18:V20)</f>
        <v>73840593</v>
      </c>
      <c r="X18" s="307"/>
      <c r="Y18" s="308"/>
      <c r="Z18" s="298"/>
      <c r="AA18" s="309"/>
      <c r="AB18" s="310"/>
      <c r="AC18" s="311"/>
    </row>
    <row r="19" spans="1:29" s="277" customFormat="1" ht="14.25" customHeight="1">
      <c r="A19" s="322"/>
      <c r="B19" s="323"/>
      <c r="C19" s="324"/>
      <c r="D19" s="324"/>
      <c r="E19" s="325"/>
      <c r="F19" s="326"/>
      <c r="G19" s="328"/>
      <c r="H19" s="329"/>
      <c r="I19" s="329"/>
      <c r="J19" s="334"/>
      <c r="K19" s="1078"/>
      <c r="L19" s="1084" t="s">
        <v>810</v>
      </c>
      <c r="M19" s="1085"/>
      <c r="N19" s="1085"/>
      <c r="O19" s="1085"/>
      <c r="P19" s="317">
        <v>1846997</v>
      </c>
      <c r="Q19" s="1099"/>
      <c r="R19" s="1089" t="s">
        <v>740</v>
      </c>
      <c r="S19" s="1090"/>
      <c r="T19" s="1090"/>
      <c r="U19" s="1090"/>
      <c r="V19" s="467">
        <f>21384589+4176519</f>
        <v>25561108</v>
      </c>
      <c r="W19" s="1068"/>
      <c r="X19" s="307"/>
      <c r="Y19" s="308"/>
      <c r="Z19" s="298"/>
      <c r="AA19" s="309"/>
      <c r="AB19" s="310"/>
      <c r="AC19" s="311"/>
    </row>
    <row r="20" spans="1:29" s="277" customFormat="1" ht="14.25" customHeight="1">
      <c r="A20" s="322"/>
      <c r="B20" s="323"/>
      <c r="C20" s="324"/>
      <c r="D20" s="324"/>
      <c r="E20" s="325"/>
      <c r="F20" s="326"/>
      <c r="G20" s="1118"/>
      <c r="H20" s="1119"/>
      <c r="I20" s="1119"/>
      <c r="J20" s="334"/>
      <c r="K20" s="1078"/>
      <c r="L20" s="1084" t="s">
        <v>809</v>
      </c>
      <c r="M20" s="1085"/>
      <c r="N20" s="1085"/>
      <c r="O20" s="1085"/>
      <c r="P20" s="317">
        <v>299888</v>
      </c>
      <c r="Q20" s="1099"/>
      <c r="R20" s="1089"/>
      <c r="S20" s="1090"/>
      <c r="T20" s="1090"/>
      <c r="U20" s="1090"/>
      <c r="V20" s="467"/>
      <c r="W20" s="1068"/>
      <c r="X20" s="307"/>
      <c r="Y20" s="308"/>
      <c r="Z20" s="298"/>
      <c r="AA20" s="309"/>
      <c r="AB20" s="310"/>
      <c r="AC20" s="311"/>
    </row>
    <row r="21" spans="1:29" s="277" customFormat="1" ht="14.25" customHeight="1">
      <c r="A21" s="322"/>
      <c r="B21" s="323"/>
      <c r="C21" s="324"/>
      <c r="D21" s="324"/>
      <c r="E21" s="325"/>
      <c r="F21" s="326"/>
      <c r="G21" s="328"/>
      <c r="H21" s="329"/>
      <c r="I21" s="329"/>
      <c r="J21" s="334"/>
      <c r="K21" s="901"/>
      <c r="L21" s="1117" t="s">
        <v>1013</v>
      </c>
      <c r="M21" s="1114"/>
      <c r="N21" s="1114"/>
      <c r="O21" s="1114"/>
      <c r="P21" s="793">
        <v>1920000</v>
      </c>
      <c r="Q21" s="1099"/>
      <c r="R21" s="777"/>
      <c r="S21" s="778"/>
      <c r="T21" s="778"/>
      <c r="U21" s="778"/>
      <c r="V21" s="737"/>
      <c r="W21" s="902"/>
      <c r="X21" s="307"/>
      <c r="Y21" s="308"/>
      <c r="Z21" s="298"/>
      <c r="AA21" s="309"/>
      <c r="AB21" s="310"/>
      <c r="AC21" s="311"/>
    </row>
    <row r="22" spans="1:29" s="277" customFormat="1" ht="14.25" customHeight="1" thickBot="1">
      <c r="A22" s="473"/>
      <c r="B22" s="380"/>
      <c r="C22" s="653"/>
      <c r="D22" s="381"/>
      <c r="E22" s="382"/>
      <c r="F22" s="383"/>
      <c r="G22" s="885"/>
      <c r="H22" s="886"/>
      <c r="I22" s="886"/>
      <c r="J22" s="654"/>
      <c r="K22" s="883"/>
      <c r="L22" s="1084" t="s">
        <v>1009</v>
      </c>
      <c r="M22" s="1085"/>
      <c r="N22" s="1085"/>
      <c r="O22" s="1085"/>
      <c r="P22" s="465">
        <v>33081467</v>
      </c>
      <c r="Q22" s="1100"/>
      <c r="R22" s="887"/>
      <c r="S22" s="888"/>
      <c r="T22" s="888"/>
      <c r="U22" s="888"/>
      <c r="V22" s="894"/>
      <c r="W22" s="884"/>
      <c r="X22" s="655"/>
      <c r="Y22" s="656"/>
      <c r="Z22" s="657"/>
      <c r="AA22" s="658"/>
      <c r="AB22" s="659"/>
      <c r="AC22" s="350"/>
    </row>
    <row r="23" spans="1:29" s="277" customFormat="1" ht="18" customHeight="1" thickTop="1">
      <c r="A23" s="474"/>
      <c r="B23" s="335"/>
      <c r="C23" s="336"/>
      <c r="D23" s="336"/>
      <c r="E23" s="337"/>
      <c r="F23" s="338"/>
      <c r="G23" s="1120"/>
      <c r="H23" s="1121"/>
      <c r="I23" s="1121"/>
      <c r="J23" s="475"/>
      <c r="K23" s="1110">
        <f>SUM(J23:J24)</f>
        <v>0</v>
      </c>
      <c r="L23" s="1160" t="s">
        <v>512</v>
      </c>
      <c r="M23" s="1161"/>
      <c r="N23" s="1161"/>
      <c r="O23" s="1161"/>
      <c r="P23" s="735">
        <v>29503396</v>
      </c>
      <c r="Q23" s="1110">
        <f>SUM(P23:P24)</f>
        <v>38966057</v>
      </c>
      <c r="R23" s="340"/>
      <c r="S23" s="341"/>
      <c r="T23" s="341"/>
      <c r="U23" s="341"/>
      <c r="V23" s="342"/>
      <c r="W23" s="343"/>
      <c r="X23" s="344"/>
      <c r="Y23" s="345"/>
      <c r="Z23" s="346"/>
      <c r="AA23" s="347"/>
      <c r="AB23" s="348"/>
      <c r="AC23" s="349"/>
    </row>
    <row r="24" spans="1:223" s="440" customFormat="1" ht="19.5" customHeight="1" thickBot="1">
      <c r="A24" s="759"/>
      <c r="B24" s="1142" t="s">
        <v>95</v>
      </c>
      <c r="C24" s="1143"/>
      <c r="D24" s="760">
        <f>SUM('6. kiadások megbontása'!J54)</f>
        <v>50295760</v>
      </c>
      <c r="E24" s="761">
        <f>SUM('6. kiadások megbontása'!K54)</f>
        <v>701660</v>
      </c>
      <c r="F24" s="762">
        <f>SUM(D24:E24)</f>
        <v>50997420</v>
      </c>
      <c r="G24" s="1115"/>
      <c r="H24" s="1116"/>
      <c r="I24" s="1116"/>
      <c r="J24" s="763"/>
      <c r="K24" s="1111"/>
      <c r="L24" s="1112" t="s">
        <v>622</v>
      </c>
      <c r="M24" s="1113"/>
      <c r="N24" s="1113"/>
      <c r="O24" s="1113"/>
      <c r="P24" s="736">
        <v>9462661</v>
      </c>
      <c r="Q24" s="1111"/>
      <c r="R24" s="1112"/>
      <c r="S24" s="1113"/>
      <c r="T24" s="1113"/>
      <c r="U24" s="1113"/>
      <c r="V24" s="764"/>
      <c r="W24" s="765">
        <f>SUM(V24)</f>
        <v>0</v>
      </c>
      <c r="X24" s="766">
        <f>SUM(W24,Q23,K23)</f>
        <v>38966057</v>
      </c>
      <c r="Y24" s="767">
        <v>0</v>
      </c>
      <c r="Z24" s="768">
        <f>SUM(X24:Y24)</f>
        <v>38966057</v>
      </c>
      <c r="AA24" s="766">
        <f>X24-D24</f>
        <v>-11329703</v>
      </c>
      <c r="AB24" s="767">
        <f>Y24-E24</f>
        <v>-701660</v>
      </c>
      <c r="AC24" s="350">
        <f>SUM(AA24:AB24)</f>
        <v>-12031363</v>
      </c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  <c r="BA24" s="462"/>
      <c r="BB24" s="462"/>
      <c r="BC24" s="462"/>
      <c r="BD24" s="462"/>
      <c r="BE24" s="462"/>
      <c r="BF24" s="462"/>
      <c r="BG24" s="462"/>
      <c r="BH24" s="462"/>
      <c r="BI24" s="462"/>
      <c r="BJ24" s="462"/>
      <c r="BK24" s="462"/>
      <c r="BL24" s="462"/>
      <c r="BM24" s="462"/>
      <c r="BN24" s="462"/>
      <c r="BO24" s="462"/>
      <c r="BP24" s="462"/>
      <c r="BQ24" s="462"/>
      <c r="BR24" s="462"/>
      <c r="BS24" s="462"/>
      <c r="BT24" s="462"/>
      <c r="BU24" s="462"/>
      <c r="BV24" s="462"/>
      <c r="BW24" s="462"/>
      <c r="BX24" s="462"/>
      <c r="BY24" s="462"/>
      <c r="BZ24" s="462"/>
      <c r="CA24" s="462"/>
      <c r="CB24" s="462"/>
      <c r="CC24" s="462"/>
      <c r="CD24" s="462"/>
      <c r="CE24" s="462"/>
      <c r="CF24" s="462"/>
      <c r="CG24" s="462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2"/>
      <c r="DD24" s="462"/>
      <c r="DE24" s="462"/>
      <c r="DF24" s="462"/>
      <c r="DG24" s="462"/>
      <c r="DH24" s="462"/>
      <c r="DI24" s="462"/>
      <c r="DJ24" s="462"/>
      <c r="DK24" s="462"/>
      <c r="DL24" s="462"/>
      <c r="DM24" s="462"/>
      <c r="DN24" s="462"/>
      <c r="DO24" s="462"/>
      <c r="DP24" s="462"/>
      <c r="DQ24" s="462"/>
      <c r="DR24" s="462"/>
      <c r="DS24" s="462"/>
      <c r="DT24" s="462"/>
      <c r="DU24" s="462"/>
      <c r="DV24" s="462"/>
      <c r="DW24" s="462"/>
      <c r="DX24" s="462"/>
      <c r="DY24" s="462"/>
      <c r="DZ24" s="462"/>
      <c r="EA24" s="462"/>
      <c r="EB24" s="462"/>
      <c r="EC24" s="462"/>
      <c r="ED24" s="462"/>
      <c r="EE24" s="462"/>
      <c r="EF24" s="462"/>
      <c r="EG24" s="462"/>
      <c r="EH24" s="462"/>
      <c r="EI24" s="462"/>
      <c r="EJ24" s="462"/>
      <c r="EK24" s="462"/>
      <c r="EL24" s="462"/>
      <c r="EM24" s="462"/>
      <c r="EN24" s="462"/>
      <c r="EO24" s="462"/>
      <c r="EP24" s="462"/>
      <c r="EQ24" s="462"/>
      <c r="ER24" s="462"/>
      <c r="ES24" s="462"/>
      <c r="ET24" s="462"/>
      <c r="EU24" s="462"/>
      <c r="EV24" s="462"/>
      <c r="EW24" s="462"/>
      <c r="EX24" s="462"/>
      <c r="EY24" s="462"/>
      <c r="EZ24" s="462"/>
      <c r="FA24" s="462"/>
      <c r="FB24" s="462"/>
      <c r="FC24" s="462"/>
      <c r="FD24" s="462"/>
      <c r="FE24" s="462"/>
      <c r="FF24" s="462"/>
      <c r="FG24" s="462"/>
      <c r="FH24" s="462"/>
      <c r="FI24" s="462"/>
      <c r="FJ24" s="462"/>
      <c r="FK24" s="462"/>
      <c r="FL24" s="462"/>
      <c r="FM24" s="462"/>
      <c r="FN24" s="462"/>
      <c r="FO24" s="462"/>
      <c r="FP24" s="462"/>
      <c r="FQ24" s="462"/>
      <c r="FR24" s="462"/>
      <c r="FS24" s="462"/>
      <c r="FT24" s="462"/>
      <c r="FU24" s="462"/>
      <c r="FV24" s="462"/>
      <c r="FW24" s="462"/>
      <c r="FX24" s="462"/>
      <c r="FY24" s="462"/>
      <c r="FZ24" s="462"/>
      <c r="GA24" s="462"/>
      <c r="GB24" s="462"/>
      <c r="GC24" s="462"/>
      <c r="GD24" s="462"/>
      <c r="GE24" s="462"/>
      <c r="GF24" s="462"/>
      <c r="GG24" s="462"/>
      <c r="GH24" s="462"/>
      <c r="GI24" s="462"/>
      <c r="GJ24" s="462"/>
      <c r="GK24" s="462"/>
      <c r="GL24" s="462"/>
      <c r="GM24" s="462"/>
      <c r="GN24" s="462"/>
      <c r="GO24" s="462"/>
      <c r="GP24" s="462"/>
      <c r="GQ24" s="462"/>
      <c r="GR24" s="462"/>
      <c r="GS24" s="462"/>
      <c r="GT24" s="462"/>
      <c r="GU24" s="462"/>
      <c r="GV24" s="462"/>
      <c r="GW24" s="462"/>
      <c r="GX24" s="462"/>
      <c r="GY24" s="462"/>
      <c r="GZ24" s="462"/>
      <c r="HA24" s="462"/>
      <c r="HB24" s="462"/>
      <c r="HC24" s="462"/>
      <c r="HD24" s="462"/>
      <c r="HE24" s="462"/>
      <c r="HF24" s="462"/>
      <c r="HG24" s="462"/>
      <c r="HH24" s="462"/>
      <c r="HI24" s="462"/>
      <c r="HJ24" s="462"/>
      <c r="HK24" s="462"/>
      <c r="HL24" s="462"/>
      <c r="HM24" s="462"/>
      <c r="HN24" s="462"/>
      <c r="HO24" s="462"/>
    </row>
    <row r="25" spans="1:29" ht="16.5" customHeight="1" thickTop="1">
      <c r="A25" s="372"/>
      <c r="B25" s="325"/>
      <c r="C25" s="352"/>
      <c r="D25" s="353"/>
      <c r="E25" s="353"/>
      <c r="F25" s="326"/>
      <c r="G25" s="328"/>
      <c r="H25" s="329"/>
      <c r="I25" s="329"/>
      <c r="J25" s="354"/>
      <c r="K25" s="1110">
        <f>SUM(J25:J30)</f>
        <v>0</v>
      </c>
      <c r="L25" s="1084" t="s">
        <v>113</v>
      </c>
      <c r="M25" s="1085"/>
      <c r="N25" s="1085"/>
      <c r="O25" s="1085"/>
      <c r="P25" s="286">
        <v>2000000</v>
      </c>
      <c r="Q25" s="1110">
        <f>SUM(P25:P30)</f>
        <v>216235981</v>
      </c>
      <c r="R25" s="1089" t="s">
        <v>742</v>
      </c>
      <c r="S25" s="1090"/>
      <c r="T25" s="1090"/>
      <c r="U25" s="1090"/>
      <c r="V25" s="467">
        <v>5848600</v>
      </c>
      <c r="W25" s="1137">
        <f>SUM(V25:V30)</f>
        <v>11563600</v>
      </c>
      <c r="X25" s="355"/>
      <c r="Y25" s="356"/>
      <c r="Z25" s="357"/>
      <c r="AA25" s="355"/>
      <c r="AB25" s="356"/>
      <c r="AC25" s="338"/>
    </row>
    <row r="26" spans="1:29" ht="16.5" customHeight="1">
      <c r="A26" s="372"/>
      <c r="B26" s="325"/>
      <c r="C26" s="352"/>
      <c r="D26" s="353"/>
      <c r="E26" s="325"/>
      <c r="F26" s="326"/>
      <c r="G26" s="328"/>
      <c r="H26" s="329"/>
      <c r="I26" s="329"/>
      <c r="J26" s="354"/>
      <c r="K26" s="1078"/>
      <c r="L26" s="1084" t="s">
        <v>1133</v>
      </c>
      <c r="M26" s="1085"/>
      <c r="N26" s="1085"/>
      <c r="O26" s="1085"/>
      <c r="P26" s="286">
        <v>1100000</v>
      </c>
      <c r="Q26" s="1078"/>
      <c r="R26" s="777"/>
      <c r="S26" s="778"/>
      <c r="T26" s="778"/>
      <c r="U26" s="778"/>
      <c r="V26" s="467"/>
      <c r="W26" s="1138"/>
      <c r="X26" s="789"/>
      <c r="Y26" s="353"/>
      <c r="Z26" s="325"/>
      <c r="AA26" s="372"/>
      <c r="AB26" s="353"/>
      <c r="AC26" s="326"/>
    </row>
    <row r="27" spans="1:29" ht="24.75" customHeight="1">
      <c r="A27" s="372"/>
      <c r="B27" s="325"/>
      <c r="C27" s="352"/>
      <c r="D27" s="353"/>
      <c r="E27" s="325"/>
      <c r="F27" s="326"/>
      <c r="G27" s="328"/>
      <c r="H27" s="329"/>
      <c r="I27" s="329"/>
      <c r="J27" s="354"/>
      <c r="K27" s="1078"/>
      <c r="L27" s="1103" t="s">
        <v>914</v>
      </c>
      <c r="M27" s="1104"/>
      <c r="N27" s="1104"/>
      <c r="O27" s="1104"/>
      <c r="P27" s="286">
        <v>17772766</v>
      </c>
      <c r="Q27" s="1078"/>
      <c r="R27" s="1103" t="s">
        <v>743</v>
      </c>
      <c r="S27" s="1104"/>
      <c r="T27" s="1104"/>
      <c r="U27" s="1104"/>
      <c r="V27" s="467">
        <v>5715000</v>
      </c>
      <c r="W27" s="1138"/>
      <c r="X27" s="789"/>
      <c r="Y27" s="353"/>
      <c r="Z27" s="325"/>
      <c r="AA27" s="372"/>
      <c r="AB27" s="353"/>
      <c r="AC27" s="326"/>
    </row>
    <row r="28" spans="1:29" ht="27.75" customHeight="1">
      <c r="A28" s="372"/>
      <c r="B28" s="325"/>
      <c r="C28" s="352"/>
      <c r="D28" s="353"/>
      <c r="E28" s="325"/>
      <c r="F28" s="326"/>
      <c r="G28" s="328"/>
      <c r="H28" s="329"/>
      <c r="I28" s="329"/>
      <c r="J28" s="354"/>
      <c r="K28" s="1078"/>
      <c r="L28" s="1103" t="s">
        <v>912</v>
      </c>
      <c r="M28" s="1104"/>
      <c r="N28" s="1104"/>
      <c r="O28" s="1104"/>
      <c r="P28" s="464">
        <f>88971424+10976885</f>
        <v>99948309</v>
      </c>
      <c r="Q28" s="1078"/>
      <c r="R28" s="777"/>
      <c r="S28" s="778"/>
      <c r="T28" s="778"/>
      <c r="U28" s="778"/>
      <c r="V28" s="467"/>
      <c r="W28" s="1138"/>
      <c r="X28" s="789"/>
      <c r="Y28" s="353"/>
      <c r="Z28" s="325"/>
      <c r="AA28" s="372"/>
      <c r="AB28" s="353"/>
      <c r="AC28" s="326"/>
    </row>
    <row r="29" spans="1:29" ht="26.25" customHeight="1">
      <c r="A29" s="372"/>
      <c r="B29" s="325"/>
      <c r="C29" s="352"/>
      <c r="D29" s="353"/>
      <c r="E29" s="325"/>
      <c r="F29" s="326"/>
      <c r="G29" s="328"/>
      <c r="H29" s="329"/>
      <c r="I29" s="329"/>
      <c r="J29" s="354"/>
      <c r="K29" s="1078"/>
      <c r="L29" s="1103" t="s">
        <v>913</v>
      </c>
      <c r="M29" s="1104"/>
      <c r="N29" s="1104"/>
      <c r="O29" s="1104"/>
      <c r="P29" s="286">
        <v>32379432</v>
      </c>
      <c r="Q29" s="1078"/>
      <c r="R29" s="777"/>
      <c r="S29" s="778"/>
      <c r="T29" s="778"/>
      <c r="U29" s="778"/>
      <c r="V29" s="467"/>
      <c r="W29" s="1138"/>
      <c r="X29" s="789"/>
      <c r="Y29" s="353"/>
      <c r="Z29" s="325"/>
      <c r="AA29" s="372"/>
      <c r="AB29" s="353"/>
      <c r="AC29" s="326"/>
    </row>
    <row r="30" spans="1:29" ht="25.5" customHeight="1" thickBot="1">
      <c r="A30" s="1157" t="s">
        <v>483</v>
      </c>
      <c r="B30" s="1158"/>
      <c r="C30" s="1159"/>
      <c r="D30" s="358">
        <f>SUM('6. kiadások megbontása'!G54)</f>
        <v>285088610</v>
      </c>
      <c r="E30" s="305">
        <f>SUM('6. kiadások megbontása'!H54)</f>
        <v>325539540</v>
      </c>
      <c r="F30" s="306">
        <f>SUM(D30:E30)</f>
        <v>610628150</v>
      </c>
      <c r="G30" s="359"/>
      <c r="H30" s="289"/>
      <c r="I30" s="289"/>
      <c r="J30" s="317"/>
      <c r="K30" s="1086"/>
      <c r="L30" s="1103" t="s">
        <v>817</v>
      </c>
      <c r="M30" s="1104"/>
      <c r="N30" s="1104"/>
      <c r="O30" s="1104"/>
      <c r="P30" s="286">
        <v>63035474</v>
      </c>
      <c r="Q30" s="1086"/>
      <c r="R30" s="1140"/>
      <c r="S30" s="1141"/>
      <c r="T30" s="1141"/>
      <c r="U30" s="1141"/>
      <c r="V30" s="466"/>
      <c r="W30" s="1139"/>
      <c r="X30" s="360">
        <f>SUM(W25,Q25,K25)</f>
        <v>227799581</v>
      </c>
      <c r="Y30" s="319">
        <f>SUM(Q31,W31,K31)</f>
        <v>317958823</v>
      </c>
      <c r="Z30" s="320">
        <f>SUM(X30:Y30)</f>
        <v>545758404</v>
      </c>
      <c r="AA30" s="318">
        <f>X30-D30</f>
        <v>-57289029</v>
      </c>
      <c r="AB30" s="319">
        <f>Y30-E30</f>
        <v>-7580717</v>
      </c>
      <c r="AC30" s="321">
        <f>SUM(AA30:AB30)</f>
        <v>-64869746</v>
      </c>
    </row>
    <row r="31" spans="1:29" ht="42" customHeight="1">
      <c r="A31" s="301"/>
      <c r="B31" s="302"/>
      <c r="C31" s="303"/>
      <c r="D31" s="358"/>
      <c r="E31" s="305"/>
      <c r="F31" s="306"/>
      <c r="G31" s="597"/>
      <c r="H31" s="598"/>
      <c r="I31" s="598"/>
      <c r="J31" s="333"/>
      <c r="K31" s="1077">
        <f>SUM(J34:J34)</f>
        <v>0</v>
      </c>
      <c r="L31" s="1082" t="s">
        <v>812</v>
      </c>
      <c r="M31" s="1083"/>
      <c r="N31" s="1083"/>
      <c r="O31" s="1083"/>
      <c r="P31" s="734">
        <v>21694288</v>
      </c>
      <c r="Q31" s="1077">
        <f>SUM(P31:P34)</f>
        <v>49593039</v>
      </c>
      <c r="R31" s="1089" t="s">
        <v>740</v>
      </c>
      <c r="S31" s="1090"/>
      <c r="T31" s="1090"/>
      <c r="U31" s="1090"/>
      <c r="V31" s="468">
        <f>276567184-8201400</f>
        <v>268365784</v>
      </c>
      <c r="W31" s="1063">
        <f>SUM(V31:V34)</f>
        <v>268365784</v>
      </c>
      <c r="X31" s="361"/>
      <c r="Y31" s="319"/>
      <c r="Z31" s="320"/>
      <c r="AA31" s="318"/>
      <c r="AB31" s="319"/>
      <c r="AC31" s="321"/>
    </row>
    <row r="32" spans="1:29" ht="26.25" customHeight="1">
      <c r="A32" s="301"/>
      <c r="B32" s="302"/>
      <c r="C32" s="303"/>
      <c r="D32" s="358"/>
      <c r="E32" s="305"/>
      <c r="F32" s="306"/>
      <c r="G32" s="359"/>
      <c r="H32" s="289"/>
      <c r="I32" s="289"/>
      <c r="J32" s="317"/>
      <c r="K32" s="1078"/>
      <c r="L32" s="1103" t="s">
        <v>814</v>
      </c>
      <c r="M32" s="1104"/>
      <c r="N32" s="1104"/>
      <c r="O32" s="1104"/>
      <c r="P32" s="464">
        <v>9889960</v>
      </c>
      <c r="Q32" s="1078"/>
      <c r="R32" s="777"/>
      <c r="S32" s="778"/>
      <c r="T32" s="778"/>
      <c r="U32" s="778"/>
      <c r="V32" s="468"/>
      <c r="W32" s="1068"/>
      <c r="X32" s="361"/>
      <c r="Y32" s="319"/>
      <c r="Z32" s="320"/>
      <c r="AA32" s="318"/>
      <c r="AB32" s="319"/>
      <c r="AC32" s="321"/>
    </row>
    <row r="33" spans="1:29" ht="26.25" customHeight="1">
      <c r="A33" s="301"/>
      <c r="B33" s="302"/>
      <c r="C33" s="303"/>
      <c r="D33" s="358"/>
      <c r="E33" s="305"/>
      <c r="F33" s="306"/>
      <c r="G33" s="359"/>
      <c r="H33" s="289"/>
      <c r="I33" s="289"/>
      <c r="J33" s="317"/>
      <c r="K33" s="1078"/>
      <c r="L33" s="1103" t="s">
        <v>915</v>
      </c>
      <c r="M33" s="1104"/>
      <c r="N33" s="1104"/>
      <c r="O33" s="1104"/>
      <c r="P33" s="464">
        <v>2497100</v>
      </c>
      <c r="Q33" s="1078"/>
      <c r="R33" s="777"/>
      <c r="S33" s="778"/>
      <c r="T33" s="778"/>
      <c r="U33" s="778"/>
      <c r="V33" s="468"/>
      <c r="W33" s="1068"/>
      <c r="X33" s="361"/>
      <c r="Y33" s="319"/>
      <c r="Z33" s="320"/>
      <c r="AA33" s="318"/>
      <c r="AB33" s="319"/>
      <c r="AC33" s="321"/>
    </row>
    <row r="34" spans="1:29" ht="27" customHeight="1" thickBot="1">
      <c r="A34" s="1157"/>
      <c r="B34" s="1158"/>
      <c r="C34" s="1159"/>
      <c r="D34" s="358"/>
      <c r="E34" s="305"/>
      <c r="F34" s="306"/>
      <c r="G34" s="650"/>
      <c r="H34" s="651"/>
      <c r="I34" s="651"/>
      <c r="J34" s="652"/>
      <c r="K34" s="1086"/>
      <c r="L34" s="1140" t="s">
        <v>911</v>
      </c>
      <c r="M34" s="1141"/>
      <c r="N34" s="1141"/>
      <c r="O34" s="1141"/>
      <c r="P34" s="649">
        <v>15511691</v>
      </c>
      <c r="Q34" s="1086"/>
      <c r="R34" s="1057"/>
      <c r="S34" s="1058"/>
      <c r="T34" s="1058"/>
      <c r="U34" s="1058"/>
      <c r="V34" s="468"/>
      <c r="W34" s="1064"/>
      <c r="X34" s="361"/>
      <c r="Y34" s="362"/>
      <c r="Z34" s="320"/>
      <c r="AA34" s="318"/>
      <c r="AB34" s="319"/>
      <c r="AC34" s="311"/>
    </row>
    <row r="35" spans="1:223" s="440" customFormat="1" ht="25.5" customHeight="1" thickBot="1">
      <c r="A35" s="1163" t="s">
        <v>96</v>
      </c>
      <c r="B35" s="1164"/>
      <c r="C35" s="1165"/>
      <c r="D35" s="738">
        <f>SUM(D9:D34)</f>
        <v>958577615</v>
      </c>
      <c r="E35" s="739">
        <f>SUM(E8:E34)</f>
        <v>410128191</v>
      </c>
      <c r="F35" s="740">
        <f>SUM(F8:F34)</f>
        <v>1368705806</v>
      </c>
      <c r="G35" s="456"/>
      <c r="H35" s="1166" t="s">
        <v>97</v>
      </c>
      <c r="I35" s="1167"/>
      <c r="J35" s="1168"/>
      <c r="K35" s="771">
        <f>SUM(K8:K31)</f>
        <v>228487876</v>
      </c>
      <c r="L35" s="454"/>
      <c r="M35" s="1092" t="s">
        <v>98</v>
      </c>
      <c r="N35" s="1092"/>
      <c r="O35" s="1092"/>
      <c r="P35" s="1093"/>
      <c r="Q35" s="771">
        <f>SUM(Q8:Q31)</f>
        <v>486212738</v>
      </c>
      <c r="R35" s="454"/>
      <c r="S35" s="1092" t="s">
        <v>99</v>
      </c>
      <c r="T35" s="1092"/>
      <c r="U35" s="1092"/>
      <c r="V35" s="1093"/>
      <c r="W35" s="771">
        <f>SUM(W8:W31)</f>
        <v>696306500</v>
      </c>
      <c r="X35" s="772">
        <f>SUM(X8:X34)</f>
        <v>968540346</v>
      </c>
      <c r="Y35" s="745">
        <f>SUM(Y8:Y34)</f>
        <v>442466768</v>
      </c>
      <c r="Z35" s="746">
        <f>SUM(X35:Y35)</f>
        <v>1411007114</v>
      </c>
      <c r="AA35" s="747">
        <f>SUM(AA11:AA34)</f>
        <v>9962731</v>
      </c>
      <c r="AB35" s="748">
        <f>SUM(AB10:AB34)</f>
        <v>32338577</v>
      </c>
      <c r="AC35" s="773">
        <f>SUM(AA35:AB35)</f>
        <v>42301308</v>
      </c>
      <c r="AD35" s="462"/>
      <c r="AE35" s="462"/>
      <c r="AF35" s="462"/>
      <c r="AG35" s="462"/>
      <c r="AH35" s="462"/>
      <c r="AI35" s="462"/>
      <c r="AJ35" s="462"/>
      <c r="AK35" s="462"/>
      <c r="AL35" s="462"/>
      <c r="AM35" s="462"/>
      <c r="AN35" s="462"/>
      <c r="AO35" s="462"/>
      <c r="AP35" s="462"/>
      <c r="AQ35" s="462"/>
      <c r="AR35" s="462"/>
      <c r="AS35" s="462"/>
      <c r="AT35" s="462"/>
      <c r="AU35" s="462"/>
      <c r="AV35" s="462"/>
      <c r="AW35" s="462"/>
      <c r="AX35" s="462"/>
      <c r="AY35" s="462"/>
      <c r="AZ35" s="462"/>
      <c r="BA35" s="462"/>
      <c r="BB35" s="462"/>
      <c r="BC35" s="462"/>
      <c r="BD35" s="462"/>
      <c r="BE35" s="462"/>
      <c r="BF35" s="462"/>
      <c r="BG35" s="462"/>
      <c r="BH35" s="462"/>
      <c r="BI35" s="462"/>
      <c r="BJ35" s="462"/>
      <c r="BK35" s="462"/>
      <c r="BL35" s="462"/>
      <c r="BM35" s="462"/>
      <c r="BN35" s="462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462"/>
      <c r="CB35" s="462"/>
      <c r="CC35" s="462"/>
      <c r="CD35" s="462"/>
      <c r="CE35" s="462"/>
      <c r="CF35" s="462"/>
      <c r="CG35" s="462"/>
      <c r="CH35" s="462"/>
      <c r="CI35" s="462"/>
      <c r="CJ35" s="462"/>
      <c r="CK35" s="462"/>
      <c r="CL35" s="462"/>
      <c r="CM35" s="462"/>
      <c r="CN35" s="462"/>
      <c r="CO35" s="462"/>
      <c r="CP35" s="462"/>
      <c r="CQ35" s="462"/>
      <c r="CR35" s="462"/>
      <c r="CS35" s="462"/>
      <c r="CT35" s="462"/>
      <c r="CU35" s="462"/>
      <c r="CV35" s="462"/>
      <c r="CW35" s="462"/>
      <c r="CX35" s="462"/>
      <c r="CY35" s="462"/>
      <c r="CZ35" s="462"/>
      <c r="DA35" s="462"/>
      <c r="DB35" s="462"/>
      <c r="DC35" s="462"/>
      <c r="DD35" s="462"/>
      <c r="DE35" s="462"/>
      <c r="DF35" s="462"/>
      <c r="DG35" s="462"/>
      <c r="DH35" s="462"/>
      <c r="DI35" s="462"/>
      <c r="DJ35" s="462"/>
      <c r="DK35" s="462"/>
      <c r="DL35" s="462"/>
      <c r="DM35" s="462"/>
      <c r="DN35" s="462"/>
      <c r="DO35" s="462"/>
      <c r="DP35" s="462"/>
      <c r="DQ35" s="462"/>
      <c r="DR35" s="462"/>
      <c r="DS35" s="462"/>
      <c r="DT35" s="462"/>
      <c r="DU35" s="462"/>
      <c r="DV35" s="462"/>
      <c r="DW35" s="462"/>
      <c r="DX35" s="462"/>
      <c r="DY35" s="462"/>
      <c r="DZ35" s="462"/>
      <c r="EA35" s="462"/>
      <c r="EB35" s="462"/>
      <c r="EC35" s="462"/>
      <c r="ED35" s="462"/>
      <c r="EE35" s="462"/>
      <c r="EF35" s="462"/>
      <c r="EG35" s="462"/>
      <c r="EH35" s="462"/>
      <c r="EI35" s="462"/>
      <c r="EJ35" s="462"/>
      <c r="EK35" s="462"/>
      <c r="EL35" s="462"/>
      <c r="EM35" s="462"/>
      <c r="EN35" s="462"/>
      <c r="EO35" s="462"/>
      <c r="EP35" s="462"/>
      <c r="EQ35" s="462"/>
      <c r="ER35" s="462"/>
      <c r="ES35" s="462"/>
      <c r="ET35" s="462"/>
      <c r="EU35" s="462"/>
      <c r="EV35" s="462"/>
      <c r="EW35" s="462"/>
      <c r="EX35" s="462"/>
      <c r="EY35" s="462"/>
      <c r="EZ35" s="462"/>
      <c r="FA35" s="462"/>
      <c r="FB35" s="462"/>
      <c r="FC35" s="462"/>
      <c r="FD35" s="462"/>
      <c r="FE35" s="462"/>
      <c r="FF35" s="462"/>
      <c r="FG35" s="462"/>
      <c r="FH35" s="462"/>
      <c r="FI35" s="462"/>
      <c r="FJ35" s="462"/>
      <c r="FK35" s="462"/>
      <c r="FL35" s="462"/>
      <c r="FM35" s="462"/>
      <c r="FN35" s="462"/>
      <c r="FO35" s="462"/>
      <c r="FP35" s="462"/>
      <c r="FQ35" s="462"/>
      <c r="FR35" s="462"/>
      <c r="FS35" s="462"/>
      <c r="FT35" s="462"/>
      <c r="FU35" s="462"/>
      <c r="FV35" s="462"/>
      <c r="FW35" s="462"/>
      <c r="FX35" s="462"/>
      <c r="FY35" s="462"/>
      <c r="FZ35" s="462"/>
      <c r="GA35" s="462"/>
      <c r="GB35" s="462"/>
      <c r="GC35" s="462"/>
      <c r="GD35" s="462"/>
      <c r="GE35" s="462"/>
      <c r="GF35" s="462"/>
      <c r="GG35" s="462"/>
      <c r="GH35" s="462"/>
      <c r="GI35" s="462"/>
      <c r="GJ35" s="462"/>
      <c r="GK35" s="462"/>
      <c r="GL35" s="462"/>
      <c r="GM35" s="462"/>
      <c r="GN35" s="462"/>
      <c r="GO35" s="462"/>
      <c r="GP35" s="462"/>
      <c r="GQ35" s="462"/>
      <c r="GR35" s="462"/>
      <c r="GS35" s="462"/>
      <c r="GT35" s="462"/>
      <c r="GU35" s="462"/>
      <c r="GV35" s="462"/>
      <c r="GW35" s="462"/>
      <c r="GX35" s="462"/>
      <c r="GY35" s="462"/>
      <c r="GZ35" s="462"/>
      <c r="HA35" s="462"/>
      <c r="HB35" s="462"/>
      <c r="HC35" s="462"/>
      <c r="HD35" s="462"/>
      <c r="HE35" s="462"/>
      <c r="HF35" s="462"/>
      <c r="HG35" s="462"/>
      <c r="HH35" s="462"/>
      <c r="HI35" s="462"/>
      <c r="HJ35" s="462"/>
      <c r="HK35" s="462"/>
      <c r="HL35" s="462"/>
      <c r="HM35" s="462"/>
      <c r="HN35" s="462"/>
      <c r="HO35" s="462"/>
    </row>
    <row r="36" spans="1:29" ht="27.75" customHeight="1" thickBot="1" thickTop="1">
      <c r="A36" s="1151" t="s">
        <v>100</v>
      </c>
      <c r="B36" s="1169"/>
      <c r="C36" s="1170"/>
      <c r="D36" s="1155" t="s">
        <v>358</v>
      </c>
      <c r="E36" s="1105"/>
      <c r="F36" s="1156"/>
      <c r="G36" s="1127" t="s">
        <v>507</v>
      </c>
      <c r="H36" s="1105"/>
      <c r="I36" s="1105"/>
      <c r="J36" s="1105"/>
      <c r="K36" s="1106"/>
      <c r="L36" s="1071" t="s">
        <v>508</v>
      </c>
      <c r="M36" s="1105"/>
      <c r="N36" s="1105"/>
      <c r="O36" s="1105"/>
      <c r="P36" s="1105"/>
      <c r="Q36" s="1106"/>
      <c r="R36" s="1071" t="s">
        <v>509</v>
      </c>
      <c r="S36" s="1105"/>
      <c r="T36" s="1105"/>
      <c r="U36" s="1105"/>
      <c r="V36" s="1105"/>
      <c r="W36" s="1156"/>
      <c r="X36" s="1094" t="s">
        <v>510</v>
      </c>
      <c r="Y36" s="1095"/>
      <c r="Z36" s="1095"/>
      <c r="AA36" s="1148" t="s">
        <v>90</v>
      </c>
      <c r="AB36" s="1149"/>
      <c r="AC36" s="1150"/>
    </row>
    <row r="37" spans="1:223" s="368" customFormat="1" ht="18.75" customHeight="1" thickBot="1" thickTop="1">
      <c r="A37" s="1171"/>
      <c r="B37" s="1172"/>
      <c r="C37" s="1173"/>
      <c r="D37" s="439" t="s">
        <v>91</v>
      </c>
      <c r="E37" s="770" t="s">
        <v>87</v>
      </c>
      <c r="F37" s="280" t="s">
        <v>92</v>
      </c>
      <c r="G37" s="1174"/>
      <c r="H37" s="1108"/>
      <c r="I37" s="1108"/>
      <c r="J37" s="1175"/>
      <c r="K37" s="1109"/>
      <c r="L37" s="1107"/>
      <c r="M37" s="1108"/>
      <c r="N37" s="1108"/>
      <c r="O37" s="1108"/>
      <c r="P37" s="1108"/>
      <c r="Q37" s="1109"/>
      <c r="R37" s="1107"/>
      <c r="S37" s="1108"/>
      <c r="T37" s="1108"/>
      <c r="U37" s="1108"/>
      <c r="V37" s="1108"/>
      <c r="W37" s="1162"/>
      <c r="X37" s="755" t="s">
        <v>91</v>
      </c>
      <c r="Y37" s="758" t="s">
        <v>87</v>
      </c>
      <c r="Z37" s="280" t="s">
        <v>92</v>
      </c>
      <c r="AA37" s="750" t="s">
        <v>91</v>
      </c>
      <c r="AB37" s="439" t="s">
        <v>87</v>
      </c>
      <c r="AC37" s="280" t="s">
        <v>92</v>
      </c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7"/>
      <c r="DG37" s="277"/>
      <c r="DH37" s="277"/>
      <c r="DI37" s="277"/>
      <c r="DJ37" s="277"/>
      <c r="DK37" s="277"/>
      <c r="DL37" s="277"/>
      <c r="DM37" s="277"/>
      <c r="DN37" s="277"/>
      <c r="DO37" s="277"/>
      <c r="DP37" s="277"/>
      <c r="DQ37" s="277"/>
      <c r="DR37" s="277"/>
      <c r="DS37" s="277"/>
      <c r="DT37" s="277"/>
      <c r="DU37" s="277"/>
      <c r="DV37" s="277"/>
      <c r="DW37" s="277"/>
      <c r="DX37" s="277"/>
      <c r="DY37" s="277"/>
      <c r="DZ37" s="277"/>
      <c r="EA37" s="277"/>
      <c r="EB37" s="277"/>
      <c r="EC37" s="277"/>
      <c r="ED37" s="277"/>
      <c r="EE37" s="277"/>
      <c r="EF37" s="277"/>
      <c r="EG37" s="277"/>
      <c r="EH37" s="277"/>
      <c r="EI37" s="277"/>
      <c r="EJ37" s="277"/>
      <c r="EK37" s="277"/>
      <c r="EL37" s="277"/>
      <c r="EM37" s="277"/>
      <c r="EN37" s="277"/>
      <c r="EO37" s="277"/>
      <c r="EP37" s="277"/>
      <c r="EQ37" s="277"/>
      <c r="ER37" s="277"/>
      <c r="ES37" s="277"/>
      <c r="ET37" s="277"/>
      <c r="EU37" s="277"/>
      <c r="EV37" s="277"/>
      <c r="EW37" s="277"/>
      <c r="EX37" s="277"/>
      <c r="EY37" s="277"/>
      <c r="EZ37" s="277"/>
      <c r="FA37" s="277"/>
      <c r="FB37" s="277"/>
      <c r="FC37" s="277"/>
      <c r="FD37" s="277"/>
      <c r="FE37" s="277"/>
      <c r="FF37" s="277"/>
      <c r="FG37" s="277"/>
      <c r="FH37" s="277"/>
      <c r="FI37" s="277"/>
      <c r="FJ37" s="277"/>
      <c r="FK37" s="277"/>
      <c r="FL37" s="277"/>
      <c r="FM37" s="277"/>
      <c r="FN37" s="277"/>
      <c r="FO37" s="277"/>
      <c r="FP37" s="277"/>
      <c r="FQ37" s="277"/>
      <c r="FR37" s="277"/>
      <c r="FS37" s="277"/>
      <c r="FT37" s="277"/>
      <c r="FU37" s="277"/>
      <c r="FV37" s="277"/>
      <c r="FW37" s="277"/>
      <c r="FX37" s="277"/>
      <c r="FY37" s="277"/>
      <c r="FZ37" s="277"/>
      <c r="GA37" s="277"/>
      <c r="GB37" s="277"/>
      <c r="GC37" s="277"/>
      <c r="GD37" s="277"/>
      <c r="GE37" s="277"/>
      <c r="GF37" s="277"/>
      <c r="GG37" s="277"/>
      <c r="GH37" s="277"/>
      <c r="GI37" s="277"/>
      <c r="GJ37" s="277"/>
      <c r="GK37" s="277"/>
      <c r="GL37" s="277"/>
      <c r="GM37" s="277"/>
      <c r="GN37" s="277"/>
      <c r="GO37" s="277"/>
      <c r="GP37" s="277"/>
      <c r="GQ37" s="277"/>
      <c r="GR37" s="277"/>
      <c r="GS37" s="277"/>
      <c r="GT37" s="277"/>
      <c r="GU37" s="277"/>
      <c r="GV37" s="277"/>
      <c r="GW37" s="277"/>
      <c r="GX37" s="277"/>
      <c r="GY37" s="277"/>
      <c r="GZ37" s="277"/>
      <c r="HA37" s="277"/>
      <c r="HB37" s="277"/>
      <c r="HC37" s="277"/>
      <c r="HD37" s="277"/>
      <c r="HE37" s="277"/>
      <c r="HF37" s="277"/>
      <c r="HG37" s="277"/>
      <c r="HH37" s="277"/>
      <c r="HI37" s="277"/>
      <c r="HJ37" s="277"/>
      <c r="HK37" s="277"/>
      <c r="HL37" s="277"/>
      <c r="HM37" s="277"/>
      <c r="HN37" s="277"/>
      <c r="HO37" s="277"/>
    </row>
    <row r="38" spans="1:29" ht="12.75" customHeight="1">
      <c r="A38" s="281"/>
      <c r="B38" s="325"/>
      <c r="C38" s="325"/>
      <c r="D38" s="353"/>
      <c r="E38" s="325"/>
      <c r="F38" s="285"/>
      <c r="G38" s="1223" t="s">
        <v>459</v>
      </c>
      <c r="H38" s="1224"/>
      <c r="I38" s="1224"/>
      <c r="J38" s="1101">
        <v>120637200</v>
      </c>
      <c r="K38" s="1176">
        <f>SUM(J38:J42)</f>
        <v>121138877</v>
      </c>
      <c r="L38" s="1059" t="s">
        <v>739</v>
      </c>
      <c r="M38" s="1060"/>
      <c r="N38" s="1060"/>
      <c r="O38" s="1060"/>
      <c r="P38" s="1061">
        <v>5650000</v>
      </c>
      <c r="Q38" s="1077">
        <f>SUM(P38:P42)</f>
        <v>9900472</v>
      </c>
      <c r="R38" s="1123" t="s">
        <v>866</v>
      </c>
      <c r="S38" s="1124"/>
      <c r="T38" s="1124"/>
      <c r="U38" s="1124"/>
      <c r="V38" s="1061">
        <v>250000</v>
      </c>
      <c r="W38" s="1063">
        <f>SUM(V38:V42)</f>
        <v>5616285</v>
      </c>
      <c r="X38" s="369"/>
      <c r="Y38" s="370"/>
      <c r="Z38" s="371"/>
      <c r="AA38" s="281"/>
      <c r="AB38" s="299"/>
      <c r="AC38" s="300"/>
    </row>
    <row r="39" spans="1:29" ht="12.75" customHeight="1">
      <c r="A39" s="372"/>
      <c r="B39" s="323"/>
      <c r="C39" s="323"/>
      <c r="D39" s="373"/>
      <c r="E39" s="325"/>
      <c r="F39" s="326"/>
      <c r="G39" s="1225"/>
      <c r="H39" s="1226"/>
      <c r="I39" s="1226"/>
      <c r="J39" s="1102"/>
      <c r="K39" s="1078"/>
      <c r="L39" s="1089"/>
      <c r="M39" s="1090"/>
      <c r="N39" s="1090"/>
      <c r="O39" s="1090"/>
      <c r="P39" s="1091"/>
      <c r="Q39" s="1078"/>
      <c r="R39" s="1084"/>
      <c r="S39" s="1085"/>
      <c r="T39" s="1085"/>
      <c r="U39" s="1085"/>
      <c r="V39" s="1091"/>
      <c r="W39" s="1068"/>
      <c r="X39" s="374"/>
      <c r="Y39" s="308"/>
      <c r="Z39" s="298"/>
      <c r="AA39" s="309"/>
      <c r="AB39" s="310"/>
      <c r="AC39" s="311"/>
    </row>
    <row r="40" spans="1:29" ht="24.75" customHeight="1">
      <c r="A40" s="372"/>
      <c r="B40" s="1158" t="s">
        <v>482</v>
      </c>
      <c r="C40" s="1159"/>
      <c r="D40" s="358">
        <f>SUM('6. kiadások megbontása'!D58)</f>
        <v>129626952</v>
      </c>
      <c r="E40" s="305">
        <f>SUM('6. kiadások megbontása'!E58)</f>
        <v>1229404</v>
      </c>
      <c r="F40" s="306">
        <f>SUM(D40:E40)</f>
        <v>130856356</v>
      </c>
      <c r="G40" s="1135" t="s">
        <v>916</v>
      </c>
      <c r="H40" s="1090"/>
      <c r="I40" s="1090"/>
      <c r="J40" s="469">
        <v>460075</v>
      </c>
      <c r="K40" s="1078"/>
      <c r="L40" s="1089" t="s">
        <v>115</v>
      </c>
      <c r="M40" s="1090"/>
      <c r="N40" s="1090"/>
      <c r="O40" s="1090"/>
      <c r="P40" s="464">
        <v>368160</v>
      </c>
      <c r="Q40" s="1078"/>
      <c r="R40" s="1084" t="s">
        <v>513</v>
      </c>
      <c r="S40" s="1085"/>
      <c r="T40" s="1085"/>
      <c r="U40" s="1085"/>
      <c r="V40" s="463">
        <v>4926466</v>
      </c>
      <c r="W40" s="1068"/>
      <c r="X40" s="374">
        <f>SUM(W38,Q38,K38)</f>
        <v>136655634</v>
      </c>
      <c r="Y40" s="308">
        <v>0</v>
      </c>
      <c r="Z40" s="320">
        <f>SUM(Y40,X40)</f>
        <v>136655634</v>
      </c>
      <c r="AA40" s="318">
        <f>X40-D40</f>
        <v>7028682</v>
      </c>
      <c r="AB40" s="319">
        <f>Y40-E40</f>
        <v>-1229404</v>
      </c>
      <c r="AC40" s="311">
        <f>SUM(AA40:AB40)</f>
        <v>5799278</v>
      </c>
    </row>
    <row r="41" spans="1:29" ht="18" customHeight="1">
      <c r="A41" s="372"/>
      <c r="B41" s="302"/>
      <c r="C41" s="302"/>
      <c r="D41" s="358"/>
      <c r="E41" s="305"/>
      <c r="F41" s="306"/>
      <c r="G41" s="1114" t="s">
        <v>921</v>
      </c>
      <c r="H41" s="1114"/>
      <c r="I41" s="1114"/>
      <c r="J41" s="286">
        <v>41602</v>
      </c>
      <c r="K41" s="1078"/>
      <c r="L41" s="1089" t="s">
        <v>819</v>
      </c>
      <c r="M41" s="1090"/>
      <c r="N41" s="1090"/>
      <c r="O41" s="1090"/>
      <c r="P41" s="464">
        <f>581210+1294188</f>
        <v>1875398</v>
      </c>
      <c r="Q41" s="1078"/>
      <c r="R41" s="1084" t="s">
        <v>746</v>
      </c>
      <c r="S41" s="1085"/>
      <c r="T41" s="1085"/>
      <c r="U41" s="1085"/>
      <c r="V41" s="463">
        <v>439819</v>
      </c>
      <c r="W41" s="1068"/>
      <c r="X41" s="374"/>
      <c r="Y41" s="308"/>
      <c r="Z41" s="320"/>
      <c r="AA41" s="318"/>
      <c r="AB41" s="319"/>
      <c r="AC41" s="311"/>
    </row>
    <row r="42" spans="1:29" ht="23.25" customHeight="1" thickBot="1">
      <c r="A42" s="372"/>
      <c r="B42" s="323"/>
      <c r="C42" s="323"/>
      <c r="D42" s="375"/>
      <c r="E42" s="376"/>
      <c r="F42" s="377"/>
      <c r="G42" s="289"/>
      <c r="H42" s="289"/>
      <c r="I42" s="289"/>
      <c r="J42" s="378"/>
      <c r="K42" s="1078"/>
      <c r="L42" s="1089" t="s">
        <v>895</v>
      </c>
      <c r="M42" s="1090"/>
      <c r="N42" s="1090"/>
      <c r="O42" s="1090"/>
      <c r="P42" s="464">
        <f>1969798+37116</f>
        <v>2006914</v>
      </c>
      <c r="Q42" s="1078"/>
      <c r="R42" s="1084"/>
      <c r="S42" s="1085"/>
      <c r="T42" s="1085"/>
      <c r="U42" s="1085"/>
      <c r="V42" s="469"/>
      <c r="W42" s="1068"/>
      <c r="X42" s="374"/>
      <c r="Y42" s="308"/>
      <c r="Z42" s="298"/>
      <c r="AA42" s="309"/>
      <c r="AB42" s="310"/>
      <c r="AC42" s="311"/>
    </row>
    <row r="43" spans="1:29" ht="16.5" thickBot="1">
      <c r="A43" s="1227" t="s">
        <v>101</v>
      </c>
      <c r="B43" s="1228"/>
      <c r="C43" s="1229"/>
      <c r="D43" s="443">
        <f>SUM(D38:D42)</f>
        <v>129626952</v>
      </c>
      <c r="E43" s="444">
        <f>SUM(E38:E42)</f>
        <v>1229404</v>
      </c>
      <c r="F43" s="445">
        <f>SUM(F38:F42)</f>
        <v>130856356</v>
      </c>
      <c r="G43" s="448"/>
      <c r="H43" s="1219" t="s">
        <v>97</v>
      </c>
      <c r="I43" s="1220"/>
      <c r="J43" s="1221"/>
      <c r="K43" s="449">
        <f>SUM(K38:K42)</f>
        <v>121138877</v>
      </c>
      <c r="L43" s="363"/>
      <c r="M43" s="1177" t="s">
        <v>98</v>
      </c>
      <c r="N43" s="1177"/>
      <c r="O43" s="1177"/>
      <c r="P43" s="1178"/>
      <c r="Q43" s="449">
        <f>SUM(Q38:Q42)</f>
        <v>9900472</v>
      </c>
      <c r="R43" s="415"/>
      <c r="S43" s="1177" t="s">
        <v>99</v>
      </c>
      <c r="T43" s="1177"/>
      <c r="U43" s="1177"/>
      <c r="V43" s="1178"/>
      <c r="W43" s="450">
        <f>SUM(W38:W42)</f>
        <v>5616285</v>
      </c>
      <c r="X43" s="451">
        <f>SUM(X38:X42)</f>
        <v>136655634</v>
      </c>
      <c r="Y43" s="364">
        <v>0</v>
      </c>
      <c r="Z43" s="365">
        <f>SUM(X43:Y43)</f>
        <v>136655634</v>
      </c>
      <c r="AA43" s="366">
        <f>X43-D43</f>
        <v>7028682</v>
      </c>
      <c r="AB43" s="367">
        <f>Y43-E43</f>
        <v>-1229404</v>
      </c>
      <c r="AC43" s="452">
        <f>SUM(AA43:AB43)</f>
        <v>5799278</v>
      </c>
    </row>
    <row r="44" spans="1:29" ht="27.75" customHeight="1" thickBot="1" thickTop="1">
      <c r="A44" s="1151" t="s">
        <v>780</v>
      </c>
      <c r="B44" s="1169"/>
      <c r="C44" s="1170"/>
      <c r="D44" s="1155" t="s">
        <v>358</v>
      </c>
      <c r="E44" s="1105"/>
      <c r="F44" s="1156"/>
      <c r="G44" s="1127" t="s">
        <v>507</v>
      </c>
      <c r="H44" s="1105"/>
      <c r="I44" s="1105"/>
      <c r="J44" s="1105"/>
      <c r="K44" s="1106"/>
      <c r="L44" s="1071" t="s">
        <v>508</v>
      </c>
      <c r="M44" s="1105"/>
      <c r="N44" s="1105"/>
      <c r="O44" s="1105"/>
      <c r="P44" s="1105"/>
      <c r="Q44" s="1106"/>
      <c r="R44" s="1071" t="s">
        <v>509</v>
      </c>
      <c r="S44" s="1105"/>
      <c r="T44" s="1105"/>
      <c r="U44" s="1105"/>
      <c r="V44" s="1105"/>
      <c r="W44" s="1156"/>
      <c r="X44" s="1094" t="s">
        <v>510</v>
      </c>
      <c r="Y44" s="1095"/>
      <c r="Z44" s="1095"/>
      <c r="AA44" s="1148" t="s">
        <v>90</v>
      </c>
      <c r="AB44" s="1149"/>
      <c r="AC44" s="1150"/>
    </row>
    <row r="45" spans="1:223" s="368" customFormat="1" ht="18.75" customHeight="1" thickBot="1" thickTop="1">
      <c r="A45" s="1171"/>
      <c r="B45" s="1172"/>
      <c r="C45" s="1173"/>
      <c r="D45" s="439" t="s">
        <v>91</v>
      </c>
      <c r="E45" s="770" t="s">
        <v>87</v>
      </c>
      <c r="F45" s="280" t="s">
        <v>92</v>
      </c>
      <c r="G45" s="1174"/>
      <c r="H45" s="1108"/>
      <c r="I45" s="1108"/>
      <c r="J45" s="1175"/>
      <c r="K45" s="1109"/>
      <c r="L45" s="1107"/>
      <c r="M45" s="1108"/>
      <c r="N45" s="1108"/>
      <c r="O45" s="1108"/>
      <c r="P45" s="1108"/>
      <c r="Q45" s="1109"/>
      <c r="R45" s="1107"/>
      <c r="S45" s="1108"/>
      <c r="T45" s="1108"/>
      <c r="U45" s="1108"/>
      <c r="V45" s="1108"/>
      <c r="W45" s="1108"/>
      <c r="X45" s="757" t="s">
        <v>91</v>
      </c>
      <c r="Y45" s="758" t="s">
        <v>87</v>
      </c>
      <c r="Z45" s="280" t="s">
        <v>92</v>
      </c>
      <c r="AA45" s="750" t="s">
        <v>91</v>
      </c>
      <c r="AB45" s="439" t="s">
        <v>87</v>
      </c>
      <c r="AC45" s="280" t="s">
        <v>92</v>
      </c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7"/>
      <c r="EV45" s="277"/>
      <c r="EW45" s="277"/>
      <c r="EX45" s="277"/>
      <c r="EY45" s="277"/>
      <c r="EZ45" s="277"/>
      <c r="FA45" s="277"/>
      <c r="FB45" s="277"/>
      <c r="FC45" s="277"/>
      <c r="FD45" s="277"/>
      <c r="FE45" s="277"/>
      <c r="FF45" s="277"/>
      <c r="FG45" s="277"/>
      <c r="FH45" s="277"/>
      <c r="FI45" s="277"/>
      <c r="FJ45" s="277"/>
      <c r="FK45" s="277"/>
      <c r="FL45" s="277"/>
      <c r="FM45" s="277"/>
      <c r="FN45" s="277"/>
      <c r="FO45" s="277"/>
      <c r="FP45" s="277"/>
      <c r="FQ45" s="277"/>
      <c r="FR45" s="277"/>
      <c r="FS45" s="277"/>
      <c r="FT45" s="277"/>
      <c r="FU45" s="277"/>
      <c r="FV45" s="277"/>
      <c r="FW45" s="277"/>
      <c r="FX45" s="277"/>
      <c r="FY45" s="277"/>
      <c r="FZ45" s="277"/>
      <c r="GA45" s="277"/>
      <c r="GB45" s="277"/>
      <c r="GC45" s="277"/>
      <c r="GD45" s="277"/>
      <c r="GE45" s="277"/>
      <c r="GF45" s="277"/>
      <c r="GG45" s="277"/>
      <c r="GH45" s="277"/>
      <c r="GI45" s="277"/>
      <c r="GJ45" s="277"/>
      <c r="GK45" s="277"/>
      <c r="GL45" s="277"/>
      <c r="GM45" s="277"/>
      <c r="GN45" s="277"/>
      <c r="GO45" s="277"/>
      <c r="GP45" s="277"/>
      <c r="GQ45" s="277"/>
      <c r="GR45" s="277"/>
      <c r="GS45" s="277"/>
      <c r="GT45" s="277"/>
      <c r="GU45" s="277"/>
      <c r="GV45" s="277"/>
      <c r="GW45" s="277"/>
      <c r="GX45" s="277"/>
      <c r="GY45" s="277"/>
      <c r="GZ45" s="277"/>
      <c r="HA45" s="277"/>
      <c r="HB45" s="277"/>
      <c r="HC45" s="277"/>
      <c r="HD45" s="277"/>
      <c r="HE45" s="277"/>
      <c r="HF45" s="277"/>
      <c r="HG45" s="277"/>
      <c r="HH45" s="277"/>
      <c r="HI45" s="277"/>
      <c r="HJ45" s="277"/>
      <c r="HK45" s="277"/>
      <c r="HL45" s="277"/>
      <c r="HM45" s="277"/>
      <c r="HN45" s="277"/>
      <c r="HO45" s="277"/>
    </row>
    <row r="46" spans="1:29" ht="26.25" customHeight="1">
      <c r="A46" s="281"/>
      <c r="B46" s="325"/>
      <c r="C46" s="325"/>
      <c r="D46" s="353"/>
      <c r="E46" s="325"/>
      <c r="F46" s="285"/>
      <c r="G46" s="1122" t="s">
        <v>533</v>
      </c>
      <c r="H46" s="1104"/>
      <c r="I46" s="1104"/>
      <c r="J46" s="446">
        <v>10661310</v>
      </c>
      <c r="K46" s="1077">
        <f>SUM(J46:J48)</f>
        <v>11665588</v>
      </c>
      <c r="L46" s="1082"/>
      <c r="M46" s="1083"/>
      <c r="N46" s="1083"/>
      <c r="O46" s="1083"/>
      <c r="P46" s="1061"/>
      <c r="Q46" s="1077">
        <f>SUM(P46:P48)</f>
        <v>0</v>
      </c>
      <c r="R46" s="1084" t="s">
        <v>820</v>
      </c>
      <c r="S46" s="1085"/>
      <c r="T46" s="1085"/>
      <c r="U46" s="1085"/>
      <c r="V46" s="469">
        <v>127710</v>
      </c>
      <c r="W46" s="1218">
        <f>SUM(V46:V48)</f>
        <v>4044435</v>
      </c>
      <c r="X46" s="754"/>
      <c r="Y46" s="370"/>
      <c r="Z46" s="371"/>
      <c r="AA46" s="281"/>
      <c r="AB46" s="299"/>
      <c r="AC46" s="300"/>
    </row>
    <row r="47" spans="1:29" ht="19.5" customHeight="1">
      <c r="A47" s="372"/>
      <c r="B47" s="323"/>
      <c r="C47" s="323"/>
      <c r="D47" s="373"/>
      <c r="E47" s="325"/>
      <c r="F47" s="326"/>
      <c r="G47" s="1222" t="s">
        <v>925</v>
      </c>
      <c r="H47" s="1114"/>
      <c r="I47" s="1114"/>
      <c r="J47" s="447">
        <v>1004278</v>
      </c>
      <c r="K47" s="1078"/>
      <c r="L47" s="1103"/>
      <c r="M47" s="1104"/>
      <c r="N47" s="1104"/>
      <c r="O47" s="1104"/>
      <c r="P47" s="1091"/>
      <c r="Q47" s="1078"/>
      <c r="R47" s="1084" t="s">
        <v>821</v>
      </c>
      <c r="S47" s="1085"/>
      <c r="T47" s="1085"/>
      <c r="U47" s="1085"/>
      <c r="V47" s="469">
        <f>3458889+1</f>
        <v>3458890</v>
      </c>
      <c r="W47" s="1138"/>
      <c r="X47" s="753"/>
      <c r="Y47" s="308"/>
      <c r="Z47" s="298"/>
      <c r="AA47" s="309"/>
      <c r="AB47" s="310"/>
      <c r="AC47" s="311"/>
    </row>
    <row r="48" spans="1:29" ht="21" customHeight="1" thickBot="1">
      <c r="A48" s="372"/>
      <c r="B48" s="1158" t="s">
        <v>482</v>
      </c>
      <c r="C48" s="1159"/>
      <c r="D48" s="358">
        <f>SUM('6. kiadások megbontása'!D74)</f>
        <v>27070160</v>
      </c>
      <c r="E48" s="305">
        <f>SUM('6. kiadások megbontása'!E74)</f>
        <v>103900</v>
      </c>
      <c r="F48" s="306">
        <f>SUM(D48:E48)</f>
        <v>27174060</v>
      </c>
      <c r="G48" s="289"/>
      <c r="H48" s="289"/>
      <c r="I48" s="289"/>
      <c r="J48" s="447"/>
      <c r="K48" s="1078"/>
      <c r="L48" s="1103"/>
      <c r="M48" s="1104"/>
      <c r="N48" s="1104"/>
      <c r="O48" s="1104"/>
      <c r="P48" s="464"/>
      <c r="Q48" s="1078"/>
      <c r="R48" s="1084" t="s">
        <v>865</v>
      </c>
      <c r="S48" s="1085"/>
      <c r="T48" s="1085"/>
      <c r="U48" s="1085"/>
      <c r="V48" s="463">
        <v>457835</v>
      </c>
      <c r="W48" s="1138"/>
      <c r="X48" s="753">
        <f>SUM(W46,Q46,K46)</f>
        <v>15710023</v>
      </c>
      <c r="Y48" s="308">
        <v>0</v>
      </c>
      <c r="Z48" s="320">
        <f>SUM(Y48,X48)</f>
        <v>15710023</v>
      </c>
      <c r="AA48" s="318">
        <f>X48-D48</f>
        <v>-11360137</v>
      </c>
      <c r="AB48" s="319">
        <f>Y48-E48</f>
        <v>-103900</v>
      </c>
      <c r="AC48" s="311">
        <f>SUM(AA48:AB48)</f>
        <v>-11464037</v>
      </c>
    </row>
    <row r="49" spans="1:29" ht="15.75">
      <c r="A49" s="400"/>
      <c r="B49" s="401"/>
      <c r="C49" s="453"/>
      <c r="D49" s="402"/>
      <c r="E49" s="403"/>
      <c r="F49" s="404"/>
      <c r="G49" s="1087"/>
      <c r="H49" s="1088"/>
      <c r="I49" s="1088"/>
      <c r="J49" s="405"/>
      <c r="K49" s="1077">
        <f>SUM(J49:J50)</f>
        <v>0</v>
      </c>
      <c r="L49" s="1088"/>
      <c r="M49" s="1088"/>
      <c r="N49" s="1088"/>
      <c r="O49" s="1088"/>
      <c r="P49" s="405"/>
      <c r="Q49" s="1077">
        <f>SUM(P49:P50)</f>
        <v>0</v>
      </c>
      <c r="R49" s="406"/>
      <c r="S49" s="407"/>
      <c r="T49" s="407"/>
      <c r="U49" s="407"/>
      <c r="V49" s="408"/>
      <c r="W49" s="1077">
        <f>SUM(V49:V50)</f>
        <v>0</v>
      </c>
      <c r="X49" s="794"/>
      <c r="Y49" s="409"/>
      <c r="Z49" s="410"/>
      <c r="AA49" s="411"/>
      <c r="AB49" s="412"/>
      <c r="AC49" s="413"/>
    </row>
    <row r="50" spans="1:29" ht="16.5" thickBot="1">
      <c r="A50" s="1157" t="s">
        <v>483</v>
      </c>
      <c r="B50" s="1158"/>
      <c r="C50" s="1159"/>
      <c r="D50" s="358">
        <f>SUM('6. kiadások megbontása'!G74)</f>
        <v>49530</v>
      </c>
      <c r="E50" s="305">
        <f>SUM('6. kiadások megbontása'!H74)</f>
        <v>0</v>
      </c>
      <c r="F50" s="306">
        <f>SUM(D50:E50)</f>
        <v>49530</v>
      </c>
      <c r="G50" s="328"/>
      <c r="H50" s="329"/>
      <c r="I50" s="329"/>
      <c r="J50" s="414"/>
      <c r="K50" s="1078"/>
      <c r="L50" s="1114"/>
      <c r="M50" s="1114"/>
      <c r="N50" s="1114"/>
      <c r="O50" s="1114"/>
      <c r="P50" s="286"/>
      <c r="Q50" s="1078"/>
      <c r="R50" s="1179"/>
      <c r="S50" s="1119"/>
      <c r="T50" s="1119"/>
      <c r="U50" s="1119"/>
      <c r="V50" s="327"/>
      <c r="W50" s="1138"/>
      <c r="X50" s="795">
        <v>0</v>
      </c>
      <c r="Y50" s="308">
        <v>0</v>
      </c>
      <c r="Z50" s="320">
        <f>SUM(X50:Y50)</f>
        <v>0</v>
      </c>
      <c r="AA50" s="397">
        <f>X49-D50</f>
        <v>-49530</v>
      </c>
      <c r="AB50" s="319">
        <f>Y50-E50</f>
        <v>0</v>
      </c>
      <c r="AC50" s="321">
        <f>SUM(AA50:AB50)</f>
        <v>-49530</v>
      </c>
    </row>
    <row r="51" spans="1:223" s="440" customFormat="1" ht="33.75" customHeight="1" thickBot="1">
      <c r="A51" s="1197" t="s">
        <v>869</v>
      </c>
      <c r="B51" s="1198"/>
      <c r="C51" s="1199"/>
      <c r="D51" s="738">
        <f>SUM(D46:D50)</f>
        <v>27119690</v>
      </c>
      <c r="E51" s="739">
        <f>SUM(E46:E50)</f>
        <v>103900</v>
      </c>
      <c r="F51" s="740">
        <f>SUM(F46:F50)</f>
        <v>27223590</v>
      </c>
      <c r="G51" s="741"/>
      <c r="H51" s="1166" t="s">
        <v>97</v>
      </c>
      <c r="I51" s="1167"/>
      <c r="J51" s="1168"/>
      <c r="K51" s="742">
        <f>SUM(K49+K46)</f>
        <v>11665588</v>
      </c>
      <c r="L51" s="454"/>
      <c r="M51" s="1092" t="s">
        <v>98</v>
      </c>
      <c r="N51" s="1092"/>
      <c r="O51" s="1092"/>
      <c r="P51" s="1093"/>
      <c r="Q51" s="742">
        <f>SUM(Q46:Q50)</f>
        <v>0</v>
      </c>
      <c r="R51" s="456"/>
      <c r="S51" s="1092" t="s">
        <v>99</v>
      </c>
      <c r="T51" s="1092"/>
      <c r="U51" s="1092"/>
      <c r="V51" s="1093"/>
      <c r="W51" s="743">
        <f>SUM(W46:W50)</f>
        <v>4044435</v>
      </c>
      <c r="X51" s="744">
        <f>SUM(X46:X49)</f>
        <v>15710023</v>
      </c>
      <c r="Y51" s="745">
        <v>0</v>
      </c>
      <c r="Z51" s="746">
        <f>SUM(X51:Y51)</f>
        <v>15710023</v>
      </c>
      <c r="AA51" s="747">
        <f>X51-D51</f>
        <v>-11409667</v>
      </c>
      <c r="AB51" s="748">
        <f>Y51-E51</f>
        <v>-103900</v>
      </c>
      <c r="AC51" s="452">
        <f>SUM(AA51:AB51)</f>
        <v>-11513567</v>
      </c>
      <c r="AD51" s="462"/>
      <c r="AE51" s="462"/>
      <c r="AF51" s="462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462"/>
      <c r="BB51" s="462"/>
      <c r="BC51" s="462"/>
      <c r="BD51" s="462"/>
      <c r="BE51" s="462"/>
      <c r="BF51" s="462"/>
      <c r="BG51" s="462"/>
      <c r="BH51" s="462"/>
      <c r="BI51" s="462"/>
      <c r="BJ51" s="462"/>
      <c r="BK51" s="462"/>
      <c r="BL51" s="462"/>
      <c r="BM51" s="462"/>
      <c r="BN51" s="462"/>
      <c r="BO51" s="462"/>
      <c r="BP51" s="462"/>
      <c r="BQ51" s="462"/>
      <c r="BR51" s="462"/>
      <c r="BS51" s="462"/>
      <c r="BT51" s="462"/>
      <c r="BU51" s="462"/>
      <c r="BV51" s="462"/>
      <c r="BW51" s="462"/>
      <c r="BX51" s="462"/>
      <c r="BY51" s="462"/>
      <c r="BZ51" s="462"/>
      <c r="CA51" s="462"/>
      <c r="CB51" s="462"/>
      <c r="CC51" s="462"/>
      <c r="CD51" s="462"/>
      <c r="CE51" s="462"/>
      <c r="CF51" s="462"/>
      <c r="CG51" s="462"/>
      <c r="CH51" s="462"/>
      <c r="CI51" s="462"/>
      <c r="CJ51" s="462"/>
      <c r="CK51" s="462"/>
      <c r="CL51" s="462"/>
      <c r="CM51" s="462"/>
      <c r="CN51" s="462"/>
      <c r="CO51" s="462"/>
      <c r="CP51" s="462"/>
      <c r="CQ51" s="462"/>
      <c r="CR51" s="462"/>
      <c r="CS51" s="462"/>
      <c r="CT51" s="462"/>
      <c r="CU51" s="462"/>
      <c r="CV51" s="462"/>
      <c r="CW51" s="462"/>
      <c r="CX51" s="462"/>
      <c r="CY51" s="462"/>
      <c r="CZ51" s="462"/>
      <c r="DA51" s="462"/>
      <c r="DB51" s="462"/>
      <c r="DC51" s="462"/>
      <c r="DD51" s="462"/>
      <c r="DE51" s="462"/>
      <c r="DF51" s="462"/>
      <c r="DG51" s="462"/>
      <c r="DH51" s="462"/>
      <c r="DI51" s="462"/>
      <c r="DJ51" s="462"/>
      <c r="DK51" s="462"/>
      <c r="DL51" s="462"/>
      <c r="DM51" s="462"/>
      <c r="DN51" s="462"/>
      <c r="DO51" s="462"/>
      <c r="DP51" s="462"/>
      <c r="DQ51" s="462"/>
      <c r="DR51" s="462"/>
      <c r="DS51" s="462"/>
      <c r="DT51" s="462"/>
      <c r="DU51" s="462"/>
      <c r="DV51" s="462"/>
      <c r="DW51" s="462"/>
      <c r="DX51" s="462"/>
      <c r="DY51" s="462"/>
      <c r="DZ51" s="462"/>
      <c r="EA51" s="462"/>
      <c r="EB51" s="462"/>
      <c r="EC51" s="462"/>
      <c r="ED51" s="462"/>
      <c r="EE51" s="462"/>
      <c r="EF51" s="462"/>
      <c r="EG51" s="462"/>
      <c r="EH51" s="462"/>
      <c r="EI51" s="462"/>
      <c r="EJ51" s="462"/>
      <c r="EK51" s="462"/>
      <c r="EL51" s="462"/>
      <c r="EM51" s="462"/>
      <c r="EN51" s="462"/>
      <c r="EO51" s="462"/>
      <c r="EP51" s="462"/>
      <c r="EQ51" s="462"/>
      <c r="ER51" s="462"/>
      <c r="ES51" s="462"/>
      <c r="ET51" s="462"/>
      <c r="EU51" s="462"/>
      <c r="EV51" s="462"/>
      <c r="EW51" s="462"/>
      <c r="EX51" s="462"/>
      <c r="EY51" s="462"/>
      <c r="EZ51" s="462"/>
      <c r="FA51" s="462"/>
      <c r="FB51" s="462"/>
      <c r="FC51" s="462"/>
      <c r="FD51" s="462"/>
      <c r="FE51" s="462"/>
      <c r="FF51" s="462"/>
      <c r="FG51" s="462"/>
      <c r="FH51" s="462"/>
      <c r="FI51" s="462"/>
      <c r="FJ51" s="462"/>
      <c r="FK51" s="462"/>
      <c r="FL51" s="462"/>
      <c r="FM51" s="462"/>
      <c r="FN51" s="462"/>
      <c r="FO51" s="462"/>
      <c r="FP51" s="462"/>
      <c r="FQ51" s="462"/>
      <c r="FR51" s="462"/>
      <c r="FS51" s="462"/>
      <c r="FT51" s="462"/>
      <c r="FU51" s="462"/>
      <c r="FV51" s="462"/>
      <c r="FW51" s="462"/>
      <c r="FX51" s="462"/>
      <c r="FY51" s="462"/>
      <c r="FZ51" s="462"/>
      <c r="GA51" s="462"/>
      <c r="GB51" s="462"/>
      <c r="GC51" s="462"/>
      <c r="GD51" s="462"/>
      <c r="GE51" s="462"/>
      <c r="GF51" s="462"/>
      <c r="GG51" s="462"/>
      <c r="GH51" s="462"/>
      <c r="GI51" s="462"/>
      <c r="GJ51" s="462"/>
      <c r="GK51" s="462"/>
      <c r="GL51" s="462"/>
      <c r="GM51" s="462"/>
      <c r="GN51" s="462"/>
      <c r="GO51" s="462"/>
      <c r="GP51" s="462"/>
      <c r="GQ51" s="462"/>
      <c r="GR51" s="462"/>
      <c r="GS51" s="462"/>
      <c r="GT51" s="462"/>
      <c r="GU51" s="462"/>
      <c r="GV51" s="462"/>
      <c r="GW51" s="462"/>
      <c r="GX51" s="462"/>
      <c r="GY51" s="462"/>
      <c r="GZ51" s="462"/>
      <c r="HA51" s="462"/>
      <c r="HB51" s="462"/>
      <c r="HC51" s="462"/>
      <c r="HD51" s="462"/>
      <c r="HE51" s="462"/>
      <c r="HF51" s="462"/>
      <c r="HG51" s="462"/>
      <c r="HH51" s="462"/>
      <c r="HI51" s="462"/>
      <c r="HJ51" s="462"/>
      <c r="HK51" s="462"/>
      <c r="HL51" s="462"/>
      <c r="HM51" s="462"/>
      <c r="HN51" s="462"/>
      <c r="HO51" s="462"/>
    </row>
    <row r="52" spans="1:29" ht="17.25" thickBot="1" thickTop="1">
      <c r="A52" s="379"/>
      <c r="B52" s="380"/>
      <c r="C52" s="380"/>
      <c r="D52" s="381"/>
      <c r="E52" s="382"/>
      <c r="F52" s="383"/>
      <c r="G52" s="382"/>
      <c r="H52" s="382"/>
      <c r="I52" s="384"/>
      <c r="J52" s="384"/>
      <c r="K52" s="385"/>
      <c r="L52" s="386"/>
      <c r="M52" s="382"/>
      <c r="N52" s="382"/>
      <c r="O52" s="382"/>
      <c r="P52" s="382"/>
      <c r="Q52" s="385"/>
      <c r="R52" s="382"/>
      <c r="S52" s="382"/>
      <c r="T52" s="382"/>
      <c r="U52" s="382"/>
      <c r="V52" s="382"/>
      <c r="W52" s="387"/>
      <c r="X52" s="388"/>
      <c r="Y52" s="389"/>
      <c r="Z52" s="390"/>
      <c r="AA52" s="379"/>
      <c r="AB52" s="391"/>
      <c r="AC52" s="392"/>
    </row>
    <row r="53" spans="1:29" ht="14.25" thickBot="1" thickTop="1">
      <c r="A53" s="1151" t="s">
        <v>771</v>
      </c>
      <c r="B53" s="1152"/>
      <c r="C53" s="1152"/>
      <c r="D53" s="1155" t="s">
        <v>358</v>
      </c>
      <c r="E53" s="1105"/>
      <c r="F53" s="1156"/>
      <c r="G53" s="1127" t="s">
        <v>507</v>
      </c>
      <c r="H53" s="1209"/>
      <c r="I53" s="1209"/>
      <c r="J53" s="1209"/>
      <c r="K53" s="1210"/>
      <c r="L53" s="1071" t="s">
        <v>508</v>
      </c>
      <c r="M53" s="1072"/>
      <c r="N53" s="1072"/>
      <c r="O53" s="1072"/>
      <c r="P53" s="1072"/>
      <c r="Q53" s="1096"/>
      <c r="R53" s="1071" t="s">
        <v>509</v>
      </c>
      <c r="S53" s="1072"/>
      <c r="T53" s="1072"/>
      <c r="U53" s="1072"/>
      <c r="V53" s="1072"/>
      <c r="W53" s="1073"/>
      <c r="X53" s="1094" t="s">
        <v>510</v>
      </c>
      <c r="Y53" s="1095"/>
      <c r="Z53" s="1095"/>
      <c r="AA53" s="1148" t="s">
        <v>90</v>
      </c>
      <c r="AB53" s="1149"/>
      <c r="AC53" s="1150"/>
    </row>
    <row r="54" spans="1:223" s="665" customFormat="1" ht="32.25" customHeight="1" thickBot="1">
      <c r="A54" s="1153"/>
      <c r="B54" s="1154"/>
      <c r="C54" s="1154"/>
      <c r="D54" s="439" t="s">
        <v>91</v>
      </c>
      <c r="E54" s="770" t="s">
        <v>87</v>
      </c>
      <c r="F54" s="280" t="s">
        <v>92</v>
      </c>
      <c r="G54" s="1211"/>
      <c r="H54" s="1212"/>
      <c r="I54" s="1212"/>
      <c r="J54" s="1212"/>
      <c r="K54" s="1213"/>
      <c r="L54" s="1074"/>
      <c r="M54" s="1075"/>
      <c r="N54" s="1075"/>
      <c r="O54" s="1075"/>
      <c r="P54" s="1075"/>
      <c r="Q54" s="1097"/>
      <c r="R54" s="1074"/>
      <c r="S54" s="1075"/>
      <c r="T54" s="1075"/>
      <c r="U54" s="1075"/>
      <c r="V54" s="1075"/>
      <c r="W54" s="1076"/>
      <c r="X54" s="755" t="s">
        <v>91</v>
      </c>
      <c r="Y54" s="439" t="s">
        <v>87</v>
      </c>
      <c r="Z54" s="756" t="s">
        <v>92</v>
      </c>
      <c r="AA54" s="438" t="s">
        <v>91</v>
      </c>
      <c r="AB54" s="439" t="s">
        <v>87</v>
      </c>
      <c r="AC54" s="280" t="s">
        <v>92</v>
      </c>
      <c r="AD54" s="749"/>
      <c r="AE54" s="749"/>
      <c r="AF54" s="749"/>
      <c r="AG54" s="749"/>
      <c r="AH54" s="749"/>
      <c r="AI54" s="749"/>
      <c r="AJ54" s="749"/>
      <c r="AK54" s="749"/>
      <c r="AL54" s="749"/>
      <c r="AM54" s="749"/>
      <c r="AN54" s="749"/>
      <c r="AO54" s="749"/>
      <c r="AP54" s="749"/>
      <c r="AQ54" s="749"/>
      <c r="AR54" s="749"/>
      <c r="AS54" s="749"/>
      <c r="AT54" s="749"/>
      <c r="AU54" s="749"/>
      <c r="AV54" s="749"/>
      <c r="AW54" s="749"/>
      <c r="AX54" s="749"/>
      <c r="AY54" s="749"/>
      <c r="AZ54" s="749"/>
      <c r="BA54" s="749"/>
      <c r="BB54" s="749"/>
      <c r="BC54" s="749"/>
      <c r="BD54" s="749"/>
      <c r="BE54" s="749"/>
      <c r="BF54" s="749"/>
      <c r="BG54" s="749"/>
      <c r="BH54" s="749"/>
      <c r="BI54" s="749"/>
      <c r="BJ54" s="749"/>
      <c r="BK54" s="749"/>
      <c r="BL54" s="749"/>
      <c r="BM54" s="749"/>
      <c r="BN54" s="749"/>
      <c r="BO54" s="749"/>
      <c r="BP54" s="749"/>
      <c r="BQ54" s="749"/>
      <c r="BR54" s="749"/>
      <c r="BS54" s="749"/>
      <c r="BT54" s="749"/>
      <c r="BU54" s="749"/>
      <c r="BV54" s="749"/>
      <c r="BW54" s="749"/>
      <c r="BX54" s="749"/>
      <c r="BY54" s="749"/>
      <c r="BZ54" s="749"/>
      <c r="CA54" s="749"/>
      <c r="CB54" s="749"/>
      <c r="CC54" s="749"/>
      <c r="CD54" s="749"/>
      <c r="CE54" s="749"/>
      <c r="CF54" s="749"/>
      <c r="CG54" s="749"/>
      <c r="CH54" s="749"/>
      <c r="CI54" s="749"/>
      <c r="CJ54" s="749"/>
      <c r="CK54" s="749"/>
      <c r="CL54" s="749"/>
      <c r="CM54" s="749"/>
      <c r="CN54" s="749"/>
      <c r="CO54" s="749"/>
      <c r="CP54" s="749"/>
      <c r="CQ54" s="749"/>
      <c r="CR54" s="749"/>
      <c r="CS54" s="749"/>
      <c r="CT54" s="749"/>
      <c r="CU54" s="749"/>
      <c r="CV54" s="749"/>
      <c r="CW54" s="749"/>
      <c r="CX54" s="749"/>
      <c r="CY54" s="749"/>
      <c r="CZ54" s="749"/>
      <c r="DA54" s="749"/>
      <c r="DB54" s="749"/>
      <c r="DC54" s="749"/>
      <c r="DD54" s="749"/>
      <c r="DE54" s="749"/>
      <c r="DF54" s="749"/>
      <c r="DG54" s="749"/>
      <c r="DH54" s="749"/>
      <c r="DI54" s="749"/>
      <c r="DJ54" s="749"/>
      <c r="DK54" s="749"/>
      <c r="DL54" s="749"/>
      <c r="DM54" s="749"/>
      <c r="DN54" s="749"/>
      <c r="DO54" s="749"/>
      <c r="DP54" s="749"/>
      <c r="DQ54" s="749"/>
      <c r="DR54" s="749"/>
      <c r="DS54" s="749"/>
      <c r="DT54" s="749"/>
      <c r="DU54" s="749"/>
      <c r="DV54" s="749"/>
      <c r="DW54" s="749"/>
      <c r="DX54" s="749"/>
      <c r="DY54" s="749"/>
      <c r="DZ54" s="749"/>
      <c r="EA54" s="749"/>
      <c r="EB54" s="749"/>
      <c r="EC54" s="749"/>
      <c r="ED54" s="749"/>
      <c r="EE54" s="749"/>
      <c r="EF54" s="749"/>
      <c r="EG54" s="749"/>
      <c r="EH54" s="749"/>
      <c r="EI54" s="749"/>
      <c r="EJ54" s="749"/>
      <c r="EK54" s="749"/>
      <c r="EL54" s="749"/>
      <c r="EM54" s="749"/>
      <c r="EN54" s="749"/>
      <c r="EO54" s="749"/>
      <c r="EP54" s="749"/>
      <c r="EQ54" s="749"/>
      <c r="ER54" s="749"/>
      <c r="ES54" s="749"/>
      <c r="ET54" s="749"/>
      <c r="EU54" s="749"/>
      <c r="EV54" s="749"/>
      <c r="EW54" s="749"/>
      <c r="EX54" s="749"/>
      <c r="EY54" s="749"/>
      <c r="EZ54" s="749"/>
      <c r="FA54" s="749"/>
      <c r="FB54" s="749"/>
      <c r="FC54" s="749"/>
      <c r="FD54" s="749"/>
      <c r="FE54" s="749"/>
      <c r="FF54" s="749"/>
      <c r="FG54" s="749"/>
      <c r="FH54" s="749"/>
      <c r="FI54" s="749"/>
      <c r="FJ54" s="749"/>
      <c r="FK54" s="749"/>
      <c r="FL54" s="749"/>
      <c r="FM54" s="749"/>
      <c r="FN54" s="749"/>
      <c r="FO54" s="749"/>
      <c r="FP54" s="749"/>
      <c r="FQ54" s="749"/>
      <c r="FR54" s="749"/>
      <c r="FS54" s="749"/>
      <c r="FT54" s="749"/>
      <c r="FU54" s="749"/>
      <c r="FV54" s="749"/>
      <c r="FW54" s="749"/>
      <c r="FX54" s="749"/>
      <c r="FY54" s="749"/>
      <c r="FZ54" s="749"/>
      <c r="GA54" s="749"/>
      <c r="GB54" s="749"/>
      <c r="GC54" s="749"/>
      <c r="GD54" s="749"/>
      <c r="GE54" s="749"/>
      <c r="GF54" s="749"/>
      <c r="GG54" s="749"/>
      <c r="GH54" s="749"/>
      <c r="GI54" s="749"/>
      <c r="GJ54" s="749"/>
      <c r="GK54" s="749"/>
      <c r="GL54" s="749"/>
      <c r="GM54" s="749"/>
      <c r="GN54" s="749"/>
      <c r="GO54" s="749"/>
      <c r="GP54" s="749"/>
      <c r="GQ54" s="749"/>
      <c r="GR54" s="749"/>
      <c r="GS54" s="749"/>
      <c r="GT54" s="749"/>
      <c r="GU54" s="749"/>
      <c r="GV54" s="749"/>
      <c r="GW54" s="749"/>
      <c r="GX54" s="749"/>
      <c r="GY54" s="749"/>
      <c r="GZ54" s="749"/>
      <c r="HA54" s="749"/>
      <c r="HB54" s="749"/>
      <c r="HC54" s="749"/>
      <c r="HD54" s="749"/>
      <c r="HE54" s="749"/>
      <c r="HF54" s="749"/>
      <c r="HG54" s="749"/>
      <c r="HH54" s="749"/>
      <c r="HI54" s="749"/>
      <c r="HJ54" s="749"/>
      <c r="HK54" s="749"/>
      <c r="HL54" s="749"/>
      <c r="HM54" s="749"/>
      <c r="HN54" s="749"/>
      <c r="HO54" s="749"/>
    </row>
    <row r="55" spans="1:29" ht="25.5" customHeight="1">
      <c r="A55" s="372"/>
      <c r="B55" s="325"/>
      <c r="C55" s="325"/>
      <c r="D55" s="353"/>
      <c r="E55" s="325"/>
      <c r="F55" s="326"/>
      <c r="G55" s="1186" t="s">
        <v>469</v>
      </c>
      <c r="H55" s="1085"/>
      <c r="I55" s="1085"/>
      <c r="J55" s="464">
        <v>14052400</v>
      </c>
      <c r="K55" s="1077">
        <f>SUM(J55:J61)</f>
        <v>166706854</v>
      </c>
      <c r="L55" s="1185" t="s">
        <v>815</v>
      </c>
      <c r="M55" s="1083"/>
      <c r="N55" s="1083"/>
      <c r="O55" s="1083"/>
      <c r="P55" s="464">
        <v>3971695</v>
      </c>
      <c r="Q55" s="1098">
        <f>SUM(P55:P61)</f>
        <v>3971695</v>
      </c>
      <c r="R55" s="1089" t="s">
        <v>514</v>
      </c>
      <c r="S55" s="1090"/>
      <c r="T55" s="1090"/>
      <c r="U55" s="1090"/>
      <c r="V55" s="469">
        <v>1223067</v>
      </c>
      <c r="W55" s="1063">
        <f>SUM(V55:V61)</f>
        <v>1849212</v>
      </c>
      <c r="X55" s="325"/>
      <c r="Y55" s="353"/>
      <c r="Z55" s="394"/>
      <c r="AA55" s="372"/>
      <c r="AB55" s="353"/>
      <c r="AC55" s="300"/>
    </row>
    <row r="56" spans="1:29" ht="25.5" customHeight="1">
      <c r="A56" s="372"/>
      <c r="B56" s="325"/>
      <c r="C56" s="352"/>
      <c r="D56" s="353"/>
      <c r="E56" s="325"/>
      <c r="F56" s="326"/>
      <c r="G56" s="1135" t="s">
        <v>620</v>
      </c>
      <c r="H56" s="1090"/>
      <c r="I56" s="1090"/>
      <c r="J56" s="464">
        <v>93484500</v>
      </c>
      <c r="K56" s="1078"/>
      <c r="L56" s="1069"/>
      <c r="M56" s="1070"/>
      <c r="N56" s="1070"/>
      <c r="O56" s="1070"/>
      <c r="P56" s="327"/>
      <c r="Q56" s="1099"/>
      <c r="R56" s="1084" t="s">
        <v>746</v>
      </c>
      <c r="S56" s="1085"/>
      <c r="T56" s="1085"/>
      <c r="U56" s="1085"/>
      <c r="V56" s="469">
        <v>626145</v>
      </c>
      <c r="W56" s="1068"/>
      <c r="X56" s="286"/>
      <c r="Y56" s="310"/>
      <c r="Z56" s="298"/>
      <c r="AA56" s="309"/>
      <c r="AB56" s="310"/>
      <c r="AC56" s="311"/>
    </row>
    <row r="57" spans="1:29" ht="30" customHeight="1">
      <c r="A57" s="372"/>
      <c r="B57" s="325"/>
      <c r="C57" s="352"/>
      <c r="D57" s="353"/>
      <c r="E57" s="325"/>
      <c r="F57" s="326"/>
      <c r="G57" s="1135" t="s">
        <v>528</v>
      </c>
      <c r="H57" s="1090"/>
      <c r="I57" s="1090"/>
      <c r="J57" s="469">
        <v>6780668</v>
      </c>
      <c r="K57" s="1078"/>
      <c r="L57" s="441"/>
      <c r="M57" s="442"/>
      <c r="N57" s="442"/>
      <c r="O57" s="442"/>
      <c r="P57" s="327"/>
      <c r="Q57" s="1099"/>
      <c r="R57" s="1084"/>
      <c r="S57" s="1085"/>
      <c r="T57" s="1085"/>
      <c r="U57" s="1085"/>
      <c r="V57" s="469"/>
      <c r="W57" s="1068"/>
      <c r="X57" s="286"/>
      <c r="Y57" s="310"/>
      <c r="Z57" s="298"/>
      <c r="AA57" s="309"/>
      <c r="AB57" s="310"/>
      <c r="AC57" s="311"/>
    </row>
    <row r="58" spans="1:29" ht="26.25" customHeight="1">
      <c r="A58" s="1157" t="s">
        <v>482</v>
      </c>
      <c r="B58" s="1180"/>
      <c r="C58" s="1181"/>
      <c r="D58" s="358">
        <f>SUM('6. kiadások megbontása'!D69)</f>
        <v>205267506</v>
      </c>
      <c r="E58" s="305">
        <f>SUM('6. kiadások megbontása'!E69)</f>
        <v>773143</v>
      </c>
      <c r="F58" s="306">
        <f>SUM(D58:E58)</f>
        <v>206040649</v>
      </c>
      <c r="G58" s="1135" t="s">
        <v>748</v>
      </c>
      <c r="H58" s="1090"/>
      <c r="I58" s="1090"/>
      <c r="J58" s="464">
        <v>24032378</v>
      </c>
      <c r="K58" s="1078"/>
      <c r="L58" s="351"/>
      <c r="M58" s="325"/>
      <c r="N58" s="325"/>
      <c r="O58" s="325"/>
      <c r="P58" s="325"/>
      <c r="Q58" s="1099"/>
      <c r="R58" s="1103"/>
      <c r="S58" s="1104"/>
      <c r="T58" s="1104"/>
      <c r="U58" s="1104"/>
      <c r="V58" s="286"/>
      <c r="W58" s="1068"/>
      <c r="X58" s="396">
        <f>SUM(W55+Q55+K55)</f>
        <v>172527761</v>
      </c>
      <c r="Y58" s="319">
        <v>0</v>
      </c>
      <c r="Z58" s="320">
        <f>SUM(X58:Y58)</f>
        <v>172527761</v>
      </c>
      <c r="AA58" s="397">
        <f>X58-D58</f>
        <v>-32739745</v>
      </c>
      <c r="AB58" s="319">
        <f>Y58-E58</f>
        <v>-773143</v>
      </c>
      <c r="AC58" s="321">
        <f>SUM(AA58:AB58)</f>
        <v>-33512888</v>
      </c>
    </row>
    <row r="59" spans="1:29" ht="29.25" customHeight="1">
      <c r="A59" s="301"/>
      <c r="B59" s="398"/>
      <c r="C59" s="599"/>
      <c r="D59" s="358"/>
      <c r="E59" s="305"/>
      <c r="F59" s="306"/>
      <c r="G59" s="1135" t="s">
        <v>750</v>
      </c>
      <c r="H59" s="1090"/>
      <c r="I59" s="1090"/>
      <c r="J59" s="469">
        <v>18590000</v>
      </c>
      <c r="K59" s="1078"/>
      <c r="L59" s="351"/>
      <c r="M59" s="325"/>
      <c r="N59" s="325"/>
      <c r="O59" s="325"/>
      <c r="P59" s="399"/>
      <c r="Q59" s="1099"/>
      <c r="R59" s="1103"/>
      <c r="S59" s="1104"/>
      <c r="T59" s="1104"/>
      <c r="U59" s="1104"/>
      <c r="V59" s="395"/>
      <c r="W59" s="1068"/>
      <c r="X59" s="374"/>
      <c r="Y59" s="308"/>
      <c r="Z59" s="320"/>
      <c r="AA59" s="318"/>
      <c r="AB59" s="319"/>
      <c r="AC59" s="311"/>
    </row>
    <row r="60" spans="1:29" ht="36.75" customHeight="1">
      <c r="A60" s="301"/>
      <c r="B60" s="398"/>
      <c r="C60" s="599"/>
      <c r="D60" s="358"/>
      <c r="E60" s="305"/>
      <c r="F60" s="306"/>
      <c r="G60" s="1122" t="s">
        <v>923</v>
      </c>
      <c r="H60" s="1104"/>
      <c r="I60" s="1104"/>
      <c r="J60" s="469">
        <v>9248756</v>
      </c>
      <c r="K60" s="1078"/>
      <c r="L60" s="351"/>
      <c r="M60" s="325"/>
      <c r="N60" s="325"/>
      <c r="O60" s="325"/>
      <c r="P60" s="399"/>
      <c r="Q60" s="1099"/>
      <c r="R60" s="774"/>
      <c r="S60" s="775"/>
      <c r="T60" s="775"/>
      <c r="U60" s="775"/>
      <c r="V60" s="395"/>
      <c r="W60" s="1068"/>
      <c r="X60" s="374"/>
      <c r="Y60" s="308"/>
      <c r="Z60" s="320"/>
      <c r="AA60" s="318"/>
      <c r="AB60" s="319"/>
      <c r="AC60" s="311"/>
    </row>
    <row r="61" spans="1:29" ht="19.5" customHeight="1" thickBot="1">
      <c r="A61" s="301"/>
      <c r="B61" s="398"/>
      <c r="C61" s="599"/>
      <c r="D61" s="358"/>
      <c r="E61" s="305"/>
      <c r="F61" s="306"/>
      <c r="G61" s="1122" t="s">
        <v>916</v>
      </c>
      <c r="H61" s="1104"/>
      <c r="I61" s="1104"/>
      <c r="J61" s="286">
        <f>597022-78870</f>
        <v>518152</v>
      </c>
      <c r="K61" s="1078"/>
      <c r="L61" s="351"/>
      <c r="M61" s="325"/>
      <c r="N61" s="325"/>
      <c r="O61" s="325"/>
      <c r="P61" s="399"/>
      <c r="Q61" s="1099"/>
      <c r="R61" s="288"/>
      <c r="S61" s="289"/>
      <c r="T61" s="289"/>
      <c r="U61" s="289"/>
      <c r="V61" s="395"/>
      <c r="W61" s="1064"/>
      <c r="X61" s="374"/>
      <c r="Y61" s="308"/>
      <c r="Z61" s="320"/>
      <c r="AA61" s="318"/>
      <c r="AB61" s="319"/>
      <c r="AC61" s="311"/>
    </row>
    <row r="62" spans="1:29" ht="15.75" customHeight="1">
      <c r="A62" s="1203" t="s">
        <v>483</v>
      </c>
      <c r="B62" s="1204"/>
      <c r="C62" s="1205"/>
      <c r="D62" s="1189">
        <f>'6. kiadások megbontása'!G69</f>
        <v>95020345</v>
      </c>
      <c r="E62" s="1189">
        <f>SUM('6. kiadások megbontása'!H69)</f>
        <v>5317022</v>
      </c>
      <c r="F62" s="1191">
        <f>SUM(D62:E62)</f>
        <v>100337367</v>
      </c>
      <c r="G62" s="1134" t="s">
        <v>811</v>
      </c>
      <c r="H62" s="1060"/>
      <c r="I62" s="1060"/>
      <c r="J62" s="734">
        <v>11287000</v>
      </c>
      <c r="K62" s="1218">
        <f>SUM(J62:J66)</f>
        <v>11570018</v>
      </c>
      <c r="L62" s="1087" t="s">
        <v>867</v>
      </c>
      <c r="M62" s="1088"/>
      <c r="N62" s="1088"/>
      <c r="O62" s="1088"/>
      <c r="P62" s="405">
        <v>6245115</v>
      </c>
      <c r="Q62" s="1077">
        <f>SUM(P62:P63)</f>
        <v>49652374</v>
      </c>
      <c r="R62" s="1059" t="s">
        <v>919</v>
      </c>
      <c r="S62" s="1060"/>
      <c r="T62" s="1060"/>
      <c r="U62" s="1060"/>
      <c r="V62" s="1061">
        <v>31099867</v>
      </c>
      <c r="W62" s="1063">
        <f>SUM(V62)</f>
        <v>31099867</v>
      </c>
      <c r="X62" s="1065">
        <f>SUM(K62+Q62+W62)</f>
        <v>92322259</v>
      </c>
      <c r="Y62" s="1051">
        <f>Q64+W64</f>
        <v>4940977</v>
      </c>
      <c r="Z62" s="1054">
        <f>SUM(X62:Y63)</f>
        <v>97263236</v>
      </c>
      <c r="AA62" s="1065">
        <f>X62-D62</f>
        <v>-2698086</v>
      </c>
      <c r="AB62" s="1051">
        <f>Y62-E62</f>
        <v>-376045</v>
      </c>
      <c r="AC62" s="1054">
        <f>SUM(AA62:AB62)</f>
        <v>-3074131</v>
      </c>
    </row>
    <row r="63" spans="1:29" ht="24.75" customHeight="1" thickBot="1">
      <c r="A63" s="1206"/>
      <c r="B63" s="1207"/>
      <c r="C63" s="1208"/>
      <c r="D63" s="1190"/>
      <c r="E63" s="1190"/>
      <c r="F63" s="1192"/>
      <c r="G63" s="1186" t="s">
        <v>922</v>
      </c>
      <c r="H63" s="1085"/>
      <c r="I63" s="1085"/>
      <c r="J63" s="469">
        <v>195364</v>
      </c>
      <c r="K63" s="1138"/>
      <c r="L63" s="1103" t="s">
        <v>913</v>
      </c>
      <c r="M63" s="1104"/>
      <c r="N63" s="1104"/>
      <c r="O63" s="1104"/>
      <c r="P63" s="286">
        <v>43407259</v>
      </c>
      <c r="Q63" s="1078"/>
      <c r="R63" s="1057"/>
      <c r="S63" s="1058"/>
      <c r="T63" s="1058"/>
      <c r="U63" s="1058"/>
      <c r="V63" s="1062"/>
      <c r="W63" s="1064"/>
      <c r="X63" s="1066"/>
      <c r="Y63" s="1052"/>
      <c r="Z63" s="1055"/>
      <c r="AA63" s="1066"/>
      <c r="AB63" s="1052"/>
      <c r="AC63" s="1055"/>
    </row>
    <row r="64" spans="1:29" ht="16.5" customHeight="1">
      <c r="A64" s="889"/>
      <c r="B64" s="890"/>
      <c r="C64" s="891"/>
      <c r="D64" s="892"/>
      <c r="E64" s="895"/>
      <c r="F64" s="893"/>
      <c r="G64" s="882"/>
      <c r="H64" s="776"/>
      <c r="I64" s="776"/>
      <c r="J64" s="469"/>
      <c r="K64" s="1138"/>
      <c r="L64" s="1087" t="s">
        <v>1012</v>
      </c>
      <c r="M64" s="1088"/>
      <c r="N64" s="1088"/>
      <c r="O64" s="1088"/>
      <c r="P64" s="405">
        <v>841234</v>
      </c>
      <c r="Q64" s="1077">
        <f>SUM(P64:P65)</f>
        <v>2528424</v>
      </c>
      <c r="R64" s="1059" t="s">
        <v>920</v>
      </c>
      <c r="S64" s="1060"/>
      <c r="T64" s="1060"/>
      <c r="U64" s="1060"/>
      <c r="V64" s="1079">
        <v>2412553</v>
      </c>
      <c r="W64" s="1063">
        <f>SUM(V64)</f>
        <v>2412553</v>
      </c>
      <c r="X64" s="1066"/>
      <c r="Y64" s="1052"/>
      <c r="Z64" s="1055"/>
      <c r="AA64" s="1066"/>
      <c r="AB64" s="1052"/>
      <c r="AC64" s="1055"/>
    </row>
    <row r="65" spans="1:29" ht="16.5" customHeight="1">
      <c r="A65" s="889"/>
      <c r="B65" s="890"/>
      <c r="C65" s="891"/>
      <c r="D65" s="892"/>
      <c r="E65" s="895"/>
      <c r="F65" s="893"/>
      <c r="G65" s="882"/>
      <c r="H65" s="776"/>
      <c r="I65" s="776"/>
      <c r="J65" s="469"/>
      <c r="K65" s="1138"/>
      <c r="L65" s="1089" t="s">
        <v>918</v>
      </c>
      <c r="M65" s="1090"/>
      <c r="N65" s="1090"/>
      <c r="O65" s="1090"/>
      <c r="P65" s="1091">
        <v>1687190</v>
      </c>
      <c r="Q65" s="1078"/>
      <c r="R65" s="1089"/>
      <c r="S65" s="1090"/>
      <c r="T65" s="1090"/>
      <c r="U65" s="1090"/>
      <c r="V65" s="1080"/>
      <c r="W65" s="1068"/>
      <c r="X65" s="1066"/>
      <c r="Y65" s="1052"/>
      <c r="Z65" s="1055"/>
      <c r="AA65" s="1066"/>
      <c r="AB65" s="1052"/>
      <c r="AC65" s="1055"/>
    </row>
    <row r="66" spans="1:29" ht="17.25" customHeight="1" thickBot="1">
      <c r="A66" s="779"/>
      <c r="B66" s="780"/>
      <c r="C66" s="781"/>
      <c r="D66" s="782"/>
      <c r="E66" s="790"/>
      <c r="F66" s="783"/>
      <c r="G66" s="1122" t="s">
        <v>924</v>
      </c>
      <c r="H66" s="1104"/>
      <c r="I66" s="1104"/>
      <c r="J66" s="793">
        <v>87654</v>
      </c>
      <c r="K66" s="1139"/>
      <c r="L66" s="1057"/>
      <c r="M66" s="1058"/>
      <c r="N66" s="1058"/>
      <c r="O66" s="1058"/>
      <c r="P66" s="1062"/>
      <c r="Q66" s="1086"/>
      <c r="R66" s="1057"/>
      <c r="S66" s="1058"/>
      <c r="T66" s="1058"/>
      <c r="U66" s="1058"/>
      <c r="V66" s="1081"/>
      <c r="W66" s="1064"/>
      <c r="X66" s="1067"/>
      <c r="Y66" s="1053"/>
      <c r="Z66" s="1056"/>
      <c r="AA66" s="1067"/>
      <c r="AB66" s="1053"/>
      <c r="AC66" s="1056"/>
    </row>
    <row r="67" spans="1:223" s="440" customFormat="1" ht="44.25" customHeight="1" thickBot="1" thickTop="1">
      <c r="A67" s="1182" t="s">
        <v>868</v>
      </c>
      <c r="B67" s="1183"/>
      <c r="C67" s="1184"/>
      <c r="D67" s="660">
        <f>SUM(D56:D63)</f>
        <v>300287851</v>
      </c>
      <c r="E67" s="661">
        <f>SUM(E56:E63)</f>
        <v>6090165</v>
      </c>
      <c r="F67" s="740">
        <f>SUM(D67:E67)</f>
        <v>306378016</v>
      </c>
      <c r="G67" s="791"/>
      <c r="H67" s="1166" t="s">
        <v>97</v>
      </c>
      <c r="I67" s="1167"/>
      <c r="J67" s="1168"/>
      <c r="K67" s="455">
        <f>SUM(K55:K63)</f>
        <v>178276872</v>
      </c>
      <c r="L67" s="454"/>
      <c r="M67" s="1092" t="s">
        <v>98</v>
      </c>
      <c r="N67" s="1092"/>
      <c r="O67" s="1092"/>
      <c r="P67" s="1093"/>
      <c r="Q67" s="455">
        <f>SUM(Q55:Q65)</f>
        <v>56152493</v>
      </c>
      <c r="R67" s="456"/>
      <c r="S67" s="1092" t="s">
        <v>99</v>
      </c>
      <c r="T67" s="1092"/>
      <c r="U67" s="1092"/>
      <c r="V67" s="1093"/>
      <c r="W67" s="457">
        <f>SUM(W55:W65)</f>
        <v>35361632</v>
      </c>
      <c r="X67" s="458">
        <f>SUM(X54:X62)</f>
        <v>264850020</v>
      </c>
      <c r="Y67" s="459">
        <f>SUM(Y54:Y62)</f>
        <v>4940977</v>
      </c>
      <c r="Z67" s="460">
        <f>SUM(X67:Y67)</f>
        <v>269790997</v>
      </c>
      <c r="AA67" s="458">
        <f>X67-D67</f>
        <v>-35437831</v>
      </c>
      <c r="AB67" s="461">
        <f>Y67-E67</f>
        <v>-1149188</v>
      </c>
      <c r="AC67" s="460">
        <f>SUM(AA67:AB67)</f>
        <v>-36587019</v>
      </c>
      <c r="AD67" s="462"/>
      <c r="AE67" s="462"/>
      <c r="AF67" s="462"/>
      <c r="AG67" s="462"/>
      <c r="AH67" s="462"/>
      <c r="AI67" s="462"/>
      <c r="AJ67" s="462"/>
      <c r="AK67" s="462"/>
      <c r="AL67" s="462"/>
      <c r="AM67" s="462"/>
      <c r="AN67" s="462"/>
      <c r="AO67" s="462"/>
      <c r="AP67" s="462"/>
      <c r="AQ67" s="462"/>
      <c r="AR67" s="462"/>
      <c r="AS67" s="462"/>
      <c r="AT67" s="462"/>
      <c r="AU67" s="462"/>
      <c r="AV67" s="462"/>
      <c r="AW67" s="462"/>
      <c r="AX67" s="462"/>
      <c r="AY67" s="462"/>
      <c r="AZ67" s="462"/>
      <c r="BA67" s="462"/>
      <c r="BB67" s="462"/>
      <c r="BC67" s="462"/>
      <c r="BD67" s="462"/>
      <c r="BE67" s="462"/>
      <c r="BF67" s="462"/>
      <c r="BG67" s="462"/>
      <c r="BH67" s="462"/>
      <c r="BI67" s="462"/>
      <c r="BJ67" s="462"/>
      <c r="BK67" s="462"/>
      <c r="BL67" s="462"/>
      <c r="BM67" s="462"/>
      <c r="BN67" s="462"/>
      <c r="BO67" s="462"/>
      <c r="BP67" s="462"/>
      <c r="BQ67" s="462"/>
      <c r="BR67" s="462"/>
      <c r="BS67" s="462"/>
      <c r="BT67" s="462"/>
      <c r="BU67" s="462"/>
      <c r="BV67" s="462"/>
      <c r="BW67" s="462"/>
      <c r="BX67" s="462"/>
      <c r="BY67" s="462"/>
      <c r="BZ67" s="462"/>
      <c r="CA67" s="462"/>
      <c r="CB67" s="462"/>
      <c r="CC67" s="462"/>
      <c r="CD67" s="462"/>
      <c r="CE67" s="462"/>
      <c r="CF67" s="462"/>
      <c r="CG67" s="462"/>
      <c r="CH67" s="462"/>
      <c r="CI67" s="462"/>
      <c r="CJ67" s="462"/>
      <c r="CK67" s="462"/>
      <c r="CL67" s="462"/>
      <c r="CM67" s="462"/>
      <c r="CN67" s="462"/>
      <c r="CO67" s="462"/>
      <c r="CP67" s="462"/>
      <c r="CQ67" s="462"/>
      <c r="CR67" s="462"/>
      <c r="CS67" s="462"/>
      <c r="CT67" s="462"/>
      <c r="CU67" s="462"/>
      <c r="CV67" s="462"/>
      <c r="CW67" s="462"/>
      <c r="CX67" s="462"/>
      <c r="CY67" s="462"/>
      <c r="CZ67" s="462"/>
      <c r="DA67" s="462"/>
      <c r="DB67" s="462"/>
      <c r="DC67" s="462"/>
      <c r="DD67" s="462"/>
      <c r="DE67" s="462"/>
      <c r="DF67" s="462"/>
      <c r="DG67" s="462"/>
      <c r="DH67" s="462"/>
      <c r="DI67" s="462"/>
      <c r="DJ67" s="462"/>
      <c r="DK67" s="462"/>
      <c r="DL67" s="462"/>
      <c r="DM67" s="462"/>
      <c r="DN67" s="462"/>
      <c r="DO67" s="462"/>
      <c r="DP67" s="462"/>
      <c r="DQ67" s="462"/>
      <c r="DR67" s="462"/>
      <c r="DS67" s="462"/>
      <c r="DT67" s="462"/>
      <c r="DU67" s="462"/>
      <c r="DV67" s="462"/>
      <c r="DW67" s="462"/>
      <c r="DX67" s="462"/>
      <c r="DY67" s="462"/>
      <c r="DZ67" s="462"/>
      <c r="EA67" s="462"/>
      <c r="EB67" s="462"/>
      <c r="EC67" s="462"/>
      <c r="ED67" s="462"/>
      <c r="EE67" s="462"/>
      <c r="EF67" s="462"/>
      <c r="EG67" s="462"/>
      <c r="EH67" s="462"/>
      <c r="EI67" s="462"/>
      <c r="EJ67" s="462"/>
      <c r="EK67" s="462"/>
      <c r="EL67" s="462"/>
      <c r="EM67" s="462"/>
      <c r="EN67" s="462"/>
      <c r="EO67" s="462"/>
      <c r="EP67" s="462"/>
      <c r="EQ67" s="462"/>
      <c r="ER67" s="462"/>
      <c r="ES67" s="462"/>
      <c r="ET67" s="462"/>
      <c r="EU67" s="462"/>
      <c r="EV67" s="462"/>
      <c r="EW67" s="462"/>
      <c r="EX67" s="462"/>
      <c r="EY67" s="462"/>
      <c r="EZ67" s="462"/>
      <c r="FA67" s="462"/>
      <c r="FB67" s="462"/>
      <c r="FC67" s="462"/>
      <c r="FD67" s="462"/>
      <c r="FE67" s="462"/>
      <c r="FF67" s="462"/>
      <c r="FG67" s="462"/>
      <c r="FH67" s="462"/>
      <c r="FI67" s="462"/>
      <c r="FJ67" s="462"/>
      <c r="FK67" s="462"/>
      <c r="FL67" s="462"/>
      <c r="FM67" s="462"/>
      <c r="FN67" s="462"/>
      <c r="FO67" s="462"/>
      <c r="FP67" s="462"/>
      <c r="FQ67" s="462"/>
      <c r="FR67" s="462"/>
      <c r="FS67" s="462"/>
      <c r="FT67" s="462"/>
      <c r="FU67" s="462"/>
      <c r="FV67" s="462"/>
      <c r="FW67" s="462"/>
      <c r="FX67" s="462"/>
      <c r="FY67" s="462"/>
      <c r="FZ67" s="462"/>
      <c r="GA67" s="462"/>
      <c r="GB67" s="462"/>
      <c r="GC67" s="462"/>
      <c r="GD67" s="462"/>
      <c r="GE67" s="462"/>
      <c r="GF67" s="462"/>
      <c r="GG67" s="462"/>
      <c r="GH67" s="462"/>
      <c r="GI67" s="462"/>
      <c r="GJ67" s="462"/>
      <c r="GK67" s="462"/>
      <c r="GL67" s="462"/>
      <c r="GM67" s="462"/>
      <c r="GN67" s="462"/>
      <c r="GO67" s="462"/>
      <c r="GP67" s="462"/>
      <c r="GQ67" s="462"/>
      <c r="GR67" s="462"/>
      <c r="GS67" s="462"/>
      <c r="GT67" s="462"/>
      <c r="GU67" s="462"/>
      <c r="GV67" s="462"/>
      <c r="GW67" s="462"/>
      <c r="GX67" s="462"/>
      <c r="GY67" s="462"/>
      <c r="GZ67" s="462"/>
      <c r="HA67" s="462"/>
      <c r="HB67" s="462"/>
      <c r="HC67" s="462"/>
      <c r="HD67" s="462"/>
      <c r="HE67" s="462"/>
      <c r="HF67" s="462"/>
      <c r="HG67" s="462"/>
      <c r="HH67" s="462"/>
      <c r="HI67" s="462"/>
      <c r="HJ67" s="462"/>
      <c r="HK67" s="462"/>
      <c r="HL67" s="462"/>
      <c r="HM67" s="462"/>
      <c r="HN67" s="462"/>
      <c r="HO67" s="462"/>
    </row>
    <row r="68" spans="1:29" ht="21" customHeight="1" thickBot="1" thickTop="1">
      <c r="A68" s="1200" t="s">
        <v>361</v>
      </c>
      <c r="B68" s="1201"/>
      <c r="C68" s="1202"/>
      <c r="D68" s="416">
        <f>SUM(D67,D43,D35,D51)</f>
        <v>1415612108</v>
      </c>
      <c r="E68" s="416">
        <f>SUM(E67,E43,E35,E51)</f>
        <v>417551660</v>
      </c>
      <c r="F68" s="662">
        <f>SUM(D68:E68)</f>
        <v>1833163768</v>
      </c>
      <c r="G68" s="792"/>
      <c r="H68" s="1214" t="s">
        <v>102</v>
      </c>
      <c r="I68" s="1215"/>
      <c r="J68" s="1216"/>
      <c r="K68" s="418">
        <f>SUM(K67,K43,K35,K51)</f>
        <v>539569213</v>
      </c>
      <c r="L68" s="417"/>
      <c r="M68" s="1193" t="s">
        <v>103</v>
      </c>
      <c r="N68" s="1193"/>
      <c r="O68" s="1193"/>
      <c r="P68" s="1194"/>
      <c r="Q68" s="418">
        <f>SUM(Q67,Q43,Q35,Q51)</f>
        <v>552265703</v>
      </c>
      <c r="R68" s="419"/>
      <c r="S68" s="1193" t="s">
        <v>104</v>
      </c>
      <c r="T68" s="1193"/>
      <c r="U68" s="1193"/>
      <c r="V68" s="1194"/>
      <c r="W68" s="751">
        <f>SUM(W67,W43,W35,W51)</f>
        <v>741328852</v>
      </c>
      <c r="X68" s="752">
        <f>SUM(X67,X43,X35,X51)</f>
        <v>1385756023</v>
      </c>
      <c r="Y68" s="420">
        <f>SUM(Y67,Y43,Y35,Y51)</f>
        <v>447407745</v>
      </c>
      <c r="Z68" s="421">
        <f>SUM(W68+Q68+K68)</f>
        <v>1833163768</v>
      </c>
      <c r="AA68" s="420">
        <f>SUM(AA67,AA43,AA35,AA51)</f>
        <v>-29856085</v>
      </c>
      <c r="AB68" s="420">
        <f>SUM(AB67,AB43,AB35,AB51)</f>
        <v>29856085</v>
      </c>
      <c r="AC68" s="662">
        <f>SUM(AC67,AC43,AC35,AC51)</f>
        <v>0</v>
      </c>
    </row>
    <row r="69" spans="1:29" ht="19.5" thickTop="1">
      <c r="A69" s="1187"/>
      <c r="B69" s="1188"/>
      <c r="C69" s="1188"/>
      <c r="D69" s="393"/>
      <c r="E69" s="393"/>
      <c r="F69" s="393"/>
      <c r="G69" s="339"/>
      <c r="H69" s="339"/>
      <c r="I69" s="339"/>
      <c r="J69" s="422"/>
      <c r="K69" s="369"/>
      <c r="L69" s="337"/>
      <c r="M69" s="325"/>
      <c r="N69" s="325"/>
      <c r="O69" s="325"/>
      <c r="P69" s="325"/>
      <c r="Q69" s="325"/>
      <c r="R69" s="337"/>
      <c r="S69" s="393"/>
      <c r="T69" s="393"/>
      <c r="U69" s="393"/>
      <c r="V69" s="393"/>
      <c r="W69" s="393"/>
      <c r="X69" s="393"/>
      <c r="Y69" s="393"/>
      <c r="Z69" s="393"/>
      <c r="AA69" s="393"/>
      <c r="AB69" s="393"/>
      <c r="AC69" s="337"/>
    </row>
    <row r="70" spans="1:29" ht="15.75">
      <c r="A70" s="393"/>
      <c r="B70" s="393"/>
      <c r="C70" s="393"/>
      <c r="D70" s="1195" t="s">
        <v>480</v>
      </c>
      <c r="E70" s="1196"/>
      <c r="F70" s="1196"/>
      <c r="G70" s="289"/>
      <c r="H70" s="289"/>
      <c r="I70" s="289"/>
      <c r="J70" s="282"/>
      <c r="K70" s="369"/>
      <c r="L70" s="325"/>
      <c r="M70" s="325"/>
      <c r="N70" s="325"/>
      <c r="O70" s="325"/>
      <c r="P70" s="325"/>
      <c r="Q70" s="325"/>
      <c r="R70" s="325"/>
      <c r="S70" s="393"/>
      <c r="T70" s="393"/>
      <c r="U70" s="393"/>
      <c r="V70" s="393"/>
      <c r="W70" s="1195" t="s">
        <v>105</v>
      </c>
      <c r="X70" s="1196"/>
      <c r="Y70" s="1196"/>
      <c r="Z70" s="423"/>
      <c r="AA70" s="1195" t="s">
        <v>90</v>
      </c>
      <c r="AB70" s="1196"/>
      <c r="AC70" s="1196"/>
    </row>
    <row r="71" spans="1:29" ht="15.75">
      <c r="A71" s="393"/>
      <c r="B71" s="393"/>
      <c r="C71" s="393"/>
      <c r="D71" s="424" t="s">
        <v>91</v>
      </c>
      <c r="E71" s="424" t="s">
        <v>106</v>
      </c>
      <c r="F71" s="424" t="s">
        <v>92</v>
      </c>
      <c r="G71" s="289"/>
      <c r="H71" s="289"/>
      <c r="I71" s="289"/>
      <c r="J71" s="282"/>
      <c r="K71" s="369"/>
      <c r="L71" s="325"/>
      <c r="M71" s="325"/>
      <c r="N71" s="325"/>
      <c r="O71" s="325"/>
      <c r="P71" s="325"/>
      <c r="Q71" s="325"/>
      <c r="R71" s="325"/>
      <c r="S71" s="1217"/>
      <c r="T71" s="1217"/>
      <c r="U71" s="1217"/>
      <c r="V71" s="1217"/>
      <c r="W71" s="424" t="s">
        <v>91</v>
      </c>
      <c r="X71" s="424" t="s">
        <v>106</v>
      </c>
      <c r="Y71" s="424" t="s">
        <v>92</v>
      </c>
      <c r="Z71" s="425"/>
      <c r="AA71" s="424" t="s">
        <v>91</v>
      </c>
      <c r="AB71" s="424" t="s">
        <v>106</v>
      </c>
      <c r="AC71" s="424" t="s">
        <v>92</v>
      </c>
    </row>
    <row r="72" spans="1:29" ht="15.75">
      <c r="A72" s="393"/>
      <c r="B72" s="393"/>
      <c r="C72" s="426" t="s">
        <v>107</v>
      </c>
      <c r="D72" s="393"/>
      <c r="E72" s="393"/>
      <c r="F72" s="393"/>
      <c r="G72" s="289"/>
      <c r="H72" s="289"/>
      <c r="I72" s="289"/>
      <c r="J72" s="282"/>
      <c r="K72" s="369"/>
      <c r="L72" s="325"/>
      <c r="M72" s="325"/>
      <c r="N72" s="325"/>
      <c r="O72" s="325"/>
      <c r="P72" s="325"/>
      <c r="Q72" s="325"/>
      <c r="R72" s="325"/>
      <c r="S72" s="393"/>
      <c r="T72" s="426" t="s">
        <v>107</v>
      </c>
      <c r="U72" s="393"/>
      <c r="V72" s="1195"/>
      <c r="W72" s="1196"/>
      <c r="X72" s="393"/>
      <c r="Y72" s="393"/>
      <c r="Z72" s="393"/>
      <c r="AA72" s="393"/>
      <c r="AB72" s="393"/>
      <c r="AC72" s="325"/>
    </row>
    <row r="73" spans="1:29" ht="15.75">
      <c r="A73" s="393"/>
      <c r="B73" s="393"/>
      <c r="C73" s="393" t="s">
        <v>108</v>
      </c>
      <c r="D73" s="427">
        <f>SUM(D10)</f>
        <v>623193245</v>
      </c>
      <c r="E73" s="427">
        <f>SUM(E10)</f>
        <v>83886991</v>
      </c>
      <c r="F73" s="427">
        <f>SUM(D73:E73)</f>
        <v>707080236</v>
      </c>
      <c r="G73" s="289"/>
      <c r="H73" s="289"/>
      <c r="I73" s="289"/>
      <c r="J73" s="282"/>
      <c r="K73" s="369"/>
      <c r="L73" s="325"/>
      <c r="M73" s="325"/>
      <c r="N73" s="325"/>
      <c r="O73" s="325"/>
      <c r="P73" s="325"/>
      <c r="Q73" s="325"/>
      <c r="R73" s="325"/>
      <c r="S73" s="393"/>
      <c r="T73" s="393" t="s">
        <v>108</v>
      </c>
      <c r="U73" s="393"/>
      <c r="V73" s="393"/>
      <c r="W73" s="427">
        <f>SUM(X14)</f>
        <v>701774708</v>
      </c>
      <c r="X73" s="427">
        <f>Y14</f>
        <v>124507945</v>
      </c>
      <c r="Y73" s="427">
        <f>SUM(W73:X73)</f>
        <v>826282653</v>
      </c>
      <c r="Z73" s="376"/>
      <c r="AA73" s="427">
        <f aca="true" t="shared" si="0" ref="AA73:AB76">W73-D73</f>
        <v>78581463</v>
      </c>
      <c r="AB73" s="427">
        <f t="shared" si="0"/>
        <v>40620954</v>
      </c>
      <c r="AC73" s="376">
        <f>SUM(AA73:AB73)</f>
        <v>119202417</v>
      </c>
    </row>
    <row r="74" spans="1:29" ht="15.75">
      <c r="A74" s="393"/>
      <c r="B74" s="393"/>
      <c r="C74" s="393" t="s">
        <v>367</v>
      </c>
      <c r="D74" s="427">
        <f>SUM(D40)</f>
        <v>129626952</v>
      </c>
      <c r="E74" s="427">
        <f>SUM(E40)</f>
        <v>1229404</v>
      </c>
      <c r="F74" s="427">
        <f>SUM(D74:E74)</f>
        <v>130856356</v>
      </c>
      <c r="G74" s="289"/>
      <c r="H74" s="289"/>
      <c r="I74" s="289"/>
      <c r="J74" s="428"/>
      <c r="K74" s="369"/>
      <c r="L74" s="325"/>
      <c r="M74" s="325"/>
      <c r="N74" s="325"/>
      <c r="O74" s="325"/>
      <c r="P74" s="325"/>
      <c r="Q74" s="325"/>
      <c r="R74" s="325"/>
      <c r="S74" s="393"/>
      <c r="T74" s="393" t="s">
        <v>367</v>
      </c>
      <c r="U74" s="393"/>
      <c r="V74" s="393"/>
      <c r="W74" s="427">
        <f>SUM(X40)</f>
        <v>136655634</v>
      </c>
      <c r="X74" s="427">
        <f>Y40</f>
        <v>0</v>
      </c>
      <c r="Y74" s="427">
        <f>SUM(W74:X74)</f>
        <v>136655634</v>
      </c>
      <c r="Z74" s="376"/>
      <c r="AA74" s="427">
        <f t="shared" si="0"/>
        <v>7028682</v>
      </c>
      <c r="AB74" s="427">
        <f t="shared" si="0"/>
        <v>-1229404</v>
      </c>
      <c r="AC74" s="376">
        <f>SUM(AA74:AB74)</f>
        <v>5799278</v>
      </c>
    </row>
    <row r="75" spans="1:29" ht="15.75">
      <c r="A75" s="393"/>
      <c r="B75" s="393"/>
      <c r="C75" s="393" t="s">
        <v>806</v>
      </c>
      <c r="D75" s="427">
        <f>SUM(D48)</f>
        <v>27070160</v>
      </c>
      <c r="E75" s="427">
        <f>SUM(E48)</f>
        <v>103900</v>
      </c>
      <c r="F75" s="427">
        <f>SUM(D75:E75)</f>
        <v>27174060</v>
      </c>
      <c r="G75" s="289"/>
      <c r="H75" s="289"/>
      <c r="I75" s="289"/>
      <c r="J75" s="428"/>
      <c r="K75" s="369"/>
      <c r="L75" s="325"/>
      <c r="M75" s="325"/>
      <c r="N75" s="325"/>
      <c r="O75" s="325"/>
      <c r="P75" s="325"/>
      <c r="Q75" s="325"/>
      <c r="R75" s="325"/>
      <c r="S75" s="393"/>
      <c r="T75" s="393" t="s">
        <v>864</v>
      </c>
      <c r="U75" s="393"/>
      <c r="V75" s="393"/>
      <c r="W75" s="427">
        <f>X48</f>
        <v>15710023</v>
      </c>
      <c r="X75" s="427">
        <f>Y48</f>
        <v>0</v>
      </c>
      <c r="Y75" s="427">
        <f>SUM(W75:X75)</f>
        <v>15710023</v>
      </c>
      <c r="Z75" s="376"/>
      <c r="AA75" s="427">
        <f>W75-D75</f>
        <v>-11360137</v>
      </c>
      <c r="AB75" s="427">
        <f>X75-E75</f>
        <v>-103900</v>
      </c>
      <c r="AC75" s="376">
        <f>SUM(AA75:AB75)</f>
        <v>-11464037</v>
      </c>
    </row>
    <row r="76" spans="1:29" ht="12.75">
      <c r="A76" s="393"/>
      <c r="B76" s="393"/>
      <c r="C76" s="429" t="s">
        <v>109</v>
      </c>
      <c r="D76" s="430">
        <f>SUM(D58)</f>
        <v>205267506</v>
      </c>
      <c r="E76" s="430">
        <f>SUM(E58)</f>
        <v>773143</v>
      </c>
      <c r="F76" s="430">
        <f>SUM(D76:E76)</f>
        <v>206040649</v>
      </c>
      <c r="G76" s="393"/>
      <c r="H76" s="393"/>
      <c r="I76" s="393"/>
      <c r="J76" s="393"/>
      <c r="K76" s="325"/>
      <c r="L76" s="325"/>
      <c r="M76" s="325"/>
      <c r="N76" s="325"/>
      <c r="O76" s="325"/>
      <c r="P76" s="325"/>
      <c r="Q76" s="325"/>
      <c r="R76" s="325"/>
      <c r="S76" s="393"/>
      <c r="T76" s="429" t="s">
        <v>109</v>
      </c>
      <c r="U76" s="431"/>
      <c r="V76" s="431"/>
      <c r="W76" s="430">
        <f>SUM(X58)</f>
        <v>172527761</v>
      </c>
      <c r="X76" s="430">
        <f>Y58</f>
        <v>0</v>
      </c>
      <c r="Y76" s="430">
        <f>SUM(W76:X76)</f>
        <v>172527761</v>
      </c>
      <c r="Z76" s="376"/>
      <c r="AA76" s="430">
        <f t="shared" si="0"/>
        <v>-32739745</v>
      </c>
      <c r="AB76" s="430">
        <f t="shared" si="0"/>
        <v>-773143</v>
      </c>
      <c r="AC76" s="430">
        <f>SUM(AA76:AB76)</f>
        <v>-33512888</v>
      </c>
    </row>
    <row r="77" spans="1:29" ht="12.75">
      <c r="A77" s="393"/>
      <c r="B77" s="393"/>
      <c r="C77" s="432" t="s">
        <v>360</v>
      </c>
      <c r="D77" s="427">
        <f>SUM(D73:D76)</f>
        <v>985157863</v>
      </c>
      <c r="E77" s="427">
        <f>SUM(E73:E76)</f>
        <v>85993438</v>
      </c>
      <c r="F77" s="427">
        <f>SUM(F73:F76)</f>
        <v>1071151301</v>
      </c>
      <c r="G77" s="393"/>
      <c r="H77" s="393"/>
      <c r="I77" s="393"/>
      <c r="J77" s="393"/>
      <c r="K77" s="325"/>
      <c r="L77" s="325"/>
      <c r="M77" s="325"/>
      <c r="N77" s="325"/>
      <c r="O77" s="325"/>
      <c r="P77" s="325"/>
      <c r="Q77" s="325"/>
      <c r="R77" s="325"/>
      <c r="S77" s="393"/>
      <c r="T77" s="432" t="s">
        <v>360</v>
      </c>
      <c r="U77" s="393"/>
      <c r="V77" s="432"/>
      <c r="W77" s="427">
        <f>SUM(W73:W76)</f>
        <v>1026668126</v>
      </c>
      <c r="X77" s="427">
        <f>SUM(X73:X76)</f>
        <v>124507945</v>
      </c>
      <c r="Y77" s="427">
        <f>SUM(Y73:Y76)</f>
        <v>1151176071</v>
      </c>
      <c r="Z77" s="376"/>
      <c r="AA77" s="427">
        <f>SUM(AA73:AA76)</f>
        <v>41510263</v>
      </c>
      <c r="AB77" s="427">
        <f>SUM(AB73:AB76)</f>
        <v>38514507</v>
      </c>
      <c r="AC77" s="427">
        <f>SUM(AC73:AC76)</f>
        <v>80024770</v>
      </c>
    </row>
    <row r="78" spans="1:29" ht="12.75">
      <c r="A78" s="393"/>
      <c r="B78" s="393"/>
      <c r="C78" s="432"/>
      <c r="D78" s="427"/>
      <c r="E78" s="427"/>
      <c r="F78" s="427"/>
      <c r="G78" s="393"/>
      <c r="H78" s="393"/>
      <c r="I78" s="393"/>
      <c r="J78" s="393"/>
      <c r="K78" s="393"/>
      <c r="L78" s="325"/>
      <c r="M78" s="325"/>
      <c r="N78" s="325"/>
      <c r="O78" s="325"/>
      <c r="P78" s="325"/>
      <c r="Q78" s="325"/>
      <c r="R78" s="325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25"/>
    </row>
    <row r="79" spans="1:29" ht="12.75">
      <c r="A79" s="393"/>
      <c r="B79" s="393"/>
      <c r="C79" s="426" t="s">
        <v>110</v>
      </c>
      <c r="D79" s="427"/>
      <c r="E79" s="427"/>
      <c r="F79" s="427"/>
      <c r="G79" s="393"/>
      <c r="H79" s="393"/>
      <c r="I79" s="393"/>
      <c r="J79" s="393"/>
      <c r="K79" s="393"/>
      <c r="L79" s="325"/>
      <c r="M79" s="325"/>
      <c r="N79" s="325"/>
      <c r="O79" s="325"/>
      <c r="P79" s="325"/>
      <c r="Q79" s="325"/>
      <c r="R79" s="325"/>
      <c r="S79" s="393"/>
      <c r="T79" s="426" t="s">
        <v>110</v>
      </c>
      <c r="U79" s="433"/>
      <c r="V79" s="426"/>
      <c r="W79" s="434"/>
      <c r="X79" s="434"/>
      <c r="Y79" s="393"/>
      <c r="Z79" s="393"/>
      <c r="AA79" s="393"/>
      <c r="AB79" s="393"/>
      <c r="AC79" s="325"/>
    </row>
    <row r="80" spans="1:29" ht="12.75">
      <c r="A80" s="393"/>
      <c r="B80" s="393"/>
      <c r="C80" s="393" t="s">
        <v>108</v>
      </c>
      <c r="D80" s="427">
        <f>SUM(D30)</f>
        <v>285088610</v>
      </c>
      <c r="E80" s="427">
        <f>SUM(E30)</f>
        <v>325539540</v>
      </c>
      <c r="F80" s="427">
        <f>SUM(D80:E80)</f>
        <v>610628150</v>
      </c>
      <c r="G80" s="393"/>
      <c r="H80" s="393"/>
      <c r="I80" s="393"/>
      <c r="J80" s="393"/>
      <c r="K80" s="393"/>
      <c r="L80" s="325"/>
      <c r="M80" s="325"/>
      <c r="N80" s="325"/>
      <c r="O80" s="325"/>
      <c r="P80" s="325"/>
      <c r="Q80" s="325"/>
      <c r="R80" s="325"/>
      <c r="S80" s="393"/>
      <c r="T80" s="393" t="s">
        <v>108</v>
      </c>
      <c r="U80" s="393"/>
      <c r="V80" s="393"/>
      <c r="W80" s="427">
        <f>SUM(X30)</f>
        <v>227799581</v>
      </c>
      <c r="X80" s="427">
        <f>Y30</f>
        <v>317958823</v>
      </c>
      <c r="Y80" s="427">
        <f>SUM(W80:X80)</f>
        <v>545758404</v>
      </c>
      <c r="Z80" s="376"/>
      <c r="AA80" s="427">
        <f aca="true" t="shared" si="1" ref="AA80:AB83">W80-D80</f>
        <v>-57289029</v>
      </c>
      <c r="AB80" s="427">
        <f t="shared" si="1"/>
        <v>-7580717</v>
      </c>
      <c r="AC80" s="376">
        <f>SUM(AA80:AB80)</f>
        <v>-64869746</v>
      </c>
    </row>
    <row r="81" spans="1:29" ht="12.75">
      <c r="A81" s="393"/>
      <c r="B81" s="393"/>
      <c r="C81" s="393" t="s">
        <v>367</v>
      </c>
      <c r="D81" s="427">
        <v>0</v>
      </c>
      <c r="E81" s="427">
        <v>0</v>
      </c>
      <c r="F81" s="427">
        <f>SUM(D81:E81)</f>
        <v>0</v>
      </c>
      <c r="G81" s="393"/>
      <c r="H81" s="393"/>
      <c r="I81" s="393"/>
      <c r="J81" s="393"/>
      <c r="K81" s="393"/>
      <c r="L81" s="325"/>
      <c r="M81" s="325"/>
      <c r="N81" s="325"/>
      <c r="O81" s="325"/>
      <c r="P81" s="325"/>
      <c r="Q81" s="325"/>
      <c r="R81" s="325"/>
      <c r="S81" s="393"/>
      <c r="T81" s="393" t="s">
        <v>367</v>
      </c>
      <c r="U81" s="393"/>
      <c r="V81" s="393"/>
      <c r="W81" s="427">
        <v>0</v>
      </c>
      <c r="X81" s="427">
        <v>0</v>
      </c>
      <c r="Y81" s="427">
        <f>SUM(W81:X81)</f>
        <v>0</v>
      </c>
      <c r="Z81" s="376"/>
      <c r="AA81" s="427">
        <f t="shared" si="1"/>
        <v>0</v>
      </c>
      <c r="AB81" s="427">
        <f t="shared" si="1"/>
        <v>0</v>
      </c>
      <c r="AC81" s="376">
        <f>SUM(AA81:AB81)</f>
        <v>0</v>
      </c>
    </row>
    <row r="82" spans="1:29" ht="12.75">
      <c r="A82" s="393"/>
      <c r="B82" s="393"/>
      <c r="C82" s="393" t="s">
        <v>806</v>
      </c>
      <c r="D82" s="427">
        <f>SUM(D50)</f>
        <v>49530</v>
      </c>
      <c r="E82" s="427">
        <f>SUM(E50)</f>
        <v>0</v>
      </c>
      <c r="F82" s="427">
        <f>SUM(D82:E82)</f>
        <v>49530</v>
      </c>
      <c r="G82" s="393"/>
      <c r="H82" s="393"/>
      <c r="I82" s="393"/>
      <c r="J82" s="393"/>
      <c r="K82" s="393"/>
      <c r="L82" s="325"/>
      <c r="M82" s="325"/>
      <c r="N82" s="325"/>
      <c r="O82" s="325"/>
      <c r="P82" s="325"/>
      <c r="Q82" s="325"/>
      <c r="R82" s="325"/>
      <c r="S82" s="393"/>
      <c r="T82" s="393" t="s">
        <v>864</v>
      </c>
      <c r="U82" s="393"/>
      <c r="V82" s="393"/>
      <c r="W82" s="427">
        <f>X49</f>
        <v>0</v>
      </c>
      <c r="X82" s="427">
        <f>Y50</f>
        <v>0</v>
      </c>
      <c r="Y82" s="427">
        <f>SUM(W82:X82)</f>
        <v>0</v>
      </c>
      <c r="Z82" s="376"/>
      <c r="AA82" s="427">
        <f>W82-D82</f>
        <v>-49530</v>
      </c>
      <c r="AB82" s="427">
        <f>X82-E82</f>
        <v>0</v>
      </c>
      <c r="AC82" s="376">
        <f>SUM(AA82:AB82)</f>
        <v>-49530</v>
      </c>
    </row>
    <row r="83" spans="1:29" ht="12.75">
      <c r="A83" s="393"/>
      <c r="B83" s="393"/>
      <c r="C83" s="429" t="s">
        <v>109</v>
      </c>
      <c r="D83" s="430">
        <f>SUM(D62)</f>
        <v>95020345</v>
      </c>
      <c r="E83" s="430">
        <f>SUM(E62)</f>
        <v>5317022</v>
      </c>
      <c r="F83" s="430">
        <f>SUM(D83:E83)</f>
        <v>100337367</v>
      </c>
      <c r="G83" s="393"/>
      <c r="H83" s="393"/>
      <c r="I83" s="393"/>
      <c r="J83" s="393"/>
      <c r="K83" s="393"/>
      <c r="L83" s="325"/>
      <c r="M83" s="325"/>
      <c r="N83" s="325"/>
      <c r="O83" s="325"/>
      <c r="P83" s="325"/>
      <c r="Q83" s="325"/>
      <c r="R83" s="325"/>
      <c r="S83" s="393"/>
      <c r="T83" s="429" t="s">
        <v>109</v>
      </c>
      <c r="U83" s="431"/>
      <c r="V83" s="431"/>
      <c r="W83" s="430">
        <f>SUM(X62)</f>
        <v>92322259</v>
      </c>
      <c r="X83" s="430">
        <f>Y62</f>
        <v>4940977</v>
      </c>
      <c r="Y83" s="430">
        <f>SUM(W83:X83)</f>
        <v>97263236</v>
      </c>
      <c r="Z83" s="376"/>
      <c r="AA83" s="430">
        <f t="shared" si="1"/>
        <v>-2698086</v>
      </c>
      <c r="AB83" s="430">
        <f t="shared" si="1"/>
        <v>-376045</v>
      </c>
      <c r="AC83" s="430">
        <f>SUM(AA83:AB83)</f>
        <v>-3074131</v>
      </c>
    </row>
    <row r="84" spans="1:29" ht="12.75">
      <c r="A84" s="393"/>
      <c r="B84" s="393"/>
      <c r="C84" s="432" t="s">
        <v>360</v>
      </c>
      <c r="D84" s="427">
        <f>SUM(D80:D83)</f>
        <v>380158485</v>
      </c>
      <c r="E84" s="427">
        <f>SUM(E80:E83)</f>
        <v>330856562</v>
      </c>
      <c r="F84" s="427">
        <f>SUM(F80:F83)</f>
        <v>711015047</v>
      </c>
      <c r="G84" s="393"/>
      <c r="H84" s="393"/>
      <c r="I84" s="393"/>
      <c r="J84" s="393"/>
      <c r="K84" s="393"/>
      <c r="L84" s="325"/>
      <c r="M84" s="325"/>
      <c r="N84" s="325"/>
      <c r="O84" s="325"/>
      <c r="P84" s="325"/>
      <c r="Q84" s="325"/>
      <c r="R84" s="325"/>
      <c r="S84" s="393"/>
      <c r="T84" s="432" t="s">
        <v>360</v>
      </c>
      <c r="U84" s="393"/>
      <c r="V84" s="432"/>
      <c r="W84" s="427">
        <f>SUM(W80:W83)</f>
        <v>320121840</v>
      </c>
      <c r="X84" s="427">
        <f>SUM(X80:X83)</f>
        <v>322899800</v>
      </c>
      <c r="Y84" s="427">
        <f>SUM(Y80:Y83)</f>
        <v>643021640</v>
      </c>
      <c r="Z84" s="376"/>
      <c r="AA84" s="427">
        <f>SUM(AA80:AA83)</f>
        <v>-60036645</v>
      </c>
      <c r="AB84" s="427">
        <f>SUM(AB80:AB83)</f>
        <v>-7956762</v>
      </c>
      <c r="AC84" s="427">
        <f>SUM(AC80:AC83)</f>
        <v>-67993407</v>
      </c>
    </row>
    <row r="85" spans="1:29" ht="12.75">
      <c r="A85" s="393"/>
      <c r="B85" s="393"/>
      <c r="C85" s="432"/>
      <c r="D85" s="427"/>
      <c r="E85" s="427"/>
      <c r="F85" s="427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25"/>
      <c r="AA85" s="427"/>
      <c r="AB85" s="427"/>
      <c r="AC85" s="325"/>
    </row>
    <row r="86" spans="1:29" ht="12.75">
      <c r="A86" s="393"/>
      <c r="B86" s="393"/>
      <c r="C86" s="426" t="s">
        <v>111</v>
      </c>
      <c r="D86" s="427"/>
      <c r="E86" s="427"/>
      <c r="F86" s="427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426" t="s">
        <v>111</v>
      </c>
      <c r="U86" s="393"/>
      <c r="V86" s="426"/>
      <c r="W86" s="393"/>
      <c r="X86" s="393"/>
      <c r="Y86" s="393"/>
      <c r="Z86" s="325"/>
      <c r="AA86" s="427"/>
      <c r="AB86" s="427"/>
      <c r="AC86" s="325"/>
    </row>
    <row r="87" spans="1:29" ht="12.75">
      <c r="A87" s="393"/>
      <c r="B87" s="393"/>
      <c r="C87" s="393" t="s">
        <v>108</v>
      </c>
      <c r="D87" s="427">
        <f>SUM(D24)</f>
        <v>50295760</v>
      </c>
      <c r="E87" s="427">
        <f>SUM(E24)</f>
        <v>701660</v>
      </c>
      <c r="F87" s="427">
        <f>SUM(D87:E87)</f>
        <v>50997420</v>
      </c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 t="s">
        <v>108</v>
      </c>
      <c r="U87" s="393"/>
      <c r="V87" s="393"/>
      <c r="W87" s="427">
        <f>SUM(X24)</f>
        <v>38966057</v>
      </c>
      <c r="X87" s="427">
        <v>0</v>
      </c>
      <c r="Y87" s="427">
        <f>SUM(W87:X87)</f>
        <v>38966057</v>
      </c>
      <c r="Z87" s="376"/>
      <c r="AA87" s="427">
        <f aca="true" t="shared" si="2" ref="AA87:AB90">W87-D87</f>
        <v>-11329703</v>
      </c>
      <c r="AB87" s="427">
        <f t="shared" si="2"/>
        <v>-701660</v>
      </c>
      <c r="AC87" s="376">
        <f>SUM(AA87:AB87)</f>
        <v>-12031363</v>
      </c>
    </row>
    <row r="88" spans="1:29" ht="12.75">
      <c r="A88" s="393"/>
      <c r="B88" s="393"/>
      <c r="C88" s="393" t="s">
        <v>367</v>
      </c>
      <c r="D88" s="427">
        <v>0</v>
      </c>
      <c r="E88" s="427">
        <v>0</v>
      </c>
      <c r="F88" s="427">
        <f>SUM(D88:E88)</f>
        <v>0</v>
      </c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 t="s">
        <v>367</v>
      </c>
      <c r="U88" s="393"/>
      <c r="V88" s="393"/>
      <c r="W88" s="427">
        <v>0</v>
      </c>
      <c r="X88" s="427">
        <v>0</v>
      </c>
      <c r="Y88" s="427">
        <f>SUM(W88:X88)</f>
        <v>0</v>
      </c>
      <c r="Z88" s="376"/>
      <c r="AA88" s="427">
        <f t="shared" si="2"/>
        <v>0</v>
      </c>
      <c r="AB88" s="427">
        <f t="shared" si="2"/>
        <v>0</v>
      </c>
      <c r="AC88" s="376">
        <f>SUM(AA88:AB88)</f>
        <v>0</v>
      </c>
    </row>
    <row r="89" spans="1:29" ht="12.75">
      <c r="A89" s="393"/>
      <c r="B89" s="393"/>
      <c r="C89" s="393" t="s">
        <v>806</v>
      </c>
      <c r="D89" s="427">
        <v>0</v>
      </c>
      <c r="E89" s="427">
        <v>0</v>
      </c>
      <c r="F89" s="427">
        <f>SUM(D89:E89)</f>
        <v>0</v>
      </c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 t="s">
        <v>864</v>
      </c>
      <c r="U89" s="393"/>
      <c r="V89" s="393"/>
      <c r="W89" s="427">
        <v>0</v>
      </c>
      <c r="X89" s="427">
        <v>0</v>
      </c>
      <c r="Y89" s="427">
        <f>SUM(W89:X89)</f>
        <v>0</v>
      </c>
      <c r="Z89" s="376"/>
      <c r="AA89" s="427">
        <f>W89-D89</f>
        <v>0</v>
      </c>
      <c r="AB89" s="427">
        <f>X89-E89</f>
        <v>0</v>
      </c>
      <c r="AC89" s="376">
        <f>SUM(AA89:AB89)</f>
        <v>0</v>
      </c>
    </row>
    <row r="90" spans="1:29" ht="12.75">
      <c r="A90" s="393"/>
      <c r="B90" s="393"/>
      <c r="C90" s="429" t="s">
        <v>109</v>
      </c>
      <c r="D90" s="430">
        <v>0</v>
      </c>
      <c r="E90" s="430">
        <v>0</v>
      </c>
      <c r="F90" s="430">
        <f>SUM(D90:E90)</f>
        <v>0</v>
      </c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429" t="s">
        <v>109</v>
      </c>
      <c r="U90" s="431"/>
      <c r="V90" s="431"/>
      <c r="W90" s="430">
        <v>0</v>
      </c>
      <c r="X90" s="430">
        <v>0</v>
      </c>
      <c r="Y90" s="430">
        <f>SUM(W90:X90)</f>
        <v>0</v>
      </c>
      <c r="Z90" s="376"/>
      <c r="AA90" s="430">
        <f t="shared" si="2"/>
        <v>0</v>
      </c>
      <c r="AB90" s="430">
        <f t="shared" si="2"/>
        <v>0</v>
      </c>
      <c r="AC90" s="430">
        <f>SUM(AA90:AB90)</f>
        <v>0</v>
      </c>
    </row>
    <row r="91" spans="1:29" ht="12.75">
      <c r="A91" s="393"/>
      <c r="B91" s="393"/>
      <c r="C91" s="432" t="s">
        <v>360</v>
      </c>
      <c r="D91" s="427">
        <f>SUM(D87:D90)</f>
        <v>50295760</v>
      </c>
      <c r="E91" s="427">
        <f>SUM(E87:E90)</f>
        <v>701660</v>
      </c>
      <c r="F91" s="427">
        <f>SUM(F87:F90)</f>
        <v>50997420</v>
      </c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432" t="s">
        <v>360</v>
      </c>
      <c r="U91" s="393"/>
      <c r="V91" s="432"/>
      <c r="W91" s="427">
        <f>SUM(W87:W90)</f>
        <v>38966057</v>
      </c>
      <c r="X91" s="427">
        <f>SUM(X87:X90)</f>
        <v>0</v>
      </c>
      <c r="Y91" s="427">
        <f>SUM(Y87:Y90)</f>
        <v>38966057</v>
      </c>
      <c r="Z91" s="376"/>
      <c r="AA91" s="427">
        <f>SUM(AA87:AA90)</f>
        <v>-11329703</v>
      </c>
      <c r="AB91" s="427">
        <f>SUM(AB87:AB90)</f>
        <v>-701660</v>
      </c>
      <c r="AC91" s="427">
        <f>SUM(AC87:AC90)</f>
        <v>-12031363</v>
      </c>
    </row>
    <row r="92" spans="1:29" ht="12.75">
      <c r="A92" s="393"/>
      <c r="B92" s="393"/>
      <c r="C92" s="432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25"/>
      <c r="AA92" s="427"/>
      <c r="AB92" s="427"/>
      <c r="AC92" s="325"/>
    </row>
    <row r="93" spans="1:29" ht="12.75">
      <c r="A93" s="393"/>
      <c r="B93" s="393"/>
      <c r="C93" s="435" t="s">
        <v>112</v>
      </c>
      <c r="D93" s="436">
        <f>SUM(D91,D84,D77)</f>
        <v>1415612108</v>
      </c>
      <c r="E93" s="436">
        <f>SUM(E91,E84,E77)</f>
        <v>417551660</v>
      </c>
      <c r="F93" s="436">
        <f>SUM(F91,F84,F77)</f>
        <v>1833163768</v>
      </c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  <c r="T93" s="435" t="s">
        <v>112</v>
      </c>
      <c r="U93" s="435"/>
      <c r="V93" s="435"/>
      <c r="W93" s="436">
        <f>SUM(W91,W84,W77)</f>
        <v>1385756023</v>
      </c>
      <c r="X93" s="436">
        <f>SUM(X91,X84,X77)</f>
        <v>447407745</v>
      </c>
      <c r="Y93" s="436">
        <f>SUM(Y91,Y84,Y77)</f>
        <v>1833163768</v>
      </c>
      <c r="Z93" s="305"/>
      <c r="AA93" s="436">
        <f>SUM(AA91,AA84,AA77)</f>
        <v>-29856085</v>
      </c>
      <c r="AB93" s="436">
        <f>SUM(AB91,AB84,AB77)</f>
        <v>29856085</v>
      </c>
      <c r="AC93" s="436">
        <f>SUM(AC91,AC84,AC77)</f>
        <v>0</v>
      </c>
    </row>
    <row r="94" spans="1:29" ht="12.75">
      <c r="A94" s="435"/>
      <c r="B94" s="435"/>
      <c r="D94" s="393"/>
      <c r="E94" s="393"/>
      <c r="F94" s="393"/>
      <c r="G94" s="427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25"/>
    </row>
    <row r="95" spans="1:29" ht="12.75">
      <c r="A95" s="393"/>
      <c r="B95" s="393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25"/>
    </row>
    <row r="96" spans="1:3" ht="12.75">
      <c r="A96" s="393"/>
      <c r="B96" s="393"/>
      <c r="C96" s="393"/>
    </row>
  </sheetData>
  <sheetProtection/>
  <mergeCells count="216">
    <mergeCell ref="A50:C50"/>
    <mergeCell ref="B48:C48"/>
    <mergeCell ref="L44:Q45"/>
    <mergeCell ref="P38:P39"/>
    <mergeCell ref="G49:I49"/>
    <mergeCell ref="B40:C40"/>
    <mergeCell ref="G41:I41"/>
    <mergeCell ref="D44:F44"/>
    <mergeCell ref="P46:P47"/>
    <mergeCell ref="A43:C43"/>
    <mergeCell ref="A44:C45"/>
    <mergeCell ref="G47:I47"/>
    <mergeCell ref="L46:O47"/>
    <mergeCell ref="A34:C34"/>
    <mergeCell ref="AA44:AC44"/>
    <mergeCell ref="S35:V35"/>
    <mergeCell ref="L34:O34"/>
    <mergeCell ref="L42:O42"/>
    <mergeCell ref="W38:W42"/>
    <mergeCell ref="G38:I39"/>
    <mergeCell ref="L41:O41"/>
    <mergeCell ref="H43:J43"/>
    <mergeCell ref="Q38:Q42"/>
    <mergeCell ref="R38:U39"/>
    <mergeCell ref="G44:K45"/>
    <mergeCell ref="L40:O40"/>
    <mergeCell ref="M43:P43"/>
    <mergeCell ref="V72:W72"/>
    <mergeCell ref="Q55:Q61"/>
    <mergeCell ref="R55:U55"/>
    <mergeCell ref="R56:U56"/>
    <mergeCell ref="S71:V71"/>
    <mergeCell ref="K46:K48"/>
    <mergeCell ref="W46:W48"/>
    <mergeCell ref="K62:K66"/>
    <mergeCell ref="S67:V67"/>
    <mergeCell ref="M51:P51"/>
    <mergeCell ref="G46:I46"/>
    <mergeCell ref="AA70:AC70"/>
    <mergeCell ref="G59:I59"/>
    <mergeCell ref="G58:I58"/>
    <mergeCell ref="G61:I61"/>
    <mergeCell ref="H68:J68"/>
    <mergeCell ref="L50:O50"/>
    <mergeCell ref="K49:K50"/>
    <mergeCell ref="W49:W50"/>
    <mergeCell ref="R48:U48"/>
    <mergeCell ref="D70:F70"/>
    <mergeCell ref="A51:C51"/>
    <mergeCell ref="H51:J51"/>
    <mergeCell ref="A68:C68"/>
    <mergeCell ref="A62:C63"/>
    <mergeCell ref="R58:U58"/>
    <mergeCell ref="L65:O66"/>
    <mergeCell ref="P65:P66"/>
    <mergeCell ref="G53:K54"/>
    <mergeCell ref="G55:I55"/>
    <mergeCell ref="A69:C69"/>
    <mergeCell ref="D62:D63"/>
    <mergeCell ref="E62:E63"/>
    <mergeCell ref="F62:F63"/>
    <mergeCell ref="S68:V68"/>
    <mergeCell ref="W70:Y70"/>
    <mergeCell ref="M68:P68"/>
    <mergeCell ref="H67:J67"/>
    <mergeCell ref="M67:P67"/>
    <mergeCell ref="L63:O63"/>
    <mergeCell ref="R59:U59"/>
    <mergeCell ref="A67:C67"/>
    <mergeCell ref="G62:I62"/>
    <mergeCell ref="R57:U57"/>
    <mergeCell ref="K55:K61"/>
    <mergeCell ref="L55:O55"/>
    <mergeCell ref="G63:I63"/>
    <mergeCell ref="G66:I66"/>
    <mergeCell ref="R64:U65"/>
    <mergeCell ref="L62:O62"/>
    <mergeCell ref="A53:C54"/>
    <mergeCell ref="G57:I57"/>
    <mergeCell ref="D53:F53"/>
    <mergeCell ref="G56:I56"/>
    <mergeCell ref="G60:I60"/>
    <mergeCell ref="A58:C58"/>
    <mergeCell ref="R50:U50"/>
    <mergeCell ref="R42:U42"/>
    <mergeCell ref="L48:O48"/>
    <mergeCell ref="L49:O49"/>
    <mergeCell ref="Q49:Q50"/>
    <mergeCell ref="X44:Z44"/>
    <mergeCell ref="A36:C37"/>
    <mergeCell ref="D36:F36"/>
    <mergeCell ref="G36:K37"/>
    <mergeCell ref="K38:K42"/>
    <mergeCell ref="G40:I40"/>
    <mergeCell ref="AA53:AC53"/>
    <mergeCell ref="S43:V43"/>
    <mergeCell ref="R40:U40"/>
    <mergeCell ref="R47:U47"/>
    <mergeCell ref="R44:W45"/>
    <mergeCell ref="A30:C30"/>
    <mergeCell ref="L23:O23"/>
    <mergeCell ref="K8:K17"/>
    <mergeCell ref="AA36:AC36"/>
    <mergeCell ref="R36:W37"/>
    <mergeCell ref="X36:Z36"/>
    <mergeCell ref="W8:W17"/>
    <mergeCell ref="R17:U17"/>
    <mergeCell ref="A35:C35"/>
    <mergeCell ref="H35:J35"/>
    <mergeCell ref="R10:U10"/>
    <mergeCell ref="B24:C24"/>
    <mergeCell ref="T1:AB1"/>
    <mergeCell ref="X6:Z6"/>
    <mergeCell ref="AA6:AC6"/>
    <mergeCell ref="R19:U19"/>
    <mergeCell ref="A6:C7"/>
    <mergeCell ref="L6:Q7"/>
    <mergeCell ref="R6:W7"/>
    <mergeCell ref="D6:F6"/>
    <mergeCell ref="W18:W20"/>
    <mergeCell ref="R34:U34"/>
    <mergeCell ref="R25:U25"/>
    <mergeCell ref="W25:W30"/>
    <mergeCell ref="R24:U24"/>
    <mergeCell ref="R27:U27"/>
    <mergeCell ref="R30:U30"/>
    <mergeCell ref="R31:U31"/>
    <mergeCell ref="W31:W34"/>
    <mergeCell ref="G6:K7"/>
    <mergeCell ref="A3:AC3"/>
    <mergeCell ref="G8:I8"/>
    <mergeCell ref="G12:I12"/>
    <mergeCell ref="R8:U8"/>
    <mergeCell ref="L11:O11"/>
    <mergeCell ref="L8:O8"/>
    <mergeCell ref="R11:U11"/>
    <mergeCell ref="R12:U12"/>
    <mergeCell ref="G9:I9"/>
    <mergeCell ref="R9:U9"/>
    <mergeCell ref="G10:I10"/>
    <mergeCell ref="L9:O9"/>
    <mergeCell ref="L15:O15"/>
    <mergeCell ref="L16:O16"/>
    <mergeCell ref="Q8:Q17"/>
    <mergeCell ref="R13:U13"/>
    <mergeCell ref="R15:U15"/>
    <mergeCell ref="L12:O12"/>
    <mergeCell ref="L10:O10"/>
    <mergeCell ref="R14:U14"/>
    <mergeCell ref="G11:I11"/>
    <mergeCell ref="G16:I16"/>
    <mergeCell ref="G15:I15"/>
    <mergeCell ref="L20:O20"/>
    <mergeCell ref="G14:I14"/>
    <mergeCell ref="R20:U20"/>
    <mergeCell ref="R16:U16"/>
    <mergeCell ref="R18:U18"/>
    <mergeCell ref="G17:I17"/>
    <mergeCell ref="G13:I13"/>
    <mergeCell ref="G24:I24"/>
    <mergeCell ref="L13:O13"/>
    <mergeCell ref="L14:O14"/>
    <mergeCell ref="G20:I20"/>
    <mergeCell ref="G23:I23"/>
    <mergeCell ref="L17:O17"/>
    <mergeCell ref="L21:O21"/>
    <mergeCell ref="L22:O22"/>
    <mergeCell ref="K18:K20"/>
    <mergeCell ref="K23:K24"/>
    <mergeCell ref="K25:K30"/>
    <mergeCell ref="L28:O28"/>
    <mergeCell ref="L29:O29"/>
    <mergeCell ref="L27:O27"/>
    <mergeCell ref="Q25:Q30"/>
    <mergeCell ref="L25:O25"/>
    <mergeCell ref="Q23:Q24"/>
    <mergeCell ref="L24:O24"/>
    <mergeCell ref="Q18:Q22"/>
    <mergeCell ref="J38:J39"/>
    <mergeCell ref="L30:O30"/>
    <mergeCell ref="L32:O32"/>
    <mergeCell ref="L33:O33"/>
    <mergeCell ref="Q31:Q34"/>
    <mergeCell ref="L31:O31"/>
    <mergeCell ref="K31:K34"/>
    <mergeCell ref="M35:P35"/>
    <mergeCell ref="L36:Q37"/>
    <mergeCell ref="L64:O64"/>
    <mergeCell ref="L38:O39"/>
    <mergeCell ref="V38:V39"/>
    <mergeCell ref="S51:V51"/>
    <mergeCell ref="Y62:Y66"/>
    <mergeCell ref="W64:W66"/>
    <mergeCell ref="X53:Z53"/>
    <mergeCell ref="L53:Q54"/>
    <mergeCell ref="R46:U46"/>
    <mergeCell ref="Q46:Q48"/>
    <mergeCell ref="W55:W61"/>
    <mergeCell ref="L56:O56"/>
    <mergeCell ref="R53:W54"/>
    <mergeCell ref="Q62:Q63"/>
    <mergeCell ref="V64:V66"/>
    <mergeCell ref="L18:O18"/>
    <mergeCell ref="L19:O19"/>
    <mergeCell ref="L26:O26"/>
    <mergeCell ref="Q64:Q66"/>
    <mergeCell ref="R41:U41"/>
    <mergeCell ref="AB62:AB66"/>
    <mergeCell ref="AC62:AC66"/>
    <mergeCell ref="R66:U66"/>
    <mergeCell ref="R62:U63"/>
    <mergeCell ref="V62:V63"/>
    <mergeCell ref="W62:W63"/>
    <mergeCell ref="X62:X66"/>
    <mergeCell ref="Z62:Z66"/>
    <mergeCell ref="AA62:AA6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1"/>
  <sheetViews>
    <sheetView workbookViewId="0" topLeftCell="A1">
      <selection activeCell="M2" sqref="M2"/>
    </sheetView>
  </sheetViews>
  <sheetFormatPr defaultColWidth="9.00390625" defaultRowHeight="12.75"/>
  <cols>
    <col min="1" max="1" width="50.875" style="0" customWidth="1"/>
  </cols>
  <sheetData>
    <row r="1" spans="8:13" ht="15">
      <c r="H1" s="908"/>
      <c r="I1" s="908"/>
      <c r="J1" s="908"/>
      <c r="K1" s="908"/>
      <c r="L1" s="908"/>
      <c r="M1" s="5" t="s">
        <v>1141</v>
      </c>
    </row>
    <row r="2" spans="8:13" ht="12.75">
      <c r="H2" s="908"/>
      <c r="I2" s="908"/>
      <c r="J2" s="908"/>
      <c r="K2" s="908"/>
      <c r="L2" s="908"/>
      <c r="M2" s="1"/>
    </row>
    <row r="3" spans="1:13" ht="12.75">
      <c r="A3" s="1230" t="s">
        <v>1043</v>
      </c>
      <c r="B3" s="1230"/>
      <c r="C3" s="1230"/>
      <c r="D3" s="1230"/>
      <c r="E3" s="1230"/>
      <c r="F3" s="1230"/>
      <c r="G3" s="1230"/>
      <c r="H3" s="1230"/>
      <c r="I3" s="1230"/>
      <c r="J3" s="1230"/>
      <c r="K3" s="1230"/>
      <c r="L3" s="1230"/>
      <c r="M3" s="1230"/>
    </row>
    <row r="4" spans="1:13" ht="12.75">
      <c r="A4" s="1230" t="s">
        <v>437</v>
      </c>
      <c r="B4" s="1230"/>
      <c r="C4" s="1230"/>
      <c r="D4" s="1230"/>
      <c r="E4" s="1230"/>
      <c r="F4" s="1230"/>
      <c r="G4" s="1230"/>
      <c r="H4" s="1230"/>
      <c r="I4" s="1230"/>
      <c r="J4" s="1230"/>
      <c r="K4" s="1230"/>
      <c r="L4" s="1230"/>
      <c r="M4" s="1230"/>
    </row>
    <row r="5" spans="1:13" ht="12.75">
      <c r="A5" s="1230"/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</row>
    <row r="6" spans="1:13" ht="12.75">
      <c r="A6" s="909" t="s">
        <v>357</v>
      </c>
      <c r="B6" s="910" t="s">
        <v>1044</v>
      </c>
      <c r="C6" s="910" t="s">
        <v>1045</v>
      </c>
      <c r="D6" s="910" t="s">
        <v>1046</v>
      </c>
      <c r="E6" s="910" t="s">
        <v>1047</v>
      </c>
      <c r="F6" s="910" t="s">
        <v>1048</v>
      </c>
      <c r="G6" s="910" t="s">
        <v>1049</v>
      </c>
      <c r="H6" s="910" t="s">
        <v>1050</v>
      </c>
      <c r="I6" s="910" t="s">
        <v>1051</v>
      </c>
      <c r="J6" s="910" t="s">
        <v>1052</v>
      </c>
      <c r="K6" s="910" t="s">
        <v>1053</v>
      </c>
      <c r="L6" s="910" t="s">
        <v>1054</v>
      </c>
      <c r="M6" s="910" t="s">
        <v>1055</v>
      </c>
    </row>
    <row r="7" spans="1:13" ht="12.75">
      <c r="A7" s="911" t="s">
        <v>771</v>
      </c>
      <c r="B7" s="912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</row>
    <row r="8" spans="1:13" ht="12.75">
      <c r="A8" s="913" t="s">
        <v>1056</v>
      </c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</row>
    <row r="9" spans="1:13" ht="12.75">
      <c r="A9" s="915" t="s">
        <v>1057</v>
      </c>
      <c r="B9" s="916">
        <v>14</v>
      </c>
      <c r="C9" s="916">
        <v>14</v>
      </c>
      <c r="D9" s="916">
        <v>14</v>
      </c>
      <c r="E9" s="916">
        <v>14</v>
      </c>
      <c r="F9" s="916">
        <v>14</v>
      </c>
      <c r="G9" s="916">
        <v>14</v>
      </c>
      <c r="H9" s="916">
        <v>14</v>
      </c>
      <c r="I9" s="916">
        <v>14</v>
      </c>
      <c r="J9" s="916">
        <v>13</v>
      </c>
      <c r="K9" s="916">
        <v>13</v>
      </c>
      <c r="L9" s="916">
        <v>13</v>
      </c>
      <c r="M9" s="916">
        <v>13</v>
      </c>
    </row>
    <row r="10" spans="1:13" ht="12.75">
      <c r="A10" s="915" t="s">
        <v>1058</v>
      </c>
      <c r="B10" s="916">
        <v>2</v>
      </c>
      <c r="C10" s="916">
        <v>2</v>
      </c>
      <c r="D10" s="916">
        <v>2</v>
      </c>
      <c r="E10" s="916">
        <v>2</v>
      </c>
      <c r="F10" s="916">
        <v>2</v>
      </c>
      <c r="G10" s="916">
        <v>2</v>
      </c>
      <c r="H10" s="916">
        <v>2</v>
      </c>
      <c r="I10" s="916">
        <v>2</v>
      </c>
      <c r="J10" s="916">
        <v>2</v>
      </c>
      <c r="K10" s="916">
        <v>2</v>
      </c>
      <c r="L10" s="916">
        <v>2</v>
      </c>
      <c r="M10" s="916">
        <v>2</v>
      </c>
    </row>
    <row r="11" spans="1:13" ht="12.75">
      <c r="A11" s="917" t="s">
        <v>1059</v>
      </c>
      <c r="B11" s="916">
        <v>8</v>
      </c>
      <c r="C11" s="916">
        <v>8</v>
      </c>
      <c r="D11" s="916">
        <v>8</v>
      </c>
      <c r="E11" s="916">
        <v>8</v>
      </c>
      <c r="F11" s="916">
        <v>8</v>
      </c>
      <c r="G11" s="916">
        <v>8</v>
      </c>
      <c r="H11" s="916">
        <v>8</v>
      </c>
      <c r="I11" s="916">
        <v>8</v>
      </c>
      <c r="J11" s="916">
        <v>7</v>
      </c>
      <c r="K11" s="916">
        <v>7</v>
      </c>
      <c r="L11" s="916">
        <v>7</v>
      </c>
      <c r="M11" s="916">
        <v>7</v>
      </c>
    </row>
    <row r="12" spans="1:13" ht="12.75">
      <c r="A12" s="915" t="s">
        <v>1060</v>
      </c>
      <c r="B12" s="916">
        <v>1</v>
      </c>
      <c r="C12" s="916">
        <v>1</v>
      </c>
      <c r="D12" s="916">
        <v>1</v>
      </c>
      <c r="E12" s="916">
        <v>1</v>
      </c>
      <c r="F12" s="916">
        <v>1</v>
      </c>
      <c r="G12" s="916">
        <v>1</v>
      </c>
      <c r="H12" s="916">
        <v>1</v>
      </c>
      <c r="I12" s="916">
        <v>1</v>
      </c>
      <c r="J12" s="916">
        <v>1</v>
      </c>
      <c r="K12" s="916">
        <v>1</v>
      </c>
      <c r="L12" s="916">
        <v>1</v>
      </c>
      <c r="M12" s="916">
        <v>1</v>
      </c>
    </row>
    <row r="13" spans="1:13" ht="12.75">
      <c r="A13" s="915" t="s">
        <v>1061</v>
      </c>
      <c r="B13" s="916">
        <v>1</v>
      </c>
      <c r="C13" s="916">
        <v>1</v>
      </c>
      <c r="D13" s="916">
        <v>1</v>
      </c>
      <c r="E13" s="916">
        <v>1</v>
      </c>
      <c r="F13" s="916">
        <v>1</v>
      </c>
      <c r="G13" s="916">
        <v>1</v>
      </c>
      <c r="H13" s="916">
        <v>1</v>
      </c>
      <c r="I13" s="916">
        <v>1</v>
      </c>
      <c r="J13" s="916">
        <v>1</v>
      </c>
      <c r="K13" s="916">
        <v>1</v>
      </c>
      <c r="L13" s="916">
        <v>1</v>
      </c>
      <c r="M13" s="916">
        <v>1</v>
      </c>
    </row>
    <row r="14" spans="1:13" ht="12.75">
      <c r="A14" s="913" t="s">
        <v>1062</v>
      </c>
      <c r="B14" s="914"/>
      <c r="C14" s="914"/>
      <c r="D14" s="914"/>
      <c r="E14" s="914"/>
      <c r="F14" s="914"/>
      <c r="G14" s="914"/>
      <c r="H14" s="914"/>
      <c r="I14" s="914"/>
      <c r="J14" s="914"/>
      <c r="K14" s="914"/>
      <c r="L14" s="914"/>
      <c r="M14" s="914"/>
    </row>
    <row r="15" spans="1:13" ht="12.75">
      <c r="A15" s="915" t="s">
        <v>1063</v>
      </c>
      <c r="B15" s="916">
        <v>1</v>
      </c>
      <c r="C15" s="916">
        <v>1</v>
      </c>
      <c r="D15" s="916">
        <v>1</v>
      </c>
      <c r="E15" s="916">
        <v>1</v>
      </c>
      <c r="F15" s="916">
        <v>1</v>
      </c>
      <c r="G15" s="916">
        <v>1</v>
      </c>
      <c r="H15" s="916">
        <v>1</v>
      </c>
      <c r="I15" s="916">
        <v>1</v>
      </c>
      <c r="J15" s="916">
        <v>1</v>
      </c>
      <c r="K15" s="916">
        <v>1</v>
      </c>
      <c r="L15" s="916">
        <v>1</v>
      </c>
      <c r="M15" s="916">
        <v>1</v>
      </c>
    </row>
    <row r="16" spans="1:13" ht="12.75">
      <c r="A16" s="915" t="s">
        <v>1064</v>
      </c>
      <c r="B16" s="916">
        <v>1</v>
      </c>
      <c r="C16" s="916">
        <v>1</v>
      </c>
      <c r="D16" s="916">
        <v>1</v>
      </c>
      <c r="E16" s="916">
        <v>1</v>
      </c>
      <c r="F16" s="916">
        <v>1</v>
      </c>
      <c r="G16" s="916">
        <v>1</v>
      </c>
      <c r="H16" s="916">
        <v>1</v>
      </c>
      <c r="I16" s="916">
        <v>1</v>
      </c>
      <c r="J16" s="916">
        <v>1</v>
      </c>
      <c r="K16" s="916">
        <v>1</v>
      </c>
      <c r="L16" s="916">
        <v>1</v>
      </c>
      <c r="M16" s="916">
        <v>1</v>
      </c>
    </row>
    <row r="17" spans="1:13" ht="12.75">
      <c r="A17" s="915" t="s">
        <v>1065</v>
      </c>
      <c r="B17" s="916">
        <v>1</v>
      </c>
      <c r="C17" s="916">
        <v>1</v>
      </c>
      <c r="D17" s="916">
        <v>1</v>
      </c>
      <c r="E17" s="916">
        <v>1</v>
      </c>
      <c r="F17" s="916">
        <v>1</v>
      </c>
      <c r="G17" s="916">
        <v>1</v>
      </c>
      <c r="H17" s="916">
        <v>1</v>
      </c>
      <c r="I17" s="916">
        <v>1</v>
      </c>
      <c r="J17" s="916">
        <v>1</v>
      </c>
      <c r="K17" s="916">
        <v>1</v>
      </c>
      <c r="L17" s="916">
        <v>1</v>
      </c>
      <c r="M17" s="916">
        <v>1</v>
      </c>
    </row>
    <row r="18" spans="1:13" ht="12.75">
      <c r="A18" s="913" t="s">
        <v>1066</v>
      </c>
      <c r="B18" s="914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</row>
    <row r="19" spans="1:13" ht="12.75">
      <c r="A19" s="915" t="s">
        <v>1067</v>
      </c>
      <c r="B19" s="916">
        <v>1</v>
      </c>
      <c r="C19" s="916">
        <v>1</v>
      </c>
      <c r="D19" s="916">
        <v>1</v>
      </c>
      <c r="E19" s="916">
        <v>1</v>
      </c>
      <c r="F19" s="916">
        <v>1</v>
      </c>
      <c r="G19" s="916">
        <v>1</v>
      </c>
      <c r="H19" s="916">
        <v>1</v>
      </c>
      <c r="I19" s="916">
        <v>1</v>
      </c>
      <c r="J19" s="916">
        <v>1</v>
      </c>
      <c r="K19" s="916">
        <v>1</v>
      </c>
      <c r="L19" s="916">
        <v>1</v>
      </c>
      <c r="M19" s="916">
        <v>1</v>
      </c>
    </row>
    <row r="20" spans="1:13" ht="12.75">
      <c r="A20" s="915" t="s">
        <v>1068</v>
      </c>
      <c r="B20" s="916">
        <v>1</v>
      </c>
      <c r="C20" s="916">
        <v>1</v>
      </c>
      <c r="D20" s="916">
        <v>1</v>
      </c>
      <c r="E20" s="916">
        <v>1</v>
      </c>
      <c r="F20" s="916">
        <v>1</v>
      </c>
      <c r="G20" s="916">
        <v>1</v>
      </c>
      <c r="H20" s="916">
        <v>1</v>
      </c>
      <c r="I20" s="916">
        <v>1</v>
      </c>
      <c r="J20" s="916">
        <v>1</v>
      </c>
      <c r="K20" s="916">
        <v>1</v>
      </c>
      <c r="L20" s="916">
        <v>1</v>
      </c>
      <c r="M20" s="916">
        <v>1</v>
      </c>
    </row>
    <row r="21" spans="1:13" ht="12.75">
      <c r="A21" s="913" t="s">
        <v>1069</v>
      </c>
      <c r="B21" s="914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</row>
    <row r="22" spans="1:13" ht="12.75">
      <c r="A22" s="915" t="s">
        <v>1070</v>
      </c>
      <c r="B22" s="916">
        <v>2</v>
      </c>
      <c r="C22" s="916">
        <v>2</v>
      </c>
      <c r="D22" s="916">
        <v>2</v>
      </c>
      <c r="E22" s="916">
        <v>2</v>
      </c>
      <c r="F22" s="916">
        <v>2</v>
      </c>
      <c r="G22" s="916">
        <v>2</v>
      </c>
      <c r="H22" s="916">
        <v>2</v>
      </c>
      <c r="I22" s="916">
        <v>2</v>
      </c>
      <c r="J22" s="918">
        <v>2</v>
      </c>
      <c r="K22" s="918">
        <v>2</v>
      </c>
      <c r="L22" s="918">
        <v>2</v>
      </c>
      <c r="M22" s="918">
        <v>2</v>
      </c>
    </row>
    <row r="23" spans="1:13" ht="12.75">
      <c r="A23" s="915" t="s">
        <v>1071</v>
      </c>
      <c r="B23" s="916">
        <v>1</v>
      </c>
      <c r="C23" s="916">
        <v>1</v>
      </c>
      <c r="D23" s="916">
        <v>1</v>
      </c>
      <c r="E23" s="916">
        <v>1</v>
      </c>
      <c r="F23" s="916">
        <v>1</v>
      </c>
      <c r="G23" s="916">
        <v>1</v>
      </c>
      <c r="H23" s="916">
        <v>1</v>
      </c>
      <c r="I23" s="916">
        <v>1</v>
      </c>
      <c r="J23" s="918">
        <v>1</v>
      </c>
      <c r="K23" s="918">
        <v>1</v>
      </c>
      <c r="L23" s="918">
        <v>1</v>
      </c>
      <c r="M23" s="918">
        <v>1</v>
      </c>
    </row>
    <row r="24" spans="1:13" ht="12.75">
      <c r="A24" s="913" t="s">
        <v>584</v>
      </c>
      <c r="B24" s="914"/>
      <c r="C24" s="914"/>
      <c r="D24" s="914"/>
      <c r="E24" s="914"/>
      <c r="F24" s="914"/>
      <c r="G24" s="914"/>
      <c r="H24" s="914"/>
      <c r="I24" s="914"/>
      <c r="J24" s="914"/>
      <c r="K24" s="914"/>
      <c r="L24" s="914"/>
      <c r="M24" s="914"/>
    </row>
    <row r="25" spans="1:13" ht="12.75">
      <c r="A25" s="915" t="s">
        <v>1072</v>
      </c>
      <c r="B25" s="916">
        <v>1</v>
      </c>
      <c r="C25" s="916">
        <v>1</v>
      </c>
      <c r="D25" s="916">
        <v>1</v>
      </c>
      <c r="E25" s="916">
        <v>1</v>
      </c>
      <c r="F25" s="916">
        <v>1</v>
      </c>
      <c r="G25" s="916">
        <v>1</v>
      </c>
      <c r="H25" s="916">
        <v>1</v>
      </c>
      <c r="I25" s="916">
        <v>1</v>
      </c>
      <c r="J25" s="916">
        <v>1</v>
      </c>
      <c r="K25" s="916">
        <v>1</v>
      </c>
      <c r="L25" s="916">
        <v>1</v>
      </c>
      <c r="M25" s="916">
        <v>1</v>
      </c>
    </row>
    <row r="26" spans="1:13" ht="12.75">
      <c r="A26" s="915" t="s">
        <v>1073</v>
      </c>
      <c r="B26" s="916">
        <v>2</v>
      </c>
      <c r="C26" s="916">
        <v>2</v>
      </c>
      <c r="D26" s="916">
        <v>2</v>
      </c>
      <c r="E26" s="916">
        <v>2</v>
      </c>
      <c r="F26" s="916">
        <v>2</v>
      </c>
      <c r="G26" s="916">
        <v>2</v>
      </c>
      <c r="H26" s="916">
        <v>2</v>
      </c>
      <c r="I26" s="916">
        <v>2</v>
      </c>
      <c r="J26" s="916">
        <v>2</v>
      </c>
      <c r="K26" s="916">
        <v>2</v>
      </c>
      <c r="L26" s="916">
        <v>2</v>
      </c>
      <c r="M26" s="916">
        <v>2</v>
      </c>
    </row>
    <row r="27" spans="1:13" ht="25.5">
      <c r="A27" s="915" t="s">
        <v>1074</v>
      </c>
      <c r="B27" s="916">
        <v>0.5</v>
      </c>
      <c r="C27" s="916">
        <v>0.5</v>
      </c>
      <c r="D27" s="916">
        <v>0.5</v>
      </c>
      <c r="E27" s="916">
        <v>0.5</v>
      </c>
      <c r="F27" s="916">
        <v>0.5</v>
      </c>
      <c r="G27" s="916">
        <v>0.5</v>
      </c>
      <c r="H27" s="916">
        <v>0.5</v>
      </c>
      <c r="I27" s="916">
        <v>0.5</v>
      </c>
      <c r="J27" s="916">
        <v>0.5</v>
      </c>
      <c r="K27" s="916">
        <v>0.5</v>
      </c>
      <c r="L27" s="916">
        <v>0.5</v>
      </c>
      <c r="M27" s="916">
        <v>0.5</v>
      </c>
    </row>
    <row r="28" spans="1:13" ht="25.5">
      <c r="A28" s="915" t="s">
        <v>1075</v>
      </c>
      <c r="B28" s="916">
        <v>0.625</v>
      </c>
      <c r="C28" s="916">
        <v>0.625</v>
      </c>
      <c r="D28" s="916">
        <v>0.625</v>
      </c>
      <c r="E28" s="916">
        <v>0.625</v>
      </c>
      <c r="F28" s="916">
        <v>0.625</v>
      </c>
      <c r="G28" s="916">
        <v>0.625</v>
      </c>
      <c r="H28" s="916">
        <v>0.625</v>
      </c>
      <c r="I28" s="916">
        <v>0.625</v>
      </c>
      <c r="J28" s="916">
        <v>0.625</v>
      </c>
      <c r="K28" s="916">
        <v>0.625</v>
      </c>
      <c r="L28" s="916">
        <v>0.625</v>
      </c>
      <c r="M28" s="916">
        <v>0.625</v>
      </c>
    </row>
    <row r="29" spans="1:13" ht="12.75">
      <c r="A29" s="913" t="s">
        <v>707</v>
      </c>
      <c r="B29" s="914"/>
      <c r="C29" s="914"/>
      <c r="D29" s="914"/>
      <c r="E29" s="914"/>
      <c r="F29" s="914"/>
      <c r="G29" s="914"/>
      <c r="H29" s="914"/>
      <c r="I29" s="914"/>
      <c r="J29" s="914"/>
      <c r="K29" s="914"/>
      <c r="L29" s="914"/>
      <c r="M29" s="914"/>
    </row>
    <row r="30" spans="1:13" ht="12.75">
      <c r="A30" s="915" t="s">
        <v>1076</v>
      </c>
      <c r="B30" s="916">
        <v>0.5</v>
      </c>
      <c r="C30" s="916">
        <v>0.5</v>
      </c>
      <c r="D30" s="916">
        <v>0.5</v>
      </c>
      <c r="E30" s="916">
        <v>0.5</v>
      </c>
      <c r="F30" s="916">
        <v>0.5</v>
      </c>
      <c r="G30" s="916">
        <v>0.5</v>
      </c>
      <c r="H30" s="916">
        <v>0.5</v>
      </c>
      <c r="I30" s="916">
        <v>0.5</v>
      </c>
      <c r="J30" s="916">
        <v>0.5</v>
      </c>
      <c r="K30" s="916">
        <v>0.5</v>
      </c>
      <c r="L30" s="916">
        <v>0.5</v>
      </c>
      <c r="M30" s="916">
        <v>0.5</v>
      </c>
    </row>
    <row r="31" spans="1:13" ht="12.75">
      <c r="A31" s="915" t="s">
        <v>1077</v>
      </c>
      <c r="B31" s="916">
        <v>3</v>
      </c>
      <c r="C31" s="916">
        <v>4</v>
      </c>
      <c r="D31" s="916">
        <v>4</v>
      </c>
      <c r="E31" s="916">
        <v>4</v>
      </c>
      <c r="F31" s="916">
        <v>4</v>
      </c>
      <c r="G31" s="916">
        <v>4</v>
      </c>
      <c r="H31" s="916">
        <v>4</v>
      </c>
      <c r="I31" s="916">
        <v>4</v>
      </c>
      <c r="J31" s="916">
        <v>4</v>
      </c>
      <c r="K31" s="916">
        <v>4</v>
      </c>
      <c r="L31" s="916">
        <v>4</v>
      </c>
      <c r="M31" s="916">
        <v>4</v>
      </c>
    </row>
    <row r="32" spans="1:13" ht="25.5">
      <c r="A32" s="919" t="s">
        <v>1078</v>
      </c>
      <c r="B32" s="920"/>
      <c r="C32" s="920"/>
      <c r="D32" s="920"/>
      <c r="E32" s="920"/>
      <c r="F32" s="920"/>
      <c r="G32" s="920"/>
      <c r="H32" s="920"/>
      <c r="I32" s="920"/>
      <c r="J32" s="920"/>
      <c r="K32" s="920"/>
      <c r="L32" s="920"/>
      <c r="M32" s="920"/>
    </row>
    <row r="33" spans="1:13" ht="12.75">
      <c r="A33" s="915" t="s">
        <v>1079</v>
      </c>
      <c r="B33" s="916">
        <v>0</v>
      </c>
      <c r="C33" s="916">
        <v>3</v>
      </c>
      <c r="D33" s="916">
        <v>3</v>
      </c>
      <c r="E33" s="916">
        <v>3</v>
      </c>
      <c r="F33" s="916">
        <v>3</v>
      </c>
      <c r="G33" s="916">
        <v>3</v>
      </c>
      <c r="H33" s="916">
        <v>3</v>
      </c>
      <c r="I33" s="916">
        <v>3</v>
      </c>
      <c r="J33" s="916">
        <v>3</v>
      </c>
      <c r="K33" s="916">
        <v>3</v>
      </c>
      <c r="L33" s="916">
        <v>3</v>
      </c>
      <c r="M33" s="916">
        <v>3</v>
      </c>
    </row>
    <row r="34" spans="1:13" ht="12.75">
      <c r="A34" s="915" t="s">
        <v>1080</v>
      </c>
      <c r="B34" s="916">
        <v>0</v>
      </c>
      <c r="C34" s="916">
        <v>1</v>
      </c>
      <c r="D34" s="916">
        <v>1</v>
      </c>
      <c r="E34" s="916">
        <v>1</v>
      </c>
      <c r="F34" s="916">
        <v>1</v>
      </c>
      <c r="G34" s="916">
        <v>1</v>
      </c>
      <c r="H34" s="916">
        <v>0</v>
      </c>
      <c r="I34" s="916">
        <v>0</v>
      </c>
      <c r="J34" s="916">
        <v>1</v>
      </c>
      <c r="K34" s="916">
        <v>1</v>
      </c>
      <c r="L34" s="916">
        <v>1</v>
      </c>
      <c r="M34" s="916">
        <v>1</v>
      </c>
    </row>
    <row r="35" spans="1:13" ht="25.5">
      <c r="A35" s="919" t="s">
        <v>1081</v>
      </c>
      <c r="B35" s="920"/>
      <c r="C35" s="920"/>
      <c r="D35" s="920"/>
      <c r="E35" s="920"/>
      <c r="F35" s="920"/>
      <c r="G35" s="920"/>
      <c r="H35" s="920"/>
      <c r="I35" s="920"/>
      <c r="J35" s="920"/>
      <c r="K35" s="920"/>
      <c r="L35" s="920"/>
      <c r="M35" s="920"/>
    </row>
    <row r="36" spans="1:13" ht="12.75">
      <c r="A36" s="915" t="s">
        <v>1082</v>
      </c>
      <c r="B36" s="916">
        <v>1.5</v>
      </c>
      <c r="C36" s="916">
        <v>1.5</v>
      </c>
      <c r="D36" s="916">
        <v>1.5</v>
      </c>
      <c r="E36" s="916">
        <v>1.5</v>
      </c>
      <c r="F36" s="916">
        <v>1.5</v>
      </c>
      <c r="G36" s="916">
        <v>1.5</v>
      </c>
      <c r="H36" s="916">
        <v>1.5</v>
      </c>
      <c r="I36" s="916">
        <v>1.5</v>
      </c>
      <c r="J36" s="916">
        <v>1.5</v>
      </c>
      <c r="K36" s="916">
        <v>1.5</v>
      </c>
      <c r="L36" s="916">
        <v>1.5</v>
      </c>
      <c r="M36" s="916">
        <v>1.5</v>
      </c>
    </row>
    <row r="37" spans="1:13" ht="25.5">
      <c r="A37" s="921" t="s">
        <v>804</v>
      </c>
      <c r="B37" s="922">
        <f>SUM(B9:B36)</f>
        <v>43.125</v>
      </c>
      <c r="C37" s="922">
        <f aca="true" t="shared" si="0" ref="C37:M37">SUM(C9:C36)</f>
        <v>48.125</v>
      </c>
      <c r="D37" s="922">
        <f t="shared" si="0"/>
        <v>48.125</v>
      </c>
      <c r="E37" s="922">
        <f t="shared" si="0"/>
        <v>48.125</v>
      </c>
      <c r="F37" s="922">
        <f t="shared" si="0"/>
        <v>48.125</v>
      </c>
      <c r="G37" s="922">
        <f t="shared" si="0"/>
        <v>48.125</v>
      </c>
      <c r="H37" s="922">
        <f t="shared" si="0"/>
        <v>47.125</v>
      </c>
      <c r="I37" s="922">
        <f t="shared" si="0"/>
        <v>47.125</v>
      </c>
      <c r="J37" s="922">
        <f t="shared" si="0"/>
        <v>46.125</v>
      </c>
      <c r="K37" s="922">
        <f t="shared" si="0"/>
        <v>46.125</v>
      </c>
      <c r="L37" s="922">
        <f t="shared" si="0"/>
        <v>46.125</v>
      </c>
      <c r="M37" s="922">
        <f t="shared" si="0"/>
        <v>46.125</v>
      </c>
    </row>
    <row r="38" spans="1:13" ht="12.75">
      <c r="A38" s="923"/>
      <c r="B38" s="916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</row>
    <row r="39" spans="1:13" ht="12.75">
      <c r="A39" s="911" t="s">
        <v>367</v>
      </c>
      <c r="B39" s="912"/>
      <c r="C39" s="912"/>
      <c r="D39" s="912"/>
      <c r="E39" s="912"/>
      <c r="F39" s="912"/>
      <c r="G39" s="912"/>
      <c r="H39" s="912"/>
      <c r="I39" s="912"/>
      <c r="J39" s="912"/>
      <c r="K39" s="912"/>
      <c r="L39" s="912"/>
      <c r="M39" s="912"/>
    </row>
    <row r="40" spans="1:13" ht="12.75">
      <c r="A40" s="915" t="s">
        <v>1083</v>
      </c>
      <c r="B40" s="916">
        <v>23</v>
      </c>
      <c r="C40" s="916">
        <v>23</v>
      </c>
      <c r="D40" s="916">
        <v>23</v>
      </c>
      <c r="E40" s="916">
        <v>23</v>
      </c>
      <c r="F40" s="916">
        <v>23</v>
      </c>
      <c r="G40" s="916">
        <v>23</v>
      </c>
      <c r="H40" s="916">
        <v>23</v>
      </c>
      <c r="I40" s="916">
        <v>23</v>
      </c>
      <c r="J40" s="916">
        <v>23</v>
      </c>
      <c r="K40" s="916">
        <v>23</v>
      </c>
      <c r="L40" s="916">
        <v>23</v>
      </c>
      <c r="M40" s="916">
        <v>23</v>
      </c>
    </row>
    <row r="41" spans="1:13" ht="12.75">
      <c r="A41" s="915" t="s">
        <v>1084</v>
      </c>
      <c r="B41" s="916">
        <v>1</v>
      </c>
      <c r="C41" s="916">
        <v>1</v>
      </c>
      <c r="D41" s="916">
        <v>1</v>
      </c>
      <c r="E41" s="916">
        <v>2</v>
      </c>
      <c r="F41" s="916">
        <v>2</v>
      </c>
      <c r="G41" s="916">
        <v>2</v>
      </c>
      <c r="H41" s="916">
        <v>2</v>
      </c>
      <c r="I41" s="916">
        <v>2</v>
      </c>
      <c r="J41" s="916">
        <v>2</v>
      </c>
      <c r="K41" s="916">
        <v>2</v>
      </c>
      <c r="L41" s="916">
        <v>2</v>
      </c>
      <c r="M41" s="916">
        <v>2</v>
      </c>
    </row>
    <row r="42" spans="1:13" ht="12.75">
      <c r="A42" s="911" t="s">
        <v>492</v>
      </c>
      <c r="B42" s="922">
        <f>SUM(B40:B41)</f>
        <v>24</v>
      </c>
      <c r="C42" s="922">
        <f aca="true" t="shared" si="1" ref="C42:M42">SUM(C40:C41)</f>
        <v>24</v>
      </c>
      <c r="D42" s="922">
        <f t="shared" si="1"/>
        <v>24</v>
      </c>
      <c r="E42" s="922">
        <f t="shared" si="1"/>
        <v>25</v>
      </c>
      <c r="F42" s="922">
        <f t="shared" si="1"/>
        <v>25</v>
      </c>
      <c r="G42" s="922">
        <f t="shared" si="1"/>
        <v>25</v>
      </c>
      <c r="H42" s="922">
        <f t="shared" si="1"/>
        <v>25</v>
      </c>
      <c r="I42" s="922">
        <f t="shared" si="1"/>
        <v>25</v>
      </c>
      <c r="J42" s="922">
        <f t="shared" si="1"/>
        <v>25</v>
      </c>
      <c r="K42" s="922">
        <f t="shared" si="1"/>
        <v>25</v>
      </c>
      <c r="L42" s="922">
        <f t="shared" si="1"/>
        <v>25</v>
      </c>
      <c r="M42" s="922">
        <f t="shared" si="1"/>
        <v>25</v>
      </c>
    </row>
    <row r="43" spans="1:13" ht="12.75">
      <c r="A43" s="924"/>
      <c r="B43" s="925"/>
      <c r="C43" s="925"/>
      <c r="D43" s="925"/>
      <c r="E43" s="925"/>
      <c r="F43" s="925"/>
      <c r="G43" s="925"/>
      <c r="H43" s="925"/>
      <c r="I43" s="925"/>
      <c r="J43" s="925"/>
      <c r="K43" s="925"/>
      <c r="L43" s="925"/>
      <c r="M43" s="925"/>
    </row>
    <row r="44" spans="1:13" ht="12.75">
      <c r="A44" s="911" t="s">
        <v>435</v>
      </c>
      <c r="B44" s="912"/>
      <c r="C44" s="912"/>
      <c r="D44" s="912"/>
      <c r="E44" s="912"/>
      <c r="F44" s="912"/>
      <c r="G44" s="912"/>
      <c r="H44" s="912"/>
      <c r="I44" s="912"/>
      <c r="J44" s="912"/>
      <c r="K44" s="912"/>
      <c r="L44" s="912"/>
      <c r="M44" s="912"/>
    </row>
    <row r="45" spans="1:13" ht="12.75">
      <c r="A45" s="919" t="s">
        <v>1085</v>
      </c>
      <c r="B45" s="920"/>
      <c r="C45" s="920"/>
      <c r="D45" s="920"/>
      <c r="E45" s="920"/>
      <c r="F45" s="920"/>
      <c r="G45" s="920"/>
      <c r="H45" s="920"/>
      <c r="I45" s="920"/>
      <c r="J45" s="920"/>
      <c r="K45" s="920"/>
      <c r="L45" s="920"/>
      <c r="M45" s="920"/>
    </row>
    <row r="46" spans="1:13" ht="12.75">
      <c r="A46" s="915" t="s">
        <v>1086</v>
      </c>
      <c r="B46" s="916">
        <v>1</v>
      </c>
      <c r="C46" s="916">
        <v>1</v>
      </c>
      <c r="D46" s="916">
        <v>1</v>
      </c>
      <c r="E46" s="916">
        <v>1</v>
      </c>
      <c r="F46" s="916">
        <v>1</v>
      </c>
      <c r="G46" s="916">
        <v>1</v>
      </c>
      <c r="H46" s="916">
        <v>1</v>
      </c>
      <c r="I46" s="916">
        <v>1</v>
      </c>
      <c r="J46" s="916">
        <v>1</v>
      </c>
      <c r="K46" s="916">
        <v>1</v>
      </c>
      <c r="L46" s="916">
        <v>1</v>
      </c>
      <c r="M46" s="916">
        <v>1</v>
      </c>
    </row>
    <row r="47" spans="1:13" ht="12.75">
      <c r="A47" s="926" t="s">
        <v>1087</v>
      </c>
      <c r="B47" s="916">
        <v>1</v>
      </c>
      <c r="C47" s="916">
        <v>1</v>
      </c>
      <c r="D47" s="916">
        <v>1</v>
      </c>
      <c r="E47" s="916">
        <v>1</v>
      </c>
      <c r="F47" s="916">
        <v>1</v>
      </c>
      <c r="G47" s="916">
        <v>1</v>
      </c>
      <c r="H47" s="916">
        <v>1</v>
      </c>
      <c r="I47" s="916">
        <v>1</v>
      </c>
      <c r="J47" s="916">
        <v>1</v>
      </c>
      <c r="K47" s="916">
        <v>1</v>
      </c>
      <c r="L47" s="916">
        <v>1</v>
      </c>
      <c r="M47" s="916">
        <v>1</v>
      </c>
    </row>
    <row r="48" spans="1:13" ht="12.75">
      <c r="A48" s="919" t="s">
        <v>1088</v>
      </c>
      <c r="B48" s="920"/>
      <c r="C48" s="920"/>
      <c r="D48" s="920"/>
      <c r="E48" s="920"/>
      <c r="F48" s="920"/>
      <c r="G48" s="920"/>
      <c r="H48" s="920"/>
      <c r="I48" s="920"/>
      <c r="J48" s="920"/>
      <c r="K48" s="920"/>
      <c r="L48" s="920"/>
      <c r="M48" s="920"/>
    </row>
    <row r="49" spans="1:13" ht="12.75">
      <c r="A49" s="926" t="s">
        <v>1089</v>
      </c>
      <c r="B49" s="916">
        <v>12</v>
      </c>
      <c r="C49" s="916">
        <v>12</v>
      </c>
      <c r="D49" s="916">
        <v>12</v>
      </c>
      <c r="E49" s="916">
        <v>12</v>
      </c>
      <c r="F49" s="916">
        <v>12</v>
      </c>
      <c r="G49" s="916">
        <v>12</v>
      </c>
      <c r="H49" s="916">
        <v>12</v>
      </c>
      <c r="I49" s="916">
        <v>12</v>
      </c>
      <c r="J49" s="916">
        <v>12</v>
      </c>
      <c r="K49" s="916">
        <v>12</v>
      </c>
      <c r="L49" s="916">
        <v>12</v>
      </c>
      <c r="M49" s="916">
        <v>12</v>
      </c>
    </row>
    <row r="50" spans="1:13" ht="12.75">
      <c r="A50" s="919" t="s">
        <v>1090</v>
      </c>
      <c r="B50" s="920"/>
      <c r="C50" s="920"/>
      <c r="D50" s="920"/>
      <c r="E50" s="920"/>
      <c r="F50" s="920"/>
      <c r="G50" s="920"/>
      <c r="H50" s="920"/>
      <c r="I50" s="920"/>
      <c r="J50" s="920"/>
      <c r="K50" s="920"/>
      <c r="L50" s="920"/>
      <c r="M50" s="920"/>
    </row>
    <row r="51" spans="1:13" ht="25.5">
      <c r="A51" s="915" t="s">
        <v>1091</v>
      </c>
      <c r="B51" s="916">
        <v>1</v>
      </c>
      <c r="C51" s="916">
        <v>1</v>
      </c>
      <c r="D51" s="916">
        <v>1</v>
      </c>
      <c r="E51" s="916">
        <v>1</v>
      </c>
      <c r="F51" s="916">
        <v>1</v>
      </c>
      <c r="G51" s="916">
        <v>1</v>
      </c>
      <c r="H51" s="916">
        <v>1</v>
      </c>
      <c r="I51" s="916">
        <v>1</v>
      </c>
      <c r="J51" s="916">
        <v>1</v>
      </c>
      <c r="K51" s="916">
        <v>1</v>
      </c>
      <c r="L51" s="916">
        <v>1</v>
      </c>
      <c r="M51" s="916">
        <v>1</v>
      </c>
    </row>
    <row r="52" spans="1:13" ht="12.75">
      <c r="A52" s="919" t="s">
        <v>1092</v>
      </c>
      <c r="B52" s="920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</row>
    <row r="53" spans="1:13" ht="25.5">
      <c r="A53" s="915" t="s">
        <v>1093</v>
      </c>
      <c r="B53" s="916">
        <v>1</v>
      </c>
      <c r="C53" s="916">
        <v>1</v>
      </c>
      <c r="D53" s="916">
        <v>1</v>
      </c>
      <c r="E53" s="916">
        <v>1</v>
      </c>
      <c r="F53" s="916">
        <v>1</v>
      </c>
      <c r="G53" s="916">
        <v>1</v>
      </c>
      <c r="H53" s="916">
        <v>1</v>
      </c>
      <c r="I53" s="916">
        <v>1</v>
      </c>
      <c r="J53" s="916">
        <v>1</v>
      </c>
      <c r="K53" s="916">
        <v>1</v>
      </c>
      <c r="L53" s="916">
        <v>1</v>
      </c>
      <c r="M53" s="916">
        <v>1</v>
      </c>
    </row>
    <row r="54" spans="1:13" ht="12.75">
      <c r="A54" s="919" t="s">
        <v>1094</v>
      </c>
      <c r="B54" s="920"/>
      <c r="C54" s="920"/>
      <c r="D54" s="920"/>
      <c r="E54" s="920"/>
      <c r="F54" s="920"/>
      <c r="G54" s="920"/>
      <c r="H54" s="920"/>
      <c r="I54" s="920"/>
      <c r="J54" s="920"/>
      <c r="K54" s="920"/>
      <c r="L54" s="920"/>
      <c r="M54" s="920"/>
    </row>
    <row r="55" spans="1:13" ht="12.75">
      <c r="A55" s="915" t="s">
        <v>1095</v>
      </c>
      <c r="B55" s="916">
        <v>1</v>
      </c>
      <c r="C55" s="916">
        <v>1</v>
      </c>
      <c r="D55" s="916">
        <v>1</v>
      </c>
      <c r="E55" s="916">
        <v>1</v>
      </c>
      <c r="F55" s="916">
        <v>1</v>
      </c>
      <c r="G55" s="916">
        <v>1</v>
      </c>
      <c r="H55" s="916">
        <v>1</v>
      </c>
      <c r="I55" s="916">
        <v>1</v>
      </c>
      <c r="J55" s="916">
        <v>1</v>
      </c>
      <c r="K55" s="916">
        <v>1</v>
      </c>
      <c r="L55" s="916">
        <v>1</v>
      </c>
      <c r="M55" s="916">
        <v>1</v>
      </c>
    </row>
    <row r="56" spans="1:13" ht="12.75">
      <c r="A56" s="915" t="s">
        <v>1096</v>
      </c>
      <c r="B56" s="916">
        <v>1</v>
      </c>
      <c r="C56" s="916">
        <v>1</v>
      </c>
      <c r="D56" s="916">
        <v>1</v>
      </c>
      <c r="E56" s="916">
        <v>1</v>
      </c>
      <c r="F56" s="916">
        <v>1</v>
      </c>
      <c r="G56" s="916">
        <v>1</v>
      </c>
      <c r="H56" s="916">
        <v>1</v>
      </c>
      <c r="I56" s="916">
        <v>1</v>
      </c>
      <c r="J56" s="916">
        <v>1</v>
      </c>
      <c r="K56" s="916">
        <v>1</v>
      </c>
      <c r="L56" s="916">
        <v>1</v>
      </c>
      <c r="M56" s="916">
        <v>1</v>
      </c>
    </row>
    <row r="57" spans="1:13" ht="12.75">
      <c r="A57" s="919" t="s">
        <v>1097</v>
      </c>
      <c r="B57" s="920"/>
      <c r="C57" s="920"/>
      <c r="D57" s="920"/>
      <c r="E57" s="920"/>
      <c r="F57" s="920"/>
      <c r="G57" s="920"/>
      <c r="H57" s="920"/>
      <c r="I57" s="920"/>
      <c r="J57" s="920"/>
      <c r="K57" s="920"/>
      <c r="L57" s="920"/>
      <c r="M57" s="920"/>
    </row>
    <row r="58" spans="1:13" ht="12.75">
      <c r="A58" s="927" t="s">
        <v>1098</v>
      </c>
      <c r="B58" s="916">
        <v>1</v>
      </c>
      <c r="C58" s="916">
        <v>1</v>
      </c>
      <c r="D58" s="916">
        <v>1</v>
      </c>
      <c r="E58" s="916">
        <v>1</v>
      </c>
      <c r="F58" s="916">
        <v>1</v>
      </c>
      <c r="G58" s="916">
        <v>1</v>
      </c>
      <c r="H58" s="916">
        <v>1</v>
      </c>
      <c r="I58" s="916">
        <v>1</v>
      </c>
      <c r="J58" s="916">
        <v>1</v>
      </c>
      <c r="K58" s="916">
        <v>1</v>
      </c>
      <c r="L58" s="916">
        <v>1</v>
      </c>
      <c r="M58" s="916">
        <v>1</v>
      </c>
    </row>
    <row r="59" spans="1:13" ht="12.75">
      <c r="A59" s="919" t="s">
        <v>1099</v>
      </c>
      <c r="B59" s="920"/>
      <c r="C59" s="920"/>
      <c r="D59" s="920"/>
      <c r="E59" s="920"/>
      <c r="F59" s="920"/>
      <c r="G59" s="920"/>
      <c r="H59" s="920"/>
      <c r="I59" s="920"/>
      <c r="J59" s="920"/>
      <c r="K59" s="920"/>
      <c r="L59" s="920"/>
      <c r="M59" s="920"/>
    </row>
    <row r="60" spans="1:13" ht="12.75">
      <c r="A60" s="927" t="s">
        <v>1100</v>
      </c>
      <c r="B60" s="928">
        <v>5</v>
      </c>
      <c r="C60" s="928">
        <v>5</v>
      </c>
      <c r="D60" s="928">
        <v>5</v>
      </c>
      <c r="E60" s="928">
        <v>5</v>
      </c>
      <c r="F60" s="928">
        <v>5</v>
      </c>
      <c r="G60" s="928">
        <v>5</v>
      </c>
      <c r="H60" s="916">
        <v>5</v>
      </c>
      <c r="I60" s="916">
        <v>5</v>
      </c>
      <c r="J60" s="916">
        <v>5</v>
      </c>
      <c r="K60" s="916">
        <v>5</v>
      </c>
      <c r="L60" s="916">
        <v>5</v>
      </c>
      <c r="M60" s="916">
        <v>5</v>
      </c>
    </row>
    <row r="61" spans="1:13" ht="38.25">
      <c r="A61" s="919" t="s">
        <v>1101</v>
      </c>
      <c r="B61" s="920"/>
      <c r="C61" s="920"/>
      <c r="D61" s="920"/>
      <c r="E61" s="920"/>
      <c r="F61" s="920"/>
      <c r="G61" s="920"/>
      <c r="H61" s="920"/>
      <c r="I61" s="920"/>
      <c r="J61" s="920"/>
      <c r="K61" s="920"/>
      <c r="L61" s="920"/>
      <c r="M61" s="920"/>
    </row>
    <row r="62" spans="1:13" ht="12.75">
      <c r="A62" s="927" t="s">
        <v>1102</v>
      </c>
      <c r="B62" s="928">
        <v>0.5</v>
      </c>
      <c r="C62" s="928">
        <v>0.5</v>
      </c>
      <c r="D62" s="928">
        <v>0.5</v>
      </c>
      <c r="E62" s="928">
        <v>0.5</v>
      </c>
      <c r="F62" s="928">
        <v>0.5</v>
      </c>
      <c r="G62" s="928">
        <v>0.5</v>
      </c>
      <c r="H62" s="916">
        <v>0.5</v>
      </c>
      <c r="I62" s="916">
        <v>0.5</v>
      </c>
      <c r="J62" s="916">
        <v>0.5</v>
      </c>
      <c r="K62" s="916">
        <v>0.5</v>
      </c>
      <c r="L62" s="916">
        <v>0.5</v>
      </c>
      <c r="M62" s="916">
        <v>0.5</v>
      </c>
    </row>
    <row r="63" spans="1:13" ht="12.75">
      <c r="A63" s="927" t="s">
        <v>1103</v>
      </c>
      <c r="B63" s="928">
        <v>0.5</v>
      </c>
      <c r="C63" s="928">
        <v>0.5</v>
      </c>
      <c r="D63" s="928">
        <v>0.5</v>
      </c>
      <c r="E63" s="928">
        <v>0.5</v>
      </c>
      <c r="F63" s="928">
        <v>0.5</v>
      </c>
      <c r="G63" s="928">
        <v>0.5</v>
      </c>
      <c r="H63" s="916">
        <v>0.5</v>
      </c>
      <c r="I63" s="916">
        <v>0.5</v>
      </c>
      <c r="J63" s="916">
        <v>0.5</v>
      </c>
      <c r="K63" s="916">
        <v>0.5</v>
      </c>
      <c r="L63" s="916">
        <v>0.5</v>
      </c>
      <c r="M63" s="916">
        <v>0.5</v>
      </c>
    </row>
    <row r="64" spans="1:13" ht="12.75">
      <c r="A64" s="915" t="s">
        <v>1072</v>
      </c>
      <c r="B64" s="928">
        <v>1</v>
      </c>
      <c r="C64" s="928">
        <v>1</v>
      </c>
      <c r="D64" s="928">
        <v>1</v>
      </c>
      <c r="E64" s="928">
        <v>1</v>
      </c>
      <c r="F64" s="928">
        <v>1</v>
      </c>
      <c r="G64" s="928">
        <v>1</v>
      </c>
      <c r="H64" s="928">
        <v>1</v>
      </c>
      <c r="I64" s="928">
        <v>1</v>
      </c>
      <c r="J64" s="928">
        <v>1</v>
      </c>
      <c r="K64" s="928">
        <v>1</v>
      </c>
      <c r="L64" s="928">
        <v>1</v>
      </c>
      <c r="M64" s="928">
        <v>1</v>
      </c>
    </row>
    <row r="65" spans="1:13" ht="12.75">
      <c r="A65" s="915" t="s">
        <v>1104</v>
      </c>
      <c r="B65" s="928">
        <v>1</v>
      </c>
      <c r="C65" s="928">
        <v>2</v>
      </c>
      <c r="D65" s="928">
        <v>2</v>
      </c>
      <c r="E65" s="928">
        <v>2</v>
      </c>
      <c r="F65" s="928">
        <v>2</v>
      </c>
      <c r="G65" s="928">
        <v>2</v>
      </c>
      <c r="H65" s="928">
        <v>2</v>
      </c>
      <c r="I65" s="928">
        <v>2</v>
      </c>
      <c r="J65" s="928">
        <v>2</v>
      </c>
      <c r="K65" s="928">
        <v>2</v>
      </c>
      <c r="L65" s="928">
        <v>2</v>
      </c>
      <c r="M65" s="928">
        <v>2</v>
      </c>
    </row>
    <row r="66" spans="1:13" ht="12.75">
      <c r="A66" s="915" t="s">
        <v>1105</v>
      </c>
      <c r="B66" s="928">
        <v>1</v>
      </c>
      <c r="C66" s="928">
        <v>1</v>
      </c>
      <c r="D66" s="928">
        <v>1</v>
      </c>
      <c r="E66" s="928">
        <v>1</v>
      </c>
      <c r="F66" s="928">
        <v>1</v>
      </c>
      <c r="G66" s="928">
        <v>1</v>
      </c>
      <c r="H66" s="928">
        <v>1</v>
      </c>
      <c r="I66" s="928">
        <v>1</v>
      </c>
      <c r="J66" s="928">
        <v>1</v>
      </c>
      <c r="K66" s="928">
        <v>1</v>
      </c>
      <c r="L66" s="928">
        <v>1</v>
      </c>
      <c r="M66" s="928">
        <v>1</v>
      </c>
    </row>
    <row r="67" spans="1:13" ht="12.75">
      <c r="A67" s="915" t="s">
        <v>1106</v>
      </c>
      <c r="B67" s="928">
        <v>0.5</v>
      </c>
      <c r="C67" s="928">
        <v>0.5</v>
      </c>
      <c r="D67" s="928">
        <v>0.5</v>
      </c>
      <c r="E67" s="928">
        <v>0.5</v>
      </c>
      <c r="F67" s="928">
        <v>0.5</v>
      </c>
      <c r="G67" s="928">
        <v>0.5</v>
      </c>
      <c r="H67" s="928">
        <v>0.5</v>
      </c>
      <c r="I67" s="928">
        <v>0.5</v>
      </c>
      <c r="J67" s="928">
        <v>0.5</v>
      </c>
      <c r="K67" s="928">
        <v>0.5</v>
      </c>
      <c r="L67" s="928">
        <v>0.5</v>
      </c>
      <c r="M67" s="928">
        <v>0.5</v>
      </c>
    </row>
    <row r="68" spans="1:13" ht="12.75">
      <c r="A68" s="927" t="s">
        <v>1107</v>
      </c>
      <c r="B68" s="928">
        <v>0</v>
      </c>
      <c r="C68" s="928">
        <v>1</v>
      </c>
      <c r="D68" s="928">
        <v>1</v>
      </c>
      <c r="E68" s="928">
        <v>1</v>
      </c>
      <c r="F68" s="928">
        <v>1</v>
      </c>
      <c r="G68" s="928">
        <v>1</v>
      </c>
      <c r="H68" s="928">
        <v>1</v>
      </c>
      <c r="I68" s="928">
        <v>1</v>
      </c>
      <c r="J68" s="928">
        <v>1</v>
      </c>
      <c r="K68" s="928">
        <v>1</v>
      </c>
      <c r="L68" s="928">
        <v>1</v>
      </c>
      <c r="M68" s="928">
        <v>1</v>
      </c>
    </row>
    <row r="69" spans="1:13" ht="25.5">
      <c r="A69" s="919" t="s">
        <v>1108</v>
      </c>
      <c r="B69" s="920"/>
      <c r="C69" s="920"/>
      <c r="D69" s="920"/>
      <c r="E69" s="920"/>
      <c r="F69" s="920"/>
      <c r="G69" s="920"/>
      <c r="H69" s="920"/>
      <c r="I69" s="920"/>
      <c r="J69" s="920"/>
      <c r="K69" s="920"/>
      <c r="L69" s="920"/>
      <c r="M69" s="920"/>
    </row>
    <row r="70" spans="1:13" ht="12.75">
      <c r="A70" s="927" t="s">
        <v>1109</v>
      </c>
      <c r="B70" s="928">
        <v>0</v>
      </c>
      <c r="C70" s="928">
        <v>0</v>
      </c>
      <c r="D70" s="928">
        <v>0</v>
      </c>
      <c r="E70" s="928">
        <v>2</v>
      </c>
      <c r="F70" s="928">
        <v>2</v>
      </c>
      <c r="G70" s="928">
        <v>2</v>
      </c>
      <c r="H70" s="928">
        <v>2</v>
      </c>
      <c r="I70" s="928">
        <v>2</v>
      </c>
      <c r="J70" s="928">
        <v>2</v>
      </c>
      <c r="K70" s="928">
        <v>2</v>
      </c>
      <c r="L70" s="928">
        <v>2</v>
      </c>
      <c r="M70" s="928">
        <v>2</v>
      </c>
    </row>
    <row r="71" spans="1:13" ht="12.75">
      <c r="A71" s="927" t="s">
        <v>1110</v>
      </c>
      <c r="B71" s="928">
        <v>0</v>
      </c>
      <c r="C71" s="928">
        <v>0</v>
      </c>
      <c r="D71" s="928">
        <v>0</v>
      </c>
      <c r="E71" s="928">
        <v>1</v>
      </c>
      <c r="F71" s="928">
        <v>1</v>
      </c>
      <c r="G71" s="928">
        <v>1</v>
      </c>
      <c r="H71" s="928">
        <v>1</v>
      </c>
      <c r="I71" s="928">
        <v>1</v>
      </c>
      <c r="J71" s="928">
        <v>1</v>
      </c>
      <c r="K71" s="928">
        <v>1</v>
      </c>
      <c r="L71" s="928">
        <v>1</v>
      </c>
      <c r="M71" s="928">
        <v>1</v>
      </c>
    </row>
    <row r="72" spans="1:13" ht="12.75">
      <c r="A72" s="927" t="s">
        <v>1111</v>
      </c>
      <c r="B72" s="928">
        <v>0</v>
      </c>
      <c r="C72" s="928">
        <v>0</v>
      </c>
      <c r="D72" s="928">
        <v>0</v>
      </c>
      <c r="E72" s="928">
        <v>1</v>
      </c>
      <c r="F72" s="928">
        <v>1</v>
      </c>
      <c r="G72" s="928">
        <v>1</v>
      </c>
      <c r="H72" s="928">
        <v>1</v>
      </c>
      <c r="I72" s="928">
        <v>1</v>
      </c>
      <c r="J72" s="928">
        <v>1</v>
      </c>
      <c r="K72" s="928">
        <v>1</v>
      </c>
      <c r="L72" s="928">
        <v>1</v>
      </c>
      <c r="M72" s="928">
        <v>1</v>
      </c>
    </row>
    <row r="73" spans="1:13" ht="12.75">
      <c r="A73" s="927" t="s">
        <v>1112</v>
      </c>
      <c r="B73" s="928">
        <v>0</v>
      </c>
      <c r="C73" s="928">
        <v>0</v>
      </c>
      <c r="D73" s="928">
        <v>0</v>
      </c>
      <c r="E73" s="928">
        <v>1</v>
      </c>
      <c r="F73" s="928">
        <v>1</v>
      </c>
      <c r="G73" s="928">
        <v>1</v>
      </c>
      <c r="H73" s="928">
        <v>1</v>
      </c>
      <c r="I73" s="928">
        <v>1</v>
      </c>
      <c r="J73" s="928">
        <v>1</v>
      </c>
      <c r="K73" s="928">
        <v>1</v>
      </c>
      <c r="L73" s="928">
        <v>1</v>
      </c>
      <c r="M73" s="928">
        <v>1</v>
      </c>
    </row>
    <row r="74" spans="1:13" ht="25.5">
      <c r="A74" s="919" t="s">
        <v>1113</v>
      </c>
      <c r="B74" s="920"/>
      <c r="C74" s="920"/>
      <c r="D74" s="920"/>
      <c r="E74" s="920"/>
      <c r="F74" s="920"/>
      <c r="G74" s="920"/>
      <c r="H74" s="920"/>
      <c r="I74" s="920"/>
      <c r="J74" s="920"/>
      <c r="K74" s="920"/>
      <c r="L74" s="920"/>
      <c r="M74" s="920"/>
    </row>
    <row r="75" spans="1:13" ht="12.75">
      <c r="A75" s="927" t="s">
        <v>1114</v>
      </c>
      <c r="B75" s="928">
        <v>0</v>
      </c>
      <c r="C75" s="928">
        <v>0</v>
      </c>
      <c r="D75" s="928">
        <v>1</v>
      </c>
      <c r="E75" s="928">
        <v>1</v>
      </c>
      <c r="F75" s="928">
        <v>1</v>
      </c>
      <c r="G75" s="928">
        <v>1</v>
      </c>
      <c r="H75" s="928">
        <v>1</v>
      </c>
      <c r="I75" s="928">
        <v>1</v>
      </c>
      <c r="J75" s="928">
        <v>1</v>
      </c>
      <c r="K75" s="928">
        <v>1</v>
      </c>
      <c r="L75" s="928">
        <v>1</v>
      </c>
      <c r="M75" s="928">
        <v>1</v>
      </c>
    </row>
    <row r="76" spans="1:13" ht="12.75">
      <c r="A76" s="911" t="s">
        <v>380</v>
      </c>
      <c r="B76" s="922">
        <f>SUM(B46:B75)</f>
        <v>28.5</v>
      </c>
      <c r="C76" s="922">
        <f aca="true" t="shared" si="2" ref="C76:M76">SUM(C46:C75)</f>
        <v>30.5</v>
      </c>
      <c r="D76" s="922">
        <f t="shared" si="2"/>
        <v>31.5</v>
      </c>
      <c r="E76" s="922">
        <f t="shared" si="2"/>
        <v>36.5</v>
      </c>
      <c r="F76" s="922">
        <f t="shared" si="2"/>
        <v>36.5</v>
      </c>
      <c r="G76" s="922">
        <f t="shared" si="2"/>
        <v>36.5</v>
      </c>
      <c r="H76" s="922">
        <f t="shared" si="2"/>
        <v>36.5</v>
      </c>
      <c r="I76" s="922">
        <f t="shared" si="2"/>
        <v>36.5</v>
      </c>
      <c r="J76" s="922">
        <f t="shared" si="2"/>
        <v>36.5</v>
      </c>
      <c r="K76" s="922">
        <f t="shared" si="2"/>
        <v>36.5</v>
      </c>
      <c r="L76" s="922">
        <f t="shared" si="2"/>
        <v>36.5</v>
      </c>
      <c r="M76" s="922">
        <f t="shared" si="2"/>
        <v>36.5</v>
      </c>
    </row>
    <row r="77" spans="1:13" ht="12.75">
      <c r="A77" s="923"/>
      <c r="B77" s="916"/>
      <c r="C77" s="916"/>
      <c r="D77" s="916"/>
      <c r="E77" s="916"/>
      <c r="F77" s="916"/>
      <c r="G77" s="916"/>
      <c r="H77" s="916"/>
      <c r="I77" s="916"/>
      <c r="J77" s="916"/>
      <c r="K77" s="916"/>
      <c r="L77" s="916"/>
      <c r="M77" s="916"/>
    </row>
    <row r="78" spans="1:13" ht="12.75">
      <c r="A78" s="911" t="s">
        <v>862</v>
      </c>
      <c r="B78" s="912"/>
      <c r="C78" s="912"/>
      <c r="D78" s="912"/>
      <c r="E78" s="912"/>
      <c r="F78" s="912"/>
      <c r="G78" s="912"/>
      <c r="H78" s="912"/>
      <c r="I78" s="912"/>
      <c r="J78" s="912"/>
      <c r="K78" s="912"/>
      <c r="L78" s="912"/>
      <c r="M78" s="912"/>
    </row>
    <row r="79" spans="1:13" ht="12.75">
      <c r="A79" s="915" t="s">
        <v>1115</v>
      </c>
      <c r="B79" s="916">
        <v>1</v>
      </c>
      <c r="C79" s="916">
        <v>1</v>
      </c>
      <c r="D79" s="916">
        <v>1</v>
      </c>
      <c r="E79" s="916">
        <v>1</v>
      </c>
      <c r="F79" s="916">
        <v>1</v>
      </c>
      <c r="G79" s="916">
        <v>1</v>
      </c>
      <c r="H79" s="916">
        <v>1</v>
      </c>
      <c r="I79" s="916">
        <v>1</v>
      </c>
      <c r="J79" s="916">
        <v>1</v>
      </c>
      <c r="K79" s="916">
        <v>1</v>
      </c>
      <c r="L79" s="916">
        <v>1</v>
      </c>
      <c r="M79" s="916">
        <v>1</v>
      </c>
    </row>
    <row r="80" spans="1:13" ht="12.75">
      <c r="A80" s="915" t="s">
        <v>1116</v>
      </c>
      <c r="B80" s="916">
        <v>1</v>
      </c>
      <c r="C80" s="916">
        <v>1</v>
      </c>
      <c r="D80" s="916">
        <v>1</v>
      </c>
      <c r="E80" s="916">
        <v>1</v>
      </c>
      <c r="F80" s="916">
        <v>1</v>
      </c>
      <c r="G80" s="916">
        <v>1</v>
      </c>
      <c r="H80" s="916">
        <v>1</v>
      </c>
      <c r="I80" s="916">
        <v>1</v>
      </c>
      <c r="J80" s="916">
        <v>1</v>
      </c>
      <c r="K80" s="916">
        <v>1</v>
      </c>
      <c r="L80" s="916">
        <v>1</v>
      </c>
      <c r="M80" s="916">
        <v>1</v>
      </c>
    </row>
    <row r="81" spans="1:13" ht="12.75">
      <c r="A81" s="915" t="s">
        <v>1117</v>
      </c>
      <c r="B81" s="916">
        <v>1</v>
      </c>
      <c r="C81" s="916">
        <v>1</v>
      </c>
      <c r="D81" s="916">
        <v>1</v>
      </c>
      <c r="E81" s="916">
        <v>1</v>
      </c>
      <c r="F81" s="916">
        <v>1</v>
      </c>
      <c r="G81" s="916">
        <v>1</v>
      </c>
      <c r="H81" s="916">
        <v>1</v>
      </c>
      <c r="I81" s="916">
        <v>1</v>
      </c>
      <c r="J81" s="916">
        <v>1</v>
      </c>
      <c r="K81" s="916">
        <v>1</v>
      </c>
      <c r="L81" s="916">
        <v>1</v>
      </c>
      <c r="M81" s="916">
        <v>1</v>
      </c>
    </row>
    <row r="82" spans="1:13" ht="12.75">
      <c r="A82" s="915" t="s">
        <v>1118</v>
      </c>
      <c r="B82" s="916">
        <v>1</v>
      </c>
      <c r="C82" s="916">
        <v>1</v>
      </c>
      <c r="D82" s="916">
        <v>1</v>
      </c>
      <c r="E82" s="916">
        <v>1</v>
      </c>
      <c r="F82" s="916">
        <v>1</v>
      </c>
      <c r="G82" s="916">
        <v>1</v>
      </c>
      <c r="H82" s="916">
        <v>1</v>
      </c>
      <c r="I82" s="916">
        <v>1</v>
      </c>
      <c r="J82" s="916">
        <v>1</v>
      </c>
      <c r="K82" s="916">
        <v>1</v>
      </c>
      <c r="L82" s="916">
        <v>1</v>
      </c>
      <c r="M82" s="916">
        <v>1</v>
      </c>
    </row>
    <row r="83" spans="1:13" ht="25.5">
      <c r="A83" s="921" t="s">
        <v>863</v>
      </c>
      <c r="B83" s="922">
        <f aca="true" t="shared" si="3" ref="B83:M83">SUM(B79:B82)</f>
        <v>4</v>
      </c>
      <c r="C83" s="922">
        <f t="shared" si="3"/>
        <v>4</v>
      </c>
      <c r="D83" s="922">
        <f t="shared" si="3"/>
        <v>4</v>
      </c>
      <c r="E83" s="922">
        <f t="shared" si="3"/>
        <v>4</v>
      </c>
      <c r="F83" s="922">
        <f t="shared" si="3"/>
        <v>4</v>
      </c>
      <c r="G83" s="922">
        <f t="shared" si="3"/>
        <v>4</v>
      </c>
      <c r="H83" s="922">
        <f t="shared" si="3"/>
        <v>4</v>
      </c>
      <c r="I83" s="922">
        <f t="shared" si="3"/>
        <v>4</v>
      </c>
      <c r="J83" s="922">
        <f t="shared" si="3"/>
        <v>4</v>
      </c>
      <c r="K83" s="922">
        <f t="shared" si="3"/>
        <v>4</v>
      </c>
      <c r="L83" s="922">
        <f t="shared" si="3"/>
        <v>4</v>
      </c>
      <c r="M83" s="922">
        <f t="shared" si="3"/>
        <v>4</v>
      </c>
    </row>
    <row r="84" spans="1:13" ht="12.75">
      <c r="A84" s="929" t="s">
        <v>1119</v>
      </c>
      <c r="B84" s="930">
        <f aca="true" t="shared" si="4" ref="B84:M84">SUM(B83,B76,B42,B37)</f>
        <v>99.625</v>
      </c>
      <c r="C84" s="930">
        <f t="shared" si="4"/>
        <v>106.625</v>
      </c>
      <c r="D84" s="930">
        <f t="shared" si="4"/>
        <v>107.625</v>
      </c>
      <c r="E84" s="930">
        <f t="shared" si="4"/>
        <v>113.625</v>
      </c>
      <c r="F84" s="930">
        <f t="shared" si="4"/>
        <v>113.625</v>
      </c>
      <c r="G84" s="930">
        <f t="shared" si="4"/>
        <v>113.625</v>
      </c>
      <c r="H84" s="930">
        <f t="shared" si="4"/>
        <v>112.625</v>
      </c>
      <c r="I84" s="930">
        <f t="shared" si="4"/>
        <v>112.625</v>
      </c>
      <c r="J84" s="930">
        <f t="shared" si="4"/>
        <v>111.625</v>
      </c>
      <c r="K84" s="930">
        <f t="shared" si="4"/>
        <v>111.625</v>
      </c>
      <c r="L84" s="930">
        <f t="shared" si="4"/>
        <v>111.625</v>
      </c>
      <c r="M84" s="930">
        <f t="shared" si="4"/>
        <v>111.625</v>
      </c>
    </row>
    <row r="85" spans="1:13" ht="12.75">
      <c r="A85" s="923"/>
      <c r="B85" s="916"/>
      <c r="C85" s="916"/>
      <c r="D85" s="916"/>
      <c r="E85" s="916"/>
      <c r="F85" s="916"/>
      <c r="G85" s="916"/>
      <c r="H85" s="916"/>
      <c r="I85" s="916"/>
      <c r="J85" s="916"/>
      <c r="K85" s="916"/>
      <c r="L85" s="916"/>
      <c r="M85" s="916"/>
    </row>
    <row r="86" spans="1:13" ht="12.75">
      <c r="A86" s="911" t="s">
        <v>1120</v>
      </c>
      <c r="B86" s="912"/>
      <c r="C86" s="912"/>
      <c r="D86" s="912"/>
      <c r="E86" s="912"/>
      <c r="F86" s="912"/>
      <c r="G86" s="912"/>
      <c r="H86" s="912"/>
      <c r="I86" s="912"/>
      <c r="J86" s="912"/>
      <c r="K86" s="912"/>
      <c r="L86" s="912"/>
      <c r="M86" s="912"/>
    </row>
    <row r="87" spans="1:13" ht="25.5">
      <c r="A87" s="913" t="s">
        <v>1121</v>
      </c>
      <c r="B87" s="914"/>
      <c r="C87" s="914"/>
      <c r="D87" s="914"/>
      <c r="E87" s="914"/>
      <c r="F87" s="914"/>
      <c r="G87" s="914"/>
      <c r="H87" s="914"/>
      <c r="I87" s="914"/>
      <c r="J87" s="914"/>
      <c r="K87" s="914"/>
      <c r="L87" s="914"/>
      <c r="M87" s="914"/>
    </row>
    <row r="88" spans="1:13" ht="12.75">
      <c r="A88" s="931" t="s">
        <v>1122</v>
      </c>
      <c r="B88" s="932">
        <v>12</v>
      </c>
      <c r="C88" s="932">
        <v>12</v>
      </c>
      <c r="D88" s="932">
        <v>0</v>
      </c>
      <c r="E88" s="932">
        <v>0</v>
      </c>
      <c r="F88" s="932">
        <v>0</v>
      </c>
      <c r="G88" s="932">
        <v>0</v>
      </c>
      <c r="H88" s="932">
        <v>0</v>
      </c>
      <c r="I88" s="932">
        <v>0</v>
      </c>
      <c r="J88" s="932">
        <v>0</v>
      </c>
      <c r="K88" s="932">
        <v>0</v>
      </c>
      <c r="L88" s="932">
        <v>0</v>
      </c>
      <c r="M88" s="932">
        <v>0</v>
      </c>
    </row>
    <row r="89" spans="1:13" ht="12.75">
      <c r="A89" s="931" t="s">
        <v>1123</v>
      </c>
      <c r="B89" s="932">
        <v>15</v>
      </c>
      <c r="C89" s="932">
        <v>15</v>
      </c>
      <c r="D89" s="932">
        <v>0</v>
      </c>
      <c r="E89" s="932">
        <v>0</v>
      </c>
      <c r="F89" s="932">
        <v>0</v>
      </c>
      <c r="G89" s="932">
        <v>0</v>
      </c>
      <c r="H89" s="932">
        <v>0</v>
      </c>
      <c r="I89" s="932">
        <v>0</v>
      </c>
      <c r="J89" s="932">
        <v>0</v>
      </c>
      <c r="K89" s="932">
        <v>0</v>
      </c>
      <c r="L89" s="932">
        <v>0</v>
      </c>
      <c r="M89" s="932">
        <v>0</v>
      </c>
    </row>
    <row r="90" spans="1:13" ht="12.75">
      <c r="A90" s="931" t="s">
        <v>1124</v>
      </c>
      <c r="B90" s="932">
        <v>15</v>
      </c>
      <c r="C90" s="932">
        <v>15</v>
      </c>
      <c r="D90" s="932">
        <v>0</v>
      </c>
      <c r="E90" s="932">
        <v>0</v>
      </c>
      <c r="F90" s="932">
        <v>0</v>
      </c>
      <c r="G90" s="932">
        <v>0</v>
      </c>
      <c r="H90" s="932">
        <v>0</v>
      </c>
      <c r="I90" s="932">
        <v>0</v>
      </c>
      <c r="J90" s="932">
        <v>0</v>
      </c>
      <c r="K90" s="932">
        <v>0</v>
      </c>
      <c r="L90" s="932">
        <v>0</v>
      </c>
      <c r="M90" s="932">
        <v>0</v>
      </c>
    </row>
    <row r="91" spans="1:13" ht="25.5">
      <c r="A91" s="913" t="s">
        <v>1125</v>
      </c>
      <c r="B91" s="914"/>
      <c r="C91" s="914"/>
      <c r="D91" s="914"/>
      <c r="E91" s="914"/>
      <c r="F91" s="914"/>
      <c r="G91" s="914"/>
      <c r="H91" s="914"/>
      <c r="I91" s="914"/>
      <c r="J91" s="914"/>
      <c r="K91" s="914"/>
      <c r="L91" s="914"/>
      <c r="M91" s="914"/>
    </row>
    <row r="92" spans="1:13" ht="12.75">
      <c r="A92" s="931" t="s">
        <v>1122</v>
      </c>
      <c r="B92" s="932">
        <v>0</v>
      </c>
      <c r="C92" s="932">
        <v>0</v>
      </c>
      <c r="D92" s="932">
        <v>11</v>
      </c>
      <c r="E92" s="932">
        <v>11</v>
      </c>
      <c r="F92" s="932">
        <v>11</v>
      </c>
      <c r="G92" s="932">
        <v>11</v>
      </c>
      <c r="H92" s="932">
        <v>11</v>
      </c>
      <c r="I92" s="932">
        <v>11</v>
      </c>
      <c r="J92" s="932">
        <v>11</v>
      </c>
      <c r="K92" s="932">
        <v>11</v>
      </c>
      <c r="L92" s="932">
        <v>11</v>
      </c>
      <c r="M92" s="932">
        <v>11</v>
      </c>
    </row>
    <row r="93" spans="1:13" ht="12.75">
      <c r="A93" s="931" t="s">
        <v>1123</v>
      </c>
      <c r="B93" s="932">
        <v>0</v>
      </c>
      <c r="C93" s="932">
        <v>0</v>
      </c>
      <c r="D93" s="932">
        <v>11</v>
      </c>
      <c r="E93" s="932">
        <v>11</v>
      </c>
      <c r="F93" s="932">
        <v>11</v>
      </c>
      <c r="G93" s="932">
        <v>11</v>
      </c>
      <c r="H93" s="932">
        <v>11</v>
      </c>
      <c r="I93" s="932">
        <v>11</v>
      </c>
      <c r="J93" s="932">
        <v>11</v>
      </c>
      <c r="K93" s="932">
        <v>11</v>
      </c>
      <c r="L93" s="932">
        <v>11</v>
      </c>
      <c r="M93" s="932">
        <v>11</v>
      </c>
    </row>
    <row r="94" spans="1:13" ht="12.75">
      <c r="A94" s="931" t="s">
        <v>1124</v>
      </c>
      <c r="B94" s="932">
        <v>0</v>
      </c>
      <c r="C94" s="932">
        <v>0</v>
      </c>
      <c r="D94" s="932">
        <v>11</v>
      </c>
      <c r="E94" s="932">
        <v>11</v>
      </c>
      <c r="F94" s="932">
        <v>11</v>
      </c>
      <c r="G94" s="932">
        <v>11</v>
      </c>
      <c r="H94" s="932">
        <v>11</v>
      </c>
      <c r="I94" s="932">
        <v>11</v>
      </c>
      <c r="J94" s="932">
        <v>11</v>
      </c>
      <c r="K94" s="932">
        <v>11</v>
      </c>
      <c r="L94" s="932">
        <v>11</v>
      </c>
      <c r="M94" s="932">
        <v>11</v>
      </c>
    </row>
    <row r="95" spans="1:13" ht="12.75">
      <c r="A95" s="931" t="s">
        <v>1126</v>
      </c>
      <c r="B95" s="932">
        <v>0</v>
      </c>
      <c r="C95" s="932">
        <v>0</v>
      </c>
      <c r="D95" s="932">
        <v>5</v>
      </c>
      <c r="E95" s="932">
        <v>5</v>
      </c>
      <c r="F95" s="932">
        <v>5</v>
      </c>
      <c r="G95" s="932">
        <v>5</v>
      </c>
      <c r="H95" s="932">
        <v>5</v>
      </c>
      <c r="I95" s="932">
        <v>5</v>
      </c>
      <c r="J95" s="932">
        <v>5</v>
      </c>
      <c r="K95" s="932">
        <v>5</v>
      </c>
      <c r="L95" s="932">
        <v>5</v>
      </c>
      <c r="M95" s="932">
        <v>5</v>
      </c>
    </row>
    <row r="96" spans="1:13" ht="25.5">
      <c r="A96" s="913" t="s">
        <v>1127</v>
      </c>
      <c r="B96" s="914"/>
      <c r="C96" s="914"/>
      <c r="D96" s="914"/>
      <c r="E96" s="914"/>
      <c r="F96" s="914"/>
      <c r="G96" s="914"/>
      <c r="H96" s="914"/>
      <c r="I96" s="914"/>
      <c r="J96" s="914"/>
      <c r="K96" s="914"/>
      <c r="L96" s="914"/>
      <c r="M96" s="914"/>
    </row>
    <row r="97" spans="1:13" ht="12.75">
      <c r="A97" s="931" t="s">
        <v>1128</v>
      </c>
      <c r="B97" s="932">
        <v>12</v>
      </c>
      <c r="C97" s="932">
        <v>12</v>
      </c>
      <c r="D97" s="932">
        <v>0</v>
      </c>
      <c r="E97" s="932">
        <v>0</v>
      </c>
      <c r="F97" s="932">
        <v>0</v>
      </c>
      <c r="G97" s="932">
        <v>0</v>
      </c>
      <c r="H97" s="932">
        <v>0</v>
      </c>
      <c r="I97" s="932">
        <v>0</v>
      </c>
      <c r="J97" s="932">
        <v>0</v>
      </c>
      <c r="K97" s="932">
        <v>0</v>
      </c>
      <c r="L97" s="932">
        <v>0</v>
      </c>
      <c r="M97" s="932">
        <v>0</v>
      </c>
    </row>
    <row r="98" spans="1:13" ht="12.75">
      <c r="A98" s="931" t="s">
        <v>1129</v>
      </c>
      <c r="B98" s="932">
        <v>72</v>
      </c>
      <c r="C98" s="932">
        <v>72</v>
      </c>
      <c r="D98" s="932">
        <v>0</v>
      </c>
      <c r="E98" s="932">
        <v>0</v>
      </c>
      <c r="F98" s="932">
        <v>0</v>
      </c>
      <c r="G98" s="932">
        <v>0</v>
      </c>
      <c r="H98" s="932">
        <v>0</v>
      </c>
      <c r="I98" s="932">
        <v>0</v>
      </c>
      <c r="J98" s="932">
        <v>0</v>
      </c>
      <c r="K98" s="932">
        <v>0</v>
      </c>
      <c r="L98" s="932">
        <v>0</v>
      </c>
      <c r="M98" s="932">
        <v>0</v>
      </c>
    </row>
    <row r="99" spans="1:13" ht="25.5">
      <c r="A99" s="913" t="s">
        <v>1130</v>
      </c>
      <c r="B99" s="914"/>
      <c r="C99" s="914"/>
      <c r="D99" s="914"/>
      <c r="E99" s="914"/>
      <c r="F99" s="914"/>
      <c r="G99" s="914"/>
      <c r="H99" s="914"/>
      <c r="I99" s="914"/>
      <c r="J99" s="914"/>
      <c r="K99" s="914"/>
      <c r="L99" s="914"/>
      <c r="M99" s="914"/>
    </row>
    <row r="100" spans="1:13" ht="12.75">
      <c r="A100" s="931" t="s">
        <v>1131</v>
      </c>
      <c r="B100" s="932">
        <v>0</v>
      </c>
      <c r="C100" s="932">
        <v>0</v>
      </c>
      <c r="D100" s="932">
        <v>94</v>
      </c>
      <c r="E100" s="932">
        <v>94</v>
      </c>
      <c r="F100" s="932">
        <v>94</v>
      </c>
      <c r="G100" s="932">
        <v>94</v>
      </c>
      <c r="H100" s="932">
        <v>94</v>
      </c>
      <c r="I100" s="932">
        <v>94</v>
      </c>
      <c r="J100" s="932">
        <v>94</v>
      </c>
      <c r="K100" s="932">
        <v>94</v>
      </c>
      <c r="L100" s="932">
        <v>94</v>
      </c>
      <c r="M100" s="932">
        <v>94</v>
      </c>
    </row>
    <row r="101" spans="1:13" ht="12.75">
      <c r="A101" s="929" t="s">
        <v>1132</v>
      </c>
      <c r="B101" s="930">
        <f>SUM(B87:B100)</f>
        <v>126</v>
      </c>
      <c r="C101" s="930">
        <f aca="true" t="shared" si="5" ref="C101:M101">SUM(C87:C100)</f>
        <v>126</v>
      </c>
      <c r="D101" s="930">
        <f t="shared" si="5"/>
        <v>132</v>
      </c>
      <c r="E101" s="930">
        <f t="shared" si="5"/>
        <v>132</v>
      </c>
      <c r="F101" s="930">
        <f t="shared" si="5"/>
        <v>132</v>
      </c>
      <c r="G101" s="930">
        <f t="shared" si="5"/>
        <v>132</v>
      </c>
      <c r="H101" s="930">
        <f t="shared" si="5"/>
        <v>132</v>
      </c>
      <c r="I101" s="930">
        <f t="shared" si="5"/>
        <v>132</v>
      </c>
      <c r="J101" s="930">
        <f t="shared" si="5"/>
        <v>132</v>
      </c>
      <c r="K101" s="930">
        <f t="shared" si="5"/>
        <v>132</v>
      </c>
      <c r="L101" s="930">
        <f t="shared" si="5"/>
        <v>132</v>
      </c>
      <c r="M101" s="930">
        <f t="shared" si="5"/>
        <v>132</v>
      </c>
    </row>
  </sheetData>
  <sheetProtection/>
  <mergeCells count="3"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2" manualBreakCount="2">
    <brk id="42" max="12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87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78" bestFit="1" customWidth="1"/>
    <col min="2" max="2" width="2.375" style="2" customWidth="1"/>
    <col min="3" max="3" width="88.625" style="2" customWidth="1"/>
    <col min="4" max="4" width="15.625" style="2" bestFit="1" customWidth="1"/>
    <col min="5" max="16384" width="8.875" style="2" customWidth="1"/>
  </cols>
  <sheetData>
    <row r="1" spans="3:5" ht="15">
      <c r="C1" s="977" t="s">
        <v>1142</v>
      </c>
      <c r="D1" s="1239"/>
      <c r="E1" s="77"/>
    </row>
    <row r="2" spans="3:5" ht="15">
      <c r="C2" s="5"/>
      <c r="D2" s="132"/>
      <c r="E2" s="77"/>
    </row>
    <row r="3" spans="2:4" ht="15.75">
      <c r="B3" s="1240" t="s">
        <v>822</v>
      </c>
      <c r="C3" s="1240"/>
      <c r="D3" s="1240"/>
    </row>
    <row r="4" spans="2:4" ht="15">
      <c r="B4" s="136"/>
      <c r="C4" s="136"/>
      <c r="D4" s="136"/>
    </row>
    <row r="5" ht="15.75" thickBot="1">
      <c r="D5" s="5"/>
    </row>
    <row r="6" spans="1:4" s="3" customFormat="1" ht="14.25">
      <c r="A6" s="1231" t="s">
        <v>426</v>
      </c>
      <c r="B6" s="1241" t="s">
        <v>357</v>
      </c>
      <c r="C6" s="1242"/>
      <c r="D6" s="6" t="s">
        <v>369</v>
      </c>
    </row>
    <row r="7" spans="1:4" s="90" customFormat="1" ht="12">
      <c r="A7" s="1232"/>
      <c r="B7" s="1243" t="s">
        <v>420</v>
      </c>
      <c r="C7" s="1243"/>
      <c r="D7" s="89" t="s">
        <v>421</v>
      </c>
    </row>
    <row r="8" spans="1:4" s="3" customFormat="1" ht="14.25">
      <c r="A8" s="96">
        <v>1</v>
      </c>
      <c r="B8" s="91" t="s">
        <v>363</v>
      </c>
      <c r="C8" s="10"/>
      <c r="D8" s="269"/>
    </row>
    <row r="9" spans="1:4" s="12" customFormat="1" ht="15">
      <c r="A9" s="96">
        <v>2</v>
      </c>
      <c r="B9" s="92" t="s">
        <v>435</v>
      </c>
      <c r="C9" s="11"/>
      <c r="D9" s="270"/>
    </row>
    <row r="10" spans="1:4" ht="27.75" customHeight="1">
      <c r="A10" s="96">
        <v>3</v>
      </c>
      <c r="B10" s="80" t="s">
        <v>370</v>
      </c>
      <c r="C10" s="127" t="s">
        <v>828</v>
      </c>
      <c r="D10" s="663">
        <f>242490975+151044</f>
        <v>242642019</v>
      </c>
    </row>
    <row r="11" spans="1:4" ht="27.75" customHeight="1">
      <c r="A11" s="96">
        <v>4</v>
      </c>
      <c r="B11" s="80" t="s">
        <v>370</v>
      </c>
      <c r="C11" s="127" t="s">
        <v>829</v>
      </c>
      <c r="D11" s="663">
        <v>3832400</v>
      </c>
    </row>
    <row r="12" spans="1:4" ht="27.75" customHeight="1">
      <c r="A12" s="96">
        <v>5</v>
      </c>
      <c r="B12" s="80" t="s">
        <v>370</v>
      </c>
      <c r="C12" s="127" t="s">
        <v>830</v>
      </c>
      <c r="D12" s="663">
        <v>17861888</v>
      </c>
    </row>
    <row r="13" spans="1:4" ht="27.75" customHeight="1">
      <c r="A13" s="96">
        <v>6</v>
      </c>
      <c r="B13" s="80" t="s">
        <v>370</v>
      </c>
      <c r="C13" s="127" t="s">
        <v>735</v>
      </c>
      <c r="D13" s="663">
        <f>17462500-5238750</f>
        <v>12223750</v>
      </c>
    </row>
    <row r="14" spans="1:4" ht="27.75" customHeight="1">
      <c r="A14" s="96">
        <v>7</v>
      </c>
      <c r="B14" s="80" t="s">
        <v>370</v>
      </c>
      <c r="C14" s="127" t="s">
        <v>736</v>
      </c>
      <c r="D14" s="663">
        <v>525300</v>
      </c>
    </row>
    <row r="15" spans="1:4" ht="27.75" customHeight="1">
      <c r="A15" s="96">
        <v>8</v>
      </c>
      <c r="B15" s="80" t="s">
        <v>370</v>
      </c>
      <c r="C15" s="127" t="s">
        <v>737</v>
      </c>
      <c r="D15" s="663">
        <v>3225085</v>
      </c>
    </row>
    <row r="16" spans="1:4" ht="18.75" customHeight="1">
      <c r="A16" s="96">
        <v>9</v>
      </c>
      <c r="B16" s="80" t="s">
        <v>370</v>
      </c>
      <c r="C16" s="127" t="s">
        <v>831</v>
      </c>
      <c r="D16" s="663">
        <v>5419000</v>
      </c>
    </row>
    <row r="17" spans="1:4" ht="45">
      <c r="A17" s="96">
        <v>10</v>
      </c>
      <c r="B17" s="80" t="s">
        <v>370</v>
      </c>
      <c r="C17" s="127" t="s">
        <v>889</v>
      </c>
      <c r="D17" s="663">
        <f>335750+495250</f>
        <v>831000</v>
      </c>
    </row>
    <row r="18" spans="1:4" ht="30">
      <c r="A18" s="96">
        <v>11</v>
      </c>
      <c r="B18" s="80" t="s">
        <v>370</v>
      </c>
      <c r="C18" s="127" t="s">
        <v>1032</v>
      </c>
      <c r="D18" s="663">
        <f>76200+233830</f>
        <v>310030</v>
      </c>
    </row>
    <row r="19" spans="1:4" ht="21.75" customHeight="1">
      <c r="A19" s="96">
        <v>12</v>
      </c>
      <c r="B19" s="80" t="s">
        <v>370</v>
      </c>
      <c r="C19" s="127" t="s">
        <v>834</v>
      </c>
      <c r="D19" s="663">
        <v>1023620</v>
      </c>
    </row>
    <row r="20" spans="1:4" ht="28.5" customHeight="1">
      <c r="A20" s="96">
        <v>13</v>
      </c>
      <c r="B20" s="80" t="s">
        <v>370</v>
      </c>
      <c r="C20" s="127" t="s">
        <v>1018</v>
      </c>
      <c r="D20" s="663">
        <v>235153</v>
      </c>
    </row>
    <row r="21" spans="1:4" ht="21" customHeight="1">
      <c r="A21" s="96">
        <v>14</v>
      </c>
      <c r="B21" s="80" t="s">
        <v>370</v>
      </c>
      <c r="C21" s="127" t="s">
        <v>835</v>
      </c>
      <c r="D21" s="663">
        <v>3250000</v>
      </c>
    </row>
    <row r="22" spans="1:4" ht="28.5" customHeight="1">
      <c r="A22" s="96">
        <v>15</v>
      </c>
      <c r="B22" s="80" t="s">
        <v>370</v>
      </c>
      <c r="C22" s="127" t="s">
        <v>1017</v>
      </c>
      <c r="D22" s="663">
        <f>101600+150000</f>
        <v>251600</v>
      </c>
    </row>
    <row r="23" spans="1:4" ht="28.5" customHeight="1">
      <c r="A23" s="96">
        <v>16</v>
      </c>
      <c r="B23" s="80" t="s">
        <v>370</v>
      </c>
      <c r="C23" s="127" t="s">
        <v>836</v>
      </c>
      <c r="D23" s="663">
        <v>10986734</v>
      </c>
    </row>
    <row r="24" spans="1:4" ht="15.75" customHeight="1">
      <c r="A24" s="96">
        <v>17</v>
      </c>
      <c r="B24" s="80" t="s">
        <v>370</v>
      </c>
      <c r="C24" s="127" t="s">
        <v>926</v>
      </c>
      <c r="D24" s="663">
        <v>299888</v>
      </c>
    </row>
    <row r="25" spans="1:4" ht="15.75" customHeight="1">
      <c r="A25" s="96">
        <v>18</v>
      </c>
      <c r="B25" s="80" t="s">
        <v>370</v>
      </c>
      <c r="C25" s="127" t="s">
        <v>927</v>
      </c>
      <c r="D25" s="663">
        <v>1846997</v>
      </c>
    </row>
    <row r="26" spans="1:4" ht="30" customHeight="1">
      <c r="A26" s="96">
        <v>19</v>
      </c>
      <c r="B26" s="80" t="s">
        <v>370</v>
      </c>
      <c r="C26" s="127" t="s">
        <v>930</v>
      </c>
      <c r="D26" s="663">
        <v>8983129</v>
      </c>
    </row>
    <row r="27" spans="1:4" ht="17.25" customHeight="1">
      <c r="A27" s="96">
        <v>20</v>
      </c>
      <c r="B27" s="80" t="s">
        <v>370</v>
      </c>
      <c r="C27" s="127" t="s">
        <v>929</v>
      </c>
      <c r="D27" s="663">
        <v>2497100</v>
      </c>
    </row>
    <row r="28" spans="1:4" ht="20.25" customHeight="1">
      <c r="A28" s="96">
        <v>21</v>
      </c>
      <c r="B28" s="80" t="s">
        <v>370</v>
      </c>
      <c r="C28" s="127" t="s">
        <v>1019</v>
      </c>
      <c r="D28" s="663">
        <f>120000+73660</f>
        <v>193660</v>
      </c>
    </row>
    <row r="29" spans="1:4" ht="30">
      <c r="A29" s="96">
        <v>22</v>
      </c>
      <c r="B29" s="80" t="s">
        <v>370</v>
      </c>
      <c r="C29" s="127" t="s">
        <v>1025</v>
      </c>
      <c r="D29" s="663">
        <v>1920000</v>
      </c>
    </row>
    <row r="30" spans="1:4" ht="16.5" customHeight="1">
      <c r="A30" s="96">
        <v>23</v>
      </c>
      <c r="B30" s="80" t="s">
        <v>370</v>
      </c>
      <c r="C30" s="897" t="s">
        <v>1015</v>
      </c>
      <c r="D30" s="663">
        <v>30000</v>
      </c>
    </row>
    <row r="31" spans="1:4" s="36" customFormat="1" ht="15">
      <c r="A31" s="96">
        <v>24</v>
      </c>
      <c r="B31" s="80"/>
      <c r="C31" s="14" t="s">
        <v>380</v>
      </c>
      <c r="D31" s="271">
        <f>SUM(D10:D30)</f>
        <v>318388353</v>
      </c>
    </row>
    <row r="32" spans="1:4" s="36" customFormat="1" ht="15">
      <c r="A32" s="96">
        <v>25</v>
      </c>
      <c r="B32" s="1236" t="s">
        <v>367</v>
      </c>
      <c r="C32" s="1237"/>
      <c r="D32" s="1238"/>
    </row>
    <row r="33" spans="1:4" ht="18.75" customHeight="1">
      <c r="A33" s="96">
        <v>26</v>
      </c>
      <c r="B33" s="80" t="s">
        <v>370</v>
      </c>
      <c r="C33" s="127" t="s">
        <v>837</v>
      </c>
      <c r="D33" s="663">
        <f>1229404-139700</f>
        <v>1089704</v>
      </c>
    </row>
    <row r="34" spans="1:4" ht="18.75" customHeight="1">
      <c r="A34" s="96">
        <v>27</v>
      </c>
      <c r="B34" s="80" t="s">
        <v>370</v>
      </c>
      <c r="C34" s="127" t="s">
        <v>1034</v>
      </c>
      <c r="D34" s="663">
        <f>139700</f>
        <v>139700</v>
      </c>
    </row>
    <row r="35" spans="1:4" s="36" customFormat="1" ht="15">
      <c r="A35" s="96">
        <v>28</v>
      </c>
      <c r="B35" s="126"/>
      <c r="C35" s="14" t="s">
        <v>492</v>
      </c>
      <c r="D35" s="271">
        <f>SUM(D33:D34)</f>
        <v>1229404</v>
      </c>
    </row>
    <row r="36" spans="1:4" s="36" customFormat="1" ht="15">
      <c r="A36" s="96">
        <v>29</v>
      </c>
      <c r="B36" s="1236" t="s">
        <v>771</v>
      </c>
      <c r="C36" s="1237"/>
      <c r="D36" s="1238"/>
    </row>
    <row r="37" spans="1:4" ht="32.25" customHeight="1">
      <c r="A37" s="96">
        <v>30</v>
      </c>
      <c r="B37" s="80" t="s">
        <v>370</v>
      </c>
      <c r="C37" s="127" t="s">
        <v>1023</v>
      </c>
      <c r="D37" s="663">
        <f>139700+84541+79900</f>
        <v>304141</v>
      </c>
    </row>
    <row r="38" spans="1:4" ht="19.5" customHeight="1">
      <c r="A38" s="96">
        <v>31</v>
      </c>
      <c r="B38" s="80" t="s">
        <v>370</v>
      </c>
      <c r="C38" s="127" t="s">
        <v>1035</v>
      </c>
      <c r="D38" s="663">
        <f>123070+198285</f>
        <v>321355</v>
      </c>
    </row>
    <row r="39" spans="1:4" ht="18.75" customHeight="1">
      <c r="A39" s="96">
        <v>32</v>
      </c>
      <c r="B39" s="80" t="s">
        <v>370</v>
      </c>
      <c r="C39" s="127" t="s">
        <v>1021</v>
      </c>
      <c r="D39" s="663">
        <f>88900+152273</f>
        <v>241173</v>
      </c>
    </row>
    <row r="40" spans="1:4" ht="18.75" customHeight="1">
      <c r="A40" s="96">
        <v>33</v>
      </c>
      <c r="B40" s="80" t="s">
        <v>370</v>
      </c>
      <c r="C40" s="127" t="s">
        <v>1022</v>
      </c>
      <c r="D40" s="663">
        <f>76200+151629</f>
        <v>227829</v>
      </c>
    </row>
    <row r="41" spans="1:4" ht="18.75" customHeight="1">
      <c r="A41" s="96">
        <v>34</v>
      </c>
      <c r="B41" s="80" t="s">
        <v>370</v>
      </c>
      <c r="C41" s="127" t="s">
        <v>1020</v>
      </c>
      <c r="D41" s="663">
        <v>195000</v>
      </c>
    </row>
    <row r="42" spans="1:4" ht="30">
      <c r="A42" s="96">
        <v>35</v>
      </c>
      <c r="B42" s="80" t="s">
        <v>370</v>
      </c>
      <c r="C42" s="127" t="s">
        <v>933</v>
      </c>
      <c r="D42" s="663">
        <v>1687190</v>
      </c>
    </row>
    <row r="43" spans="1:4" ht="15">
      <c r="A43" s="96">
        <v>36</v>
      </c>
      <c r="B43" s="80" t="s">
        <v>370</v>
      </c>
      <c r="C43" s="127" t="s">
        <v>934</v>
      </c>
      <c r="D43" s="663">
        <v>2412553</v>
      </c>
    </row>
    <row r="44" spans="1:4" s="36" customFormat="1" ht="15">
      <c r="A44" s="96">
        <v>37</v>
      </c>
      <c r="B44" s="126"/>
      <c r="C44" s="14" t="s">
        <v>931</v>
      </c>
      <c r="D44" s="271">
        <f>SUM(D37:D43)</f>
        <v>5389241</v>
      </c>
    </row>
    <row r="45" spans="1:4" s="36" customFormat="1" ht="15">
      <c r="A45" s="96">
        <v>38</v>
      </c>
      <c r="B45" s="1236" t="s">
        <v>862</v>
      </c>
      <c r="C45" s="1237"/>
      <c r="D45" s="1238"/>
    </row>
    <row r="46" spans="1:4" ht="18.75" customHeight="1">
      <c r="A46" s="96">
        <v>39</v>
      </c>
      <c r="B46" s="80" t="s">
        <v>370</v>
      </c>
      <c r="C46" s="127" t="s">
        <v>932</v>
      </c>
      <c r="D46" s="663">
        <v>103900</v>
      </c>
    </row>
    <row r="47" spans="1:4" s="36" customFormat="1" ht="15">
      <c r="A47" s="96">
        <v>40</v>
      </c>
      <c r="B47" s="126"/>
      <c r="C47" s="14" t="s">
        <v>863</v>
      </c>
      <c r="D47" s="271">
        <f>SUM(D46:D46)</f>
        <v>103900</v>
      </c>
    </row>
    <row r="48" spans="1:4" s="3" customFormat="1" ht="15" thickBot="1">
      <c r="A48" s="97">
        <v>41</v>
      </c>
      <c r="B48" s="15" t="s">
        <v>360</v>
      </c>
      <c r="C48" s="15"/>
      <c r="D48" s="272">
        <f>SUM(D44+D47+D35+D31)</f>
        <v>325110898</v>
      </c>
    </row>
    <row r="49" spans="1:4" ht="15">
      <c r="A49" s="542">
        <v>42</v>
      </c>
      <c r="B49" s="1233" t="s">
        <v>368</v>
      </c>
      <c r="C49" s="1233"/>
      <c r="D49" s="1234"/>
    </row>
    <row r="50" spans="1:4" s="12" customFormat="1" ht="15">
      <c r="A50" s="96">
        <v>43</v>
      </c>
      <c r="B50" s="104" t="s">
        <v>435</v>
      </c>
      <c r="C50" s="13"/>
      <c r="D50" s="7"/>
    </row>
    <row r="51" spans="1:4" ht="18.75" customHeight="1">
      <c r="A51" s="96">
        <v>44</v>
      </c>
      <c r="B51" s="80" t="s">
        <v>370</v>
      </c>
      <c r="C51" s="127" t="s">
        <v>738</v>
      </c>
      <c r="D51" s="663">
        <v>254000</v>
      </c>
    </row>
    <row r="52" spans="1:4" ht="18.75" customHeight="1">
      <c r="A52" s="96">
        <v>45</v>
      </c>
      <c r="B52" s="80" t="s">
        <v>370</v>
      </c>
      <c r="C52" s="127" t="s">
        <v>825</v>
      </c>
      <c r="D52" s="663">
        <v>254000</v>
      </c>
    </row>
    <row r="53" spans="1:4" s="36" customFormat="1" ht="29.25" customHeight="1">
      <c r="A53" s="96">
        <v>46</v>
      </c>
      <c r="B53" s="80" t="s">
        <v>370</v>
      </c>
      <c r="C53" s="127" t="s">
        <v>823</v>
      </c>
      <c r="D53" s="663">
        <v>2500000</v>
      </c>
    </row>
    <row r="54" spans="1:4" s="36" customFormat="1" ht="45">
      <c r="A54" s="96">
        <v>47</v>
      </c>
      <c r="B54" s="80" t="s">
        <v>370</v>
      </c>
      <c r="C54" s="127" t="s">
        <v>888</v>
      </c>
      <c r="D54" s="663">
        <f>22279919+850900</f>
        <v>23130819</v>
      </c>
    </row>
    <row r="55" spans="1:4" s="36" customFormat="1" ht="29.25" customHeight="1">
      <c r="A55" s="96">
        <v>48</v>
      </c>
      <c r="B55" s="80" t="s">
        <v>370</v>
      </c>
      <c r="C55" s="127" t="s">
        <v>833</v>
      </c>
      <c r="D55" s="663">
        <v>2606050</v>
      </c>
    </row>
    <row r="56" spans="1:4" ht="18.75" customHeight="1">
      <c r="A56" s="96">
        <v>49</v>
      </c>
      <c r="B56" s="80" t="s">
        <v>370</v>
      </c>
      <c r="C56" s="127" t="s">
        <v>832</v>
      </c>
      <c r="D56" s="663">
        <v>389000</v>
      </c>
    </row>
    <row r="57" spans="1:4" ht="18.75" customHeight="1">
      <c r="A57" s="96">
        <v>50</v>
      </c>
      <c r="B57" s="80" t="s">
        <v>370</v>
      </c>
      <c r="C57" s="127" t="s">
        <v>839</v>
      </c>
      <c r="D57" s="663">
        <v>17634204</v>
      </c>
    </row>
    <row r="58" spans="1:4" ht="18.75" customHeight="1">
      <c r="A58" s="96">
        <v>51</v>
      </c>
      <c r="B58" s="80" t="s">
        <v>370</v>
      </c>
      <c r="C58" s="127" t="s">
        <v>892</v>
      </c>
      <c r="D58" s="663">
        <v>3000000</v>
      </c>
    </row>
    <row r="59" spans="1:4" ht="18.75" customHeight="1">
      <c r="A59" s="96">
        <v>52</v>
      </c>
      <c r="B59" s="80" t="s">
        <v>370</v>
      </c>
      <c r="C59" s="127" t="s">
        <v>893</v>
      </c>
      <c r="D59" s="663">
        <v>5000000</v>
      </c>
    </row>
    <row r="60" spans="1:4" ht="30">
      <c r="A60" s="96">
        <v>53</v>
      </c>
      <c r="B60" s="80" t="s">
        <v>370</v>
      </c>
      <c r="C60" s="127" t="s">
        <v>928</v>
      </c>
      <c r="D60" s="663">
        <v>6528562</v>
      </c>
    </row>
    <row r="61" spans="1:4" ht="15">
      <c r="A61" s="96">
        <v>54</v>
      </c>
      <c r="B61" s="80" t="s">
        <v>370</v>
      </c>
      <c r="C61" s="127" t="s">
        <v>1016</v>
      </c>
      <c r="D61" s="663">
        <v>1576197</v>
      </c>
    </row>
    <row r="62" spans="1:4" s="12" customFormat="1" ht="15">
      <c r="A62" s="96">
        <v>55</v>
      </c>
      <c r="B62" s="94"/>
      <c r="C62" s="4" t="s">
        <v>380</v>
      </c>
      <c r="D62" s="273">
        <f>SUM(D49:D61)</f>
        <v>62872832</v>
      </c>
    </row>
    <row r="63" spans="1:5" s="12" customFormat="1" ht="15">
      <c r="A63" s="898">
        <v>56</v>
      </c>
      <c r="B63" s="899"/>
      <c r="C63" s="1236" t="s">
        <v>771</v>
      </c>
      <c r="D63" s="1237"/>
      <c r="E63" s="899"/>
    </row>
    <row r="64" spans="1:4" ht="18.75" customHeight="1">
      <c r="A64" s="96">
        <v>57</v>
      </c>
      <c r="B64" s="80" t="s">
        <v>370</v>
      </c>
      <c r="C64" s="127" t="s">
        <v>1024</v>
      </c>
      <c r="D64" s="663">
        <v>700924</v>
      </c>
    </row>
    <row r="65" spans="1:4" s="12" customFormat="1" ht="15">
      <c r="A65" s="898">
        <v>58</v>
      </c>
      <c r="B65" s="906"/>
      <c r="C65" s="14" t="s">
        <v>931</v>
      </c>
      <c r="D65" s="907">
        <f>SUM(D64)</f>
        <v>700924</v>
      </c>
    </row>
    <row r="66" spans="1:4" ht="15.75" thickBot="1">
      <c r="A66" s="97">
        <v>59</v>
      </c>
      <c r="B66" s="93" t="s">
        <v>360</v>
      </c>
      <c r="C66" s="905"/>
      <c r="D66" s="274">
        <f>SUM(D62+D65)</f>
        <v>63573756</v>
      </c>
    </row>
    <row r="67" spans="1:4" ht="15">
      <c r="A67" s="96">
        <v>60</v>
      </c>
      <c r="B67" s="1233" t="s">
        <v>116</v>
      </c>
      <c r="C67" s="1233"/>
      <c r="D67" s="1234"/>
    </row>
    <row r="68" spans="1:4" s="12" customFormat="1" ht="15">
      <c r="A68" s="96">
        <v>61</v>
      </c>
      <c r="B68" s="16" t="s">
        <v>435</v>
      </c>
      <c r="C68" s="13"/>
      <c r="D68" s="8"/>
    </row>
    <row r="69" spans="1:4" s="36" customFormat="1" ht="20.25" customHeight="1">
      <c r="A69" s="96">
        <v>62</v>
      </c>
      <c r="B69" s="80" t="s">
        <v>370</v>
      </c>
      <c r="C69" s="127" t="s">
        <v>416</v>
      </c>
      <c r="D69" s="664">
        <v>449520</v>
      </c>
    </row>
    <row r="70" spans="1:4" s="36" customFormat="1" ht="30">
      <c r="A70" s="96">
        <v>63</v>
      </c>
      <c r="B70" s="80" t="s">
        <v>370</v>
      </c>
      <c r="C70" s="127" t="s">
        <v>824</v>
      </c>
      <c r="D70" s="663">
        <v>1159500</v>
      </c>
    </row>
    <row r="71" spans="1:4" ht="27.75" customHeight="1">
      <c r="A71" s="96">
        <v>64</v>
      </c>
      <c r="B71" s="80" t="s">
        <v>370</v>
      </c>
      <c r="C71" s="127" t="s">
        <v>1026</v>
      </c>
      <c r="D71" s="663">
        <v>18081467</v>
      </c>
    </row>
    <row r="72" spans="1:4" s="3" customFormat="1" ht="15" thickBot="1">
      <c r="A72" s="97">
        <v>65</v>
      </c>
      <c r="B72" s="17" t="s">
        <v>360</v>
      </c>
      <c r="C72" s="15"/>
      <c r="D72" s="275">
        <f>SUM(D69:D71)</f>
        <v>19690487</v>
      </c>
    </row>
    <row r="73" spans="1:4" ht="15" hidden="1">
      <c r="A73" s="542">
        <v>45</v>
      </c>
      <c r="B73" s="1233" t="s">
        <v>417</v>
      </c>
      <c r="C73" s="1233"/>
      <c r="D73" s="1234"/>
    </row>
    <row r="74" spans="1:4" s="12" customFormat="1" ht="15" hidden="1">
      <c r="A74" s="96">
        <v>46</v>
      </c>
      <c r="B74" s="80"/>
      <c r="C74" s="19"/>
      <c r="D74" s="18"/>
    </row>
    <row r="75" spans="1:4" s="3" customFormat="1" ht="15" hidden="1" thickBot="1">
      <c r="A75" s="96">
        <v>47</v>
      </c>
      <c r="B75" s="17" t="s">
        <v>360</v>
      </c>
      <c r="C75" s="15"/>
      <c r="D75" s="9">
        <f>SUM(D74:D74)</f>
        <v>0</v>
      </c>
    </row>
    <row r="76" spans="1:4" ht="15">
      <c r="A76" s="96">
        <v>66</v>
      </c>
      <c r="B76" s="1233" t="s">
        <v>418</v>
      </c>
      <c r="C76" s="1233"/>
      <c r="D76" s="1234"/>
    </row>
    <row r="77" spans="1:4" ht="15">
      <c r="A77" s="96">
        <v>67</v>
      </c>
      <c r="B77" s="16" t="s">
        <v>435</v>
      </c>
      <c r="C77" s="88"/>
      <c r="D77" s="87"/>
    </row>
    <row r="78" spans="1:4" ht="30">
      <c r="A78" s="96">
        <v>68</v>
      </c>
      <c r="B78" s="80" t="s">
        <v>370</v>
      </c>
      <c r="C78" s="81" t="s">
        <v>838</v>
      </c>
      <c r="D78" s="900">
        <v>5000000</v>
      </c>
    </row>
    <row r="79" spans="1:4" ht="30">
      <c r="A79" s="898">
        <v>69</v>
      </c>
      <c r="B79" s="80" t="s">
        <v>370</v>
      </c>
      <c r="C79" s="81" t="s">
        <v>1027</v>
      </c>
      <c r="D79" s="900">
        <v>4176519</v>
      </c>
    </row>
    <row r="80" spans="1:4" s="3" customFormat="1" ht="15" thickBot="1">
      <c r="A80" s="97">
        <v>70</v>
      </c>
      <c r="B80" s="17" t="s">
        <v>360</v>
      </c>
      <c r="C80" s="15"/>
      <c r="D80" s="275">
        <f>SUM(D78:D79)</f>
        <v>9176519</v>
      </c>
    </row>
    <row r="81" spans="1:4" ht="21" customHeight="1" thickBot="1">
      <c r="A81" s="97">
        <v>71</v>
      </c>
      <c r="B81" s="95" t="s">
        <v>361</v>
      </c>
      <c r="C81" s="17"/>
      <c r="D81" s="275">
        <f>SUM(D80+D72+D66+D48)</f>
        <v>417551660</v>
      </c>
    </row>
    <row r="83" ht="21" customHeight="1"/>
    <row r="85" spans="2:4" ht="15">
      <c r="B85" s="1235"/>
      <c r="C85" s="1235"/>
      <c r="D85" s="1235"/>
    </row>
    <row r="87" ht="15">
      <c r="H87" s="79"/>
    </row>
  </sheetData>
  <sheetProtection/>
  <mergeCells count="14">
    <mergeCell ref="B45:D45"/>
    <mergeCell ref="B7:C7"/>
    <mergeCell ref="B32:D32"/>
    <mergeCell ref="C63:D63"/>
    <mergeCell ref="A6:A7"/>
    <mergeCell ref="B73:D73"/>
    <mergeCell ref="B76:D76"/>
    <mergeCell ref="B85:D85"/>
    <mergeCell ref="B36:D36"/>
    <mergeCell ref="C1:D1"/>
    <mergeCell ref="B67:D67"/>
    <mergeCell ref="B3:D3"/>
    <mergeCell ref="B6:C6"/>
    <mergeCell ref="B49:D4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2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2018-06-22T07:42:04Z</cp:lastPrinted>
  <dcterms:created xsi:type="dcterms:W3CDTF">2001-11-30T10:27:10Z</dcterms:created>
  <dcterms:modified xsi:type="dcterms:W3CDTF">2018-06-28T04:59:47Z</dcterms:modified>
  <cp:category/>
  <cp:version/>
  <cp:contentType/>
  <cp:contentStatus/>
</cp:coreProperties>
</file>