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8." sheetId="7" r:id="rId7"/>
    <sheet name="9" sheetId="8" r:id="rId8"/>
    <sheet name="10." sheetId="9" r:id="rId9"/>
    <sheet name="11" sheetId="10" r:id="rId10"/>
    <sheet name="nem épül be" sheetId="11" r:id="rId11"/>
    <sheet name="Hegyesiné Ancsa" sheetId="12" r:id="rId12"/>
    <sheet name="i.b" sheetId="13" r:id="rId13"/>
    <sheet name="i.k" sheetId="14" r:id="rId14"/>
    <sheet name="Munka1" sheetId="15" r:id="rId15"/>
  </sheets>
  <externalReferences>
    <externalReference r:id="rId18"/>
  </externalReferences>
  <definedNames>
    <definedName name="_xlnm.Print_Titles" localSheetId="0">'1'!$A:$B</definedName>
    <definedName name="_xlnm.Print_Titles" localSheetId="1">'2'!$A:$B</definedName>
    <definedName name="_xlnm.Print_Titles" localSheetId="3">'4'!$1:$9</definedName>
    <definedName name="_xlnm.Print_Titles" localSheetId="6">'8.'!$A:$B</definedName>
    <definedName name="_xlnm.Print_Titles" localSheetId="10">'nem épül be'!$1:$5</definedName>
    <definedName name="_xlnm.Print_Area" localSheetId="0">'1'!$A$1:$AR$18</definedName>
    <definedName name="_xlnm.Print_Area" localSheetId="8">'10.'!$A$2:$O$28</definedName>
    <definedName name="_xlnm.Print_Area" localSheetId="1">'2'!$A$1:$AU$18</definedName>
    <definedName name="_xlnm.Print_Area" localSheetId="3">'4'!$A$1:$G$93</definedName>
    <definedName name="_xlnm.Print_Area" localSheetId="4">'5'!$A$1:$G$60</definedName>
    <definedName name="_xlnm.Print_Area" localSheetId="5">'6'!$A$1:$N$18</definedName>
    <definedName name="_xlnm.Print_Area" localSheetId="6">'8.'!$A$1:$Z$18</definedName>
    <definedName name="_xlnm.Print_Area" localSheetId="7">'9'!$A$1:$E$35</definedName>
    <definedName name="_xlnm.Print_Area" localSheetId="10">'nem épül be'!$A$1:$G$142</definedName>
  </definedNames>
  <calcPr fullCalcOnLoad="1"/>
</workbook>
</file>

<file path=xl/sharedStrings.xml><?xml version="1.0" encoding="utf-8"?>
<sst xmlns="http://schemas.openxmlformats.org/spreadsheetml/2006/main" count="1731" uniqueCount="559">
  <si>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</si>
  <si>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</si>
  <si>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</si>
  <si>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</si>
  <si>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</si>
  <si>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</si>
  <si>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</si>
  <si>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</si>
  <si>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</si>
  <si>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</si>
  <si>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</si>
  <si>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</si>
  <si>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Működési bevételek</t>
  </si>
  <si>
    <t>Felhalmozási bevételek</t>
  </si>
  <si>
    <t>Bevételek összesen</t>
  </si>
  <si>
    <t>2.</t>
  </si>
  <si>
    <t>Intézményi működési bevételek</t>
  </si>
  <si>
    <t>Közhatalmi bevételek</t>
  </si>
  <si>
    <t>Működési célú átvett pénzeszköz</t>
  </si>
  <si>
    <t>Felhalmozási célú átvett pénzeszköz</t>
  </si>
  <si>
    <t>Felhalmozási és tőkejellegű bevételek</t>
  </si>
  <si>
    <t>3.</t>
  </si>
  <si>
    <t>4.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</si>
  <si>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</si>
  <si>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</si>
  <si>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</si>
  <si>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</si>
  <si>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</si>
  <si>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</si>
  <si>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Költségvetési szervek összesen:</t>
  </si>
  <si>
    <t>11.</t>
  </si>
  <si>
    <t>Polgármesteri Hivatal</t>
  </si>
  <si>
    <t>13.</t>
  </si>
  <si>
    <t xml:space="preserve">Önkormányzat </t>
  </si>
  <si>
    <t>14.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</si>
  <si>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</si>
  <si>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</si>
  <si>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</si>
  <si>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</si>
  <si>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</si>
  <si>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</si>
  <si>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</si>
  <si>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</si>
  <si>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</si>
  <si>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</si>
  <si>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</si>
  <si>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</si>
  <si>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7.</t>
  </si>
  <si>
    <t>12.</t>
  </si>
  <si>
    <t xml:space="preserve"> Önkormányzat </t>
  </si>
  <si>
    <t>Kiemelt előirányzat</t>
  </si>
  <si>
    <t>5.</t>
  </si>
  <si>
    <t>Munkaadókat terhelő járulékok</t>
  </si>
  <si>
    <t>6.</t>
  </si>
  <si>
    <t>Tartalékok, működési célú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</si>
  <si>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</si>
  <si>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</si>
  <si>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</si>
  <si>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</si>
  <si>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</si>
  <si>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</si>
  <si>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</si>
  <si>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</si>
  <si>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</si>
  <si>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</si>
  <si>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</si>
  <si>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</si>
  <si>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</si>
  <si>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</si>
  <si>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</si>
  <si>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</si>
  <si>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</si>
  <si>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</si>
  <si>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</si>
  <si>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</si>
  <si>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</si>
  <si>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27.</t>
  </si>
  <si>
    <t>28.</t>
  </si>
  <si>
    <t>29.</t>
  </si>
  <si>
    <t>30.</t>
  </si>
  <si>
    <t>G</t>
  </si>
  <si>
    <t>II.</t>
  </si>
  <si>
    <t>III.</t>
  </si>
  <si>
    <t>"Krízisalap"-ból nyújtott kölcsönök</t>
  </si>
  <si>
    <t>31.</t>
  </si>
  <si>
    <t>MEGNEVEZÉS</t>
  </si>
  <si>
    <t>I. Működési céltartalékok</t>
  </si>
  <si>
    <t>Az Önkormányzat költségvetésében</t>
  </si>
  <si>
    <t>II. Fejlesztési céltartalékok</t>
  </si>
  <si>
    <t>Tartalékok  mindösszesen:(I + II)</t>
  </si>
  <si>
    <t>Eredeti  terv</t>
  </si>
  <si>
    <t>L</t>
  </si>
  <si>
    <t>O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</si>
  <si>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</si>
  <si>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</si>
  <si>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</si>
  <si>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</si>
  <si>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</si>
  <si>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</si>
  <si>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</si>
  <si>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Kulturális Központ</t>
  </si>
  <si>
    <t>Intézmények összesen:</t>
  </si>
  <si>
    <t>Önkormányzat</t>
  </si>
  <si>
    <t>Pénzeszközátadások és Egyéb működési célú kiadások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</si>
  <si>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</si>
  <si>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</si>
  <si>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</si>
  <si>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 xml:space="preserve">Egyéb felhalmozási célú kiadások </t>
  </si>
  <si>
    <t>33.</t>
  </si>
  <si>
    <t>41.</t>
  </si>
  <si>
    <t>Működési  tartalékok összesen</t>
  </si>
  <si>
    <t>Fejlesztési céltartalék összesen:( 1+…5)</t>
  </si>
  <si>
    <t>Államigazgatási</t>
  </si>
  <si>
    <t>Kötelező</t>
  </si>
  <si>
    <t>Önként vállalt</t>
  </si>
  <si>
    <t xml:space="preserve">Mindösszesen </t>
  </si>
  <si>
    <t>Összesen: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</si>
  <si>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</si>
  <si>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</si>
  <si>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</si>
  <si>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</si>
  <si>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</si>
  <si>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</si>
  <si>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</si>
  <si>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</si>
  <si>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</si>
  <si>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</si>
  <si>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</si>
  <si>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</si>
  <si>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</si>
  <si>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</si>
  <si>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</si>
  <si>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</si>
  <si>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</si>
  <si>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</si>
  <si>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</si>
  <si>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</si>
  <si>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</si>
  <si>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</si>
  <si>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</si>
  <si>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Jogcím</t>
  </si>
  <si>
    <t>Állami támogatás</t>
  </si>
  <si>
    <t>Eredeti előirányzat</t>
  </si>
  <si>
    <t>Felhalmozási célú  támogatások és egyéb átvett pénzeszközök</t>
  </si>
  <si>
    <t>Dologi  kiadások</t>
  </si>
  <si>
    <t xml:space="preserve">Létszámkeret </t>
  </si>
  <si>
    <t>Működési bevételek összesen</t>
  </si>
  <si>
    <t>Átmeneti segély kölcsön</t>
  </si>
  <si>
    <t>Temetési segély kölcsön</t>
  </si>
  <si>
    <t>Otthoni szakápolás</t>
  </si>
  <si>
    <t>Kommunális adó támogatás</t>
  </si>
  <si>
    <t>Gyógyászati Központ és Gyógyfürdő</t>
  </si>
  <si>
    <t xml:space="preserve"> </t>
  </si>
  <si>
    <t>Finanszírozási kiadások</t>
  </si>
  <si>
    <t>Előző évtől áthúzódó feladatok:</t>
  </si>
  <si>
    <t>Új rendezési terv I. ütem</t>
  </si>
  <si>
    <t>Települési Önkormányzatok  szociális feladatainak támogatásával adható juttatások képviselő-testületi hatáskörben.</t>
  </si>
  <si>
    <t>Módosított előirányzat</t>
  </si>
  <si>
    <t>Önkormányzati  saját forrás</t>
  </si>
  <si>
    <t>Erdeti előirányzat</t>
  </si>
  <si>
    <t>Nevelési és tanévkezdési támogatás</t>
  </si>
  <si>
    <t>Működési célú  átvett pénzeszközök</t>
  </si>
  <si>
    <t>Ellátottak pénzbeli juttatásai</t>
  </si>
  <si>
    <t>Települési támogatás ápolási díj</t>
  </si>
  <si>
    <t>Települési támogatás gyógyszerköltség támogatás</t>
  </si>
  <si>
    <t>Egyéb szociális pénzbeni és természetbeni juttatások</t>
  </si>
  <si>
    <t>Iskolabusz bérlet támogatás</t>
  </si>
  <si>
    <t>Életkezdési támogatás</t>
  </si>
  <si>
    <t>reakrációs támogatás</t>
  </si>
  <si>
    <t xml:space="preserve"> Közművesítési támogatás</t>
  </si>
  <si>
    <t>önkormányzati segély</t>
  </si>
  <si>
    <t>Települési lakásfenntartási támogatás</t>
  </si>
  <si>
    <t>Települési adósságkezelési támogatás</t>
  </si>
  <si>
    <t>I. Egyéb nem intézményi ellátások K48-15</t>
  </si>
  <si>
    <t>II. Települési támogatás K48-17</t>
  </si>
  <si>
    <t>IV. Bursa Hungarica támogatás K506</t>
  </si>
  <si>
    <t>III. Köztemetés K48-16</t>
  </si>
  <si>
    <t>A) Támogatások összesen</t>
  </si>
  <si>
    <t>B) Kölcsönök összesen:</t>
  </si>
  <si>
    <t>Az önkormányzat szociális pénzeszközei összesen (A+B):</t>
  </si>
  <si>
    <t>Szociális helyzethez köthető kölcsönök K508-04</t>
  </si>
  <si>
    <t>Ft</t>
  </si>
  <si>
    <t>Felhalmozási bevételek összesen</t>
  </si>
  <si>
    <t>Békési Gyógyászati Központ és Gyógyfürdő</t>
  </si>
  <si>
    <t>közművelődési feladatok</t>
  </si>
  <si>
    <t>ifjúsági feladatok</t>
  </si>
  <si>
    <t>Az Önkormányzat feladatai bevételek</t>
  </si>
  <si>
    <t>Az Önkormányzat feladatai kiadások</t>
  </si>
  <si>
    <t>Felhalmozási költségvetés 2019.</t>
  </si>
  <si>
    <t>oktatási, közművelődési, ifjúsági feladatok</t>
  </si>
  <si>
    <t>lakosságnak nyújtott kamatmentes kölcsönök</t>
  </si>
  <si>
    <t>vállalkozóknak nyújtott kölcsönök</t>
  </si>
  <si>
    <t>fejlesztési hitel kamat</t>
  </si>
  <si>
    <t>adatok Ft-ban</t>
  </si>
  <si>
    <t>32.</t>
  </si>
  <si>
    <t>34.</t>
  </si>
  <si>
    <t>TOP 5.2.1-15-BS1-2016-00002 Együtt az intergációért</t>
  </si>
  <si>
    <t>EFOP-1.5.3-16-2017-00097 Településeinkért</t>
  </si>
  <si>
    <t>EFOP-1.2.11-16-2017-00046 Esély otthon</t>
  </si>
  <si>
    <t>35.</t>
  </si>
  <si>
    <t>40.</t>
  </si>
  <si>
    <t>42.</t>
  </si>
  <si>
    <t>Mindösszesen:</t>
  </si>
  <si>
    <t>Középiskolai ösztöndíj</t>
  </si>
  <si>
    <t>43.</t>
  </si>
  <si>
    <t>44.</t>
  </si>
  <si>
    <t>50.</t>
  </si>
  <si>
    <t>Állami támogatások (B1)</t>
  </si>
  <si>
    <t>Közhatalmi bevételek (B3)</t>
  </si>
  <si>
    <t>Intézményi működési bevételek (B4)</t>
  </si>
  <si>
    <t>Finanszírozási bevételek (B8)</t>
  </si>
  <si>
    <t>Kp-i irányítószervi támogatás</t>
  </si>
  <si>
    <t>Felhalmozási és tőkejellegű bevételek (B5)</t>
  </si>
  <si>
    <t>Személyi juttatások (K1)</t>
  </si>
  <si>
    <t>Munkaadókat terhelő járulékokés szociális hozzájárulási adó (K2)</t>
  </si>
  <si>
    <t>Dologi és egyéb folyó kiadások (K3)</t>
  </si>
  <si>
    <t>Szociális ellátások és egyéb juttatások (K4)</t>
  </si>
  <si>
    <t>Beruházások, felújítások (K6, K7)</t>
  </si>
  <si>
    <t>Állami támogatássok</t>
  </si>
  <si>
    <t>I.Működési költségvetés egyenlege</t>
  </si>
  <si>
    <t>Közvilágítás hangyási dülő</t>
  </si>
  <si>
    <t>Közvilágítás hálózat bővítés</t>
  </si>
  <si>
    <t>Intézményi felújítási alap</t>
  </si>
  <si>
    <t>Leromlott bontások</t>
  </si>
  <si>
    <t>ONCSA előkészítés</t>
  </si>
  <si>
    <t>Energiamegtakarítási intézkedési terv</t>
  </si>
  <si>
    <t>Rákóczi u. 16 akadálymentesítés</t>
  </si>
  <si>
    <t>Széchenyi tér 6 homlokzat felújítás</t>
  </si>
  <si>
    <t>Helyi érték védelme alap</t>
  </si>
  <si>
    <t>Lombzsák</t>
  </si>
  <si>
    <t>Gyalogátkelőhelyek kialakítása</t>
  </si>
  <si>
    <t>PH külső nyílászáró javítás</t>
  </si>
  <si>
    <t>Fúró utcai gyaloghíd kilátszó vasalásának bevédése</t>
  </si>
  <si>
    <t>Petőfi u. 4. felújítás I ütem</t>
  </si>
  <si>
    <t>Petőfi 2 bádogozás felújítás</t>
  </si>
  <si>
    <t>Volt földhivatalai épület nyílászáró csere</t>
  </si>
  <si>
    <t>Hűtőház tenderterveinek elkészítése</t>
  </si>
  <si>
    <t>Korona 3 bontás</t>
  </si>
  <si>
    <t>Zártkert vásárlás</t>
  </si>
  <si>
    <t>DAKK támogatás</t>
  </si>
  <si>
    <t>Piac kerítés építése</t>
  </si>
  <si>
    <t>Gyermekorvosi váró légkondi</t>
  </si>
  <si>
    <t xml:space="preserve">Járda javítás </t>
  </si>
  <si>
    <t>Gyepmesteri telep mérleg</t>
  </si>
  <si>
    <t>2020. évben tervezett feladatok:</t>
  </si>
  <si>
    <t>téli díszkivilágítás</t>
  </si>
  <si>
    <t>Önerő / ROHU  42.231 Euro</t>
  </si>
  <si>
    <t>Önerő / TOP-4.3.1-15 Leromlott városrészek</t>
  </si>
  <si>
    <t>VP-7.2.1-16</t>
  </si>
  <si>
    <t>Top 4.3.1-15-BS1-2016-00010 Leromlott városi területek rehabilitációja</t>
  </si>
  <si>
    <t>Top 3.2.1-16-BS1-2017-00016 Épületenergetika 3. ütem</t>
  </si>
  <si>
    <t>Top 2.1.3-16-BS1-2017-00011 Csapadékvíz elvezetés 2. ütem</t>
  </si>
  <si>
    <t>Top 2.1.2-16-BS1-2017-00007 Élhetőbb békési városközpont kialakítás - zöld város</t>
  </si>
  <si>
    <t>Top 3.2.1-16-BS1-2017-00019 Épületenergetika 2. ütem</t>
  </si>
  <si>
    <t>Top 1.4.1-16-BS1-2017-00012 Korona utcai tornaszoba kialakítása</t>
  </si>
  <si>
    <t>Top 3.2.2-15-BS1-2016-00003 Napelem rendszer megújuló energiaforrás</t>
  </si>
  <si>
    <t>Top 3.2.1-15-BS1-2016-00007 Energetika</t>
  </si>
  <si>
    <t>Top 2.1.3-15-BS1-2016-00002 Csapadékvíz</t>
  </si>
  <si>
    <t>TOP 1.2.1-15-BS1-2016-00007 Dánfok</t>
  </si>
  <si>
    <t>TOP 1.1.1-15-BS1-2016-00004 Oncsa</t>
  </si>
  <si>
    <t>TOP 1.1.3-15-BS1-2016-000012 Piac fejlesztés</t>
  </si>
  <si>
    <t>ROHU Forint számla</t>
  </si>
  <si>
    <t>ROHU Euro számla</t>
  </si>
  <si>
    <t>ZP-1-2017/2573 zárkerti földrészletek mg.hasznosítását segítő infr.hátterét biztosító fejlesztések</t>
  </si>
  <si>
    <t>Járda (Petőfi , Széchenyi tér, Korona u. 2019.évi ktgv.3.sz.melléklet</t>
  </si>
  <si>
    <t>166/2018 támogatási szerződés, Népi Építészeti Program (Durkó u. 8. felújítás)</t>
  </si>
  <si>
    <t>Verseny utcai útborkolat (2018.évi kp.ktgv.)</t>
  </si>
  <si>
    <t>Általános 'Fejlesztési tartalék</t>
  </si>
  <si>
    <t>általános intézményi tartalék</t>
  </si>
  <si>
    <t>2019 évi állami normatíva visszafizetésére</t>
  </si>
  <si>
    <t>Békés Város Önkormányzata 2020. évi előirányzat-felhasználási ütemterve</t>
  </si>
  <si>
    <t>Finanszirozási kiadások</t>
  </si>
  <si>
    <t xml:space="preserve">Finanszírozási bevételek </t>
  </si>
  <si>
    <t>Bksz Kft-től befolyt követelésből képzett Tartalék</t>
  </si>
  <si>
    <t>BKSZ Plussz Kft-től befolyt követelésből képzett Tartalék</t>
  </si>
  <si>
    <t>2019.</t>
  </si>
  <si>
    <t>P</t>
  </si>
  <si>
    <t>Működési költségvetés 2020.</t>
  </si>
  <si>
    <t>36.</t>
  </si>
  <si>
    <t>37.</t>
  </si>
  <si>
    <t>38.</t>
  </si>
  <si>
    <t>39.</t>
  </si>
  <si>
    <t>45.</t>
  </si>
  <si>
    <t>46.</t>
  </si>
  <si>
    <t>47.</t>
  </si>
  <si>
    <t>48.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</si>
  <si>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</si>
  <si>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</si>
  <si>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</si>
  <si>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</si>
  <si>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</si>
  <si>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</si>
  <si>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</si>
  <si>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</si>
  <si>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</si>
  <si>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</si>
  <si>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</si>
  <si>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</si>
  <si>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</si>
  <si>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</si>
  <si>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</si>
  <si>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</si>
  <si>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</si>
  <si>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</si>
  <si>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</si>
  <si>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</si>
  <si>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</si>
  <si>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</si>
  <si>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</si>
  <si>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</si>
  <si>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Önk</t>
  </si>
  <si>
    <t>R</t>
  </si>
  <si>
    <t xml:space="preserve">E </t>
  </si>
  <si>
    <t>Q</t>
  </si>
  <si>
    <t xml:space="preserve">H </t>
  </si>
  <si>
    <t>Teljesítés %</t>
  </si>
  <si>
    <t>Működési célú átvett pénzeszköz (B16, B6)</t>
  </si>
  <si>
    <t>Felhalmozási célú átvett pénzeszköz (B2,B7)</t>
  </si>
  <si>
    <t>Működés</t>
  </si>
  <si>
    <t>Felhalmozás</t>
  </si>
  <si>
    <t>Maradványigénybevétel, folyószámla hitel, állami megelőlegezés</t>
  </si>
  <si>
    <t>Hitel és kölcsönfelvétel pü.vállalkozástól (fejlesztési hitel)</t>
  </si>
  <si>
    <t>Maradvány igénybevétele (felhalmozási célra)</t>
  </si>
  <si>
    <t>Módosított előriányzat</t>
  </si>
  <si>
    <t>Költségvetési szervek összesen</t>
  </si>
  <si>
    <t>Í</t>
  </si>
  <si>
    <t>Ell.</t>
  </si>
  <si>
    <t>Maradványigénybevétel</t>
  </si>
  <si>
    <t>Megtakarítás összege</t>
  </si>
  <si>
    <t xml:space="preserve">M </t>
  </si>
  <si>
    <t>Pénzeszközátadások és egyéb támogatások</t>
  </si>
  <si>
    <t>Finanszírozási kiadások (K9)</t>
  </si>
  <si>
    <t>Egyéb felhalmozási célú kiadások+ fizetett kamatok (K8)</t>
  </si>
  <si>
    <t>Államháztartáson belüli megelőlegezések + Likvid hitel</t>
  </si>
  <si>
    <t>Egyéb felhalmozási célú kiadások+ fizetett kamatok</t>
  </si>
  <si>
    <t>Államháztartáson belüli megelőlegezések</t>
  </si>
  <si>
    <t>Eredeti előriányzat</t>
  </si>
  <si>
    <t>Bevétel</t>
  </si>
  <si>
    <t>Kiadás</t>
  </si>
  <si>
    <t>Intézmények összesen</t>
  </si>
  <si>
    <t xml:space="preserve">B </t>
  </si>
  <si>
    <t>2020. évi eredeti előirányzat mindösszesen</t>
  </si>
  <si>
    <t xml:space="preserve">I. </t>
  </si>
  <si>
    <t xml:space="preserve"> Az Önkormányzat költségvetésének módosítása</t>
  </si>
  <si>
    <t>1.) Állami támogatás fedezetével előirányzat módosítás összesen:</t>
  </si>
  <si>
    <t>-</t>
  </si>
  <si>
    <t>2.) Intézményi működési bevételekből előirányzat módosítás összesen:</t>
  </si>
  <si>
    <t>3.) Előző évi költségvetési maradvány igénybevétele összesen:</t>
  </si>
  <si>
    <t>4.) Működési célú átvett pénzeszközökből előirányzat módosítás összesen:</t>
  </si>
  <si>
    <t>5.) Felhalmozási célra átvett pénzeszközökből előirányzat módosítás összesen:</t>
  </si>
  <si>
    <t>6.) Önkormányzati és állami támogatásból intézmények támogatására előirányzat módosítás intézményeknek összesen:</t>
  </si>
  <si>
    <t>7.) Likviditási célú hitelek felvételéből előirányzat módosítás összesen:</t>
  </si>
  <si>
    <t>Likviditási célú hitelek halmozott forgalmának (törlesztésének) elszámolására</t>
  </si>
  <si>
    <t>8.) Fejlesztési hitel felvételéből előirányzat módosítás összesen:</t>
  </si>
  <si>
    <t>Fejlesztési hitel felvétel / törlesztés elszámolására</t>
  </si>
  <si>
    <t>9.) Kiemelt kiadási előirányzatok közötti átcsoportosítás összesen:</t>
  </si>
  <si>
    <t>személyi juttatásokra</t>
  </si>
  <si>
    <t>dologi kiadásokra</t>
  </si>
  <si>
    <t>ellátottak pénzbeli juttatásaira</t>
  </si>
  <si>
    <t>fejlesztési tartalékokból</t>
  </si>
  <si>
    <t>egyéb működési célú kiadásokról</t>
  </si>
  <si>
    <t>beruházás, felújításokra</t>
  </si>
  <si>
    <t>finaszírozási kiadásokra</t>
  </si>
  <si>
    <t>Önkormányzat kiemelt  előirányzatainak módosítása összesen:</t>
  </si>
  <si>
    <t>munkaadót terhelő járulékokra</t>
  </si>
  <si>
    <t>tartalékokból</t>
  </si>
  <si>
    <t>egyéb működési célú kiadásokra</t>
  </si>
  <si>
    <t>II. Intézmények költségvetésének módosítása</t>
  </si>
  <si>
    <t>1.) Gyógyászati Központ és Gyógyfürdő</t>
  </si>
  <si>
    <t>Előző évi maradványból, saját működési bevételekből és működési célra átvett pénzeszközökből összesen:</t>
  </si>
  <si>
    <t xml:space="preserve">2.) Kecskeméti Gábor Kulturális Központ </t>
  </si>
  <si>
    <t>3.) Jantyik Mátyás Múzeum</t>
  </si>
  <si>
    <t>4.) Püski Sándor Könyvtár</t>
  </si>
  <si>
    <t>5.) Polgármesteri Hivatal</t>
  </si>
  <si>
    <t>egyéb felhalmási célú kiadásokra</t>
  </si>
  <si>
    <t>6.) Intézmények kiemelt kiadási előirányzatának módosítása összesen</t>
  </si>
  <si>
    <t>a.) Gyógyászati Központ és Gyógyfürdő összesen:</t>
  </si>
  <si>
    <t>személyi juttatásokból</t>
  </si>
  <si>
    <t>munkaadót terhelő járulékokból</t>
  </si>
  <si>
    <t>dologi kiadásokból</t>
  </si>
  <si>
    <t>b.) Kecskeméti Gábor Kulturális Központ összesen:</t>
  </si>
  <si>
    <t>személyi juittatásokból</t>
  </si>
  <si>
    <t>c.) Jantyik Mátyás Múzeum összesen:</t>
  </si>
  <si>
    <t>d.) Püski Sándor Könytár összesen:</t>
  </si>
  <si>
    <t>beruházás, felőjításokra</t>
  </si>
  <si>
    <t>Intézmények saját bevételeinek módosítása összesen:</t>
  </si>
  <si>
    <t>II. Intézmények változás összesen:</t>
  </si>
  <si>
    <t>Mindösszesen előirányzat változás: I. +II.</t>
  </si>
  <si>
    <t>Településeink pályázatból ösztöndíj</t>
  </si>
  <si>
    <t>Telj.</t>
  </si>
  <si>
    <t>K48</t>
  </si>
  <si>
    <t>K48-15</t>
  </si>
  <si>
    <t>Eredeti ei.</t>
  </si>
  <si>
    <t>Mód. Ei.</t>
  </si>
  <si>
    <t>K508</t>
  </si>
  <si>
    <t>Békési Szabadidős és Sportáték Klub</t>
  </si>
  <si>
    <t>Békési Gyógyászati Központ és Gyógyfürdő összesen:</t>
  </si>
  <si>
    <t>K62-00 ingatlanok beszerzés, létesítése</t>
  </si>
  <si>
    <t>K63-00 informatikai eszközök beszerzése</t>
  </si>
  <si>
    <t>K64-00 egyéb tárgyi eszköz beszerzésé</t>
  </si>
  <si>
    <t>K67-00 Áfa</t>
  </si>
  <si>
    <t>Békés Városi Kecskeméti Gábor Kulturális Központ összesen:</t>
  </si>
  <si>
    <t>K61 Immaterális javak beszerzése, létesítése</t>
  </si>
  <si>
    <t>K63 Informatikai eszközök beszerzése, létesítése</t>
  </si>
  <si>
    <t>K64 Egyéb tárgyi eszközök beszerzése, létesítése</t>
  </si>
  <si>
    <t>K67 Beruházási célú előzetesen felszámított áfa</t>
  </si>
  <si>
    <t>Janytyik Mátyás Múzeum</t>
  </si>
  <si>
    <t>Püski Sándor Könyvtár összesen:</t>
  </si>
  <si>
    <t>K64 Egyéb tárgyi eszköz beszerzés, létesítés</t>
  </si>
  <si>
    <t>Békési Polgármesteri Hivatal összesen:</t>
  </si>
  <si>
    <t>K71 Ingatlanok felújítása, létesítése</t>
  </si>
  <si>
    <t>K74 Felújítási célú előzetesen felszámított áfa</t>
  </si>
  <si>
    <t>Önkormányzat összesen:</t>
  </si>
  <si>
    <t>K61-00 Immaterális javak beszerzés, létesítése</t>
  </si>
  <si>
    <t>Költségvetésben nem tervezett felhalmozási kiadások összesen:</t>
  </si>
  <si>
    <t>Beruházások, felújítások összesen (K6, K7)</t>
  </si>
  <si>
    <t>Egyéb felhalmozási célú kiadások összesen (K8)</t>
  </si>
  <si>
    <t>2020. éves felhalmozási kiadások összesen: (A+B)</t>
  </si>
  <si>
    <t>Költségvetésben tervezett felhalmozási kiadások összesen</t>
  </si>
  <si>
    <t>74.</t>
  </si>
  <si>
    <t>75.</t>
  </si>
  <si>
    <t>76.</t>
  </si>
  <si>
    <t>78.</t>
  </si>
  <si>
    <t>79.</t>
  </si>
  <si>
    <t>80.</t>
  </si>
  <si>
    <t>81.</t>
  </si>
  <si>
    <t>82.</t>
  </si>
  <si>
    <t>83.</t>
  </si>
  <si>
    <t>84.</t>
  </si>
  <si>
    <t>85.</t>
  </si>
  <si>
    <t>Összevont szociális ágazati pótlék (BVSZSZK) támogatása</t>
  </si>
  <si>
    <t>Összevont szociális ágazati pótlék (Óvoda) támogatása</t>
  </si>
  <si>
    <t>Kulturális ágazatban dolgozóik pótlékának támogatása</t>
  </si>
  <si>
    <t>Költségvetési szerveknél foglalkoztatottaknak bérkompenzációjának támogatása (Önkormányzat és intézményei)</t>
  </si>
  <si>
    <t>Ívóvízhálózat felújtás miatti bevétel emelés</t>
  </si>
  <si>
    <t>Szennyvízhálozat felújítás maitti bevétel emelés</t>
  </si>
  <si>
    <t>Talajterhelési djí továbbszámlázsa miatti bevétel emelés</t>
  </si>
  <si>
    <t>2020. I. félévi módosítás összesen</t>
  </si>
  <si>
    <t>2020. évi költségvetésben tervezett és a 2019. évi zárszármadásban jóváhagyott különbség</t>
  </si>
  <si>
    <t>Autómentes nap pályázat</t>
  </si>
  <si>
    <t>Fejlesztési foglalkoztatás pályázat kiegészítő támogatás</t>
  </si>
  <si>
    <t>KEHOP-klíma pályázat</t>
  </si>
  <si>
    <t>Reményhír Epreskerti Óvoda pályázat</t>
  </si>
  <si>
    <t>Településeinkért pályázat</t>
  </si>
  <si>
    <t>Békés Városi Kecskeméti Gábor Kulturális Központ</t>
  </si>
  <si>
    <t>Békés Városi Jantyik Mátyás Múzeum</t>
  </si>
  <si>
    <t>Békés Városi Püski Sándor Könyvtár</t>
  </si>
  <si>
    <t>egyéb felhalmozási célú kiadásokra</t>
  </si>
  <si>
    <t>működési tartalékból</t>
  </si>
  <si>
    <t>Rohu 14 pályázat szabálytalánság miatt visszafizetés</t>
  </si>
  <si>
    <t>Leromlott városok pályázat szabálytalánság miatt visszafizetés</t>
  </si>
  <si>
    <t>Finanszíroási bevételek összesen</t>
  </si>
  <si>
    <t>Finanszírozási kiadások (K8) - beruházási hitel törlesztés</t>
  </si>
  <si>
    <t>Polgármesteri Hivatal összesen:</t>
  </si>
  <si>
    <t>K86-00 Munkáltatói kölcsön nyújtása</t>
  </si>
  <si>
    <t xml:space="preserve">Autómentes nap pályázat </t>
  </si>
  <si>
    <t>KEHOP-Klímastratégia pályázat</t>
  </si>
  <si>
    <t>Kulturális illetmény pótlék</t>
  </si>
  <si>
    <t>IFT pályázati finanszírozása lidkviditási hiány miatt</t>
  </si>
  <si>
    <t>BSZSK kölcsön megelőlegezés tartalékból</t>
  </si>
  <si>
    <t>Jótékonysági tám./6/2020.(III.26.)határozat alapján</t>
  </si>
  <si>
    <t>Pályázatok megelőlegezése tartalékból</t>
  </si>
  <si>
    <t>Előirányzati zárolás/ rendelet alapján</t>
  </si>
  <si>
    <t>Előirányzat átcsoportosítás működési bevétel változás miatt/rendelet alapján</t>
  </si>
  <si>
    <t>Önerő / TOP-1.1.3-15,  372/2018 (IX.06) 22.383.651 Ft Piac</t>
  </si>
  <si>
    <t>Együtt az integrációért pályázat megelőlegezése tartalékból</t>
  </si>
  <si>
    <t>Épületenergetika II. ütem pályázat megelőlegezése tartalékból</t>
  </si>
  <si>
    <t>Társadalmi és környezetvédelmi Turizmusfejlesztés pályázat megelőlegezése tartalékból</t>
  </si>
  <si>
    <t>Településeinkért pályázat megelőlegezése tartalékból</t>
  </si>
  <si>
    <t>Csapadékvíz elvezetése 2. ütem</t>
  </si>
  <si>
    <t>Helyi term. Piac pály.</t>
  </si>
  <si>
    <t>Korona úti tornaszoba pályázat megelőlegezése tartalékból</t>
  </si>
  <si>
    <t>Reményhír Epreskerti Óvoda pály.</t>
  </si>
  <si>
    <t>Működési bevétel átcsoportosítás rendelet szerint</t>
  </si>
  <si>
    <t>Bevétel kiesés</t>
  </si>
  <si>
    <t>Környezetvédelmi számla</t>
  </si>
  <si>
    <t>Bérlakás számla</t>
  </si>
  <si>
    <t>Kötvényszámla</t>
  </si>
  <si>
    <t>"Tarhosi ingatlanok" számla</t>
  </si>
  <si>
    <t>Működési tartalékok (elkülönített számlák alapján)</t>
  </si>
  <si>
    <t>1. melléklet a .../2020. (….) önkormányzati rendelethez</t>
  </si>
  <si>
    <t>2. melléklet a …./2020. (...) önkormányzati rendelethez</t>
  </si>
  <si>
    <t>3. melléklet az ….../2020. (....) önkormányzati rendelethez</t>
  </si>
  <si>
    <t>4. melléklet az .../2020. (....) önkormányzati rendelethez</t>
  </si>
  <si>
    <t>Felhalmozási tartalék</t>
  </si>
  <si>
    <t>6. melléklet az ….../2020. (…..)  önkormányzati rendelethez</t>
  </si>
  <si>
    <t>77.</t>
  </si>
  <si>
    <t>Közfoglalkoztatottak</t>
  </si>
  <si>
    <t>Békés Város Önkormányzata és Intézményei 2020. I. félévi kiemelt bevételi  előirányzatai és teljesítése</t>
  </si>
  <si>
    <t>Békés Város Önkormányzata és Intézményei 2020. I. félévi kiemelt kiadási előirányzatai és teljesítése</t>
  </si>
  <si>
    <t xml:space="preserve">Békés Város Önkormányzata és intézményei  2020. I. félévi költségvetési mérlege </t>
  </si>
  <si>
    <t>Békés Város Önkormányzata és intézményei 2020. I. félévi felhalmozási előirányzata és teljesítése feladatonkénti bontásban</t>
  </si>
  <si>
    <t>Békés Város Önkormányzata és intézményei 2020. I. félévi tartalék előirányzata feladatonkénti bontásban</t>
  </si>
  <si>
    <t>Békés Város Önkormányzata és intézményei 2020. I. félévi jóváhagyott létszámkerete és teljesítése</t>
  </si>
  <si>
    <t xml:space="preserve">Békés város Önkormányzata 2020. I. félévi  feladatainak minősítése az Áht. 23.§ (2) bekezdés ab) pontja alapján </t>
  </si>
  <si>
    <t>Békés város Önkormányzata 2020. I. félévi tervezett szociális pénzeszközei és teljesítései</t>
  </si>
  <si>
    <t>11. melléklet az ….../2020. (....) önkormányzati rendelethez</t>
  </si>
  <si>
    <t>Békés Város Önkormányzata 2020.  évi előirányzat-felhasználási ütemterve</t>
  </si>
  <si>
    <t xml:space="preserve">A 2020. évi költségvetés módosítása </t>
  </si>
  <si>
    <t>e.) Polgármesteri Hivatal</t>
  </si>
  <si>
    <t xml:space="preserve"> Intézmények kiemelt kiadási előirányzatának módosítása összesen:</t>
  </si>
  <si>
    <t>7. melléklet a …../2020.(I.30.) önkormányzati rendelethez</t>
  </si>
  <si>
    <t>8. melléklet az ……./2020.(I.30.) önkormányzati rendelethez</t>
  </si>
  <si>
    <t>9. melléklet az 1/2020. (…..) önkormányzati rendelethez</t>
  </si>
  <si>
    <t>10. melléklet az ….../2020. (....) önkormányzati rendelethez</t>
  </si>
  <si>
    <t>Polgármesteri hatáskörben</t>
  </si>
  <si>
    <t xml:space="preserve">II. </t>
  </si>
  <si>
    <t>III. Intézmények költségvetésének módosítása</t>
  </si>
  <si>
    <t>IV. Intézmények változás összesen:</t>
  </si>
  <si>
    <t>9/2020</t>
  </si>
  <si>
    <t>11/2020</t>
  </si>
  <si>
    <t>Város összesen</t>
  </si>
  <si>
    <t>B4</t>
  </si>
  <si>
    <t>B1</t>
  </si>
  <si>
    <t>B8</t>
  </si>
  <si>
    <t>B16, B6</t>
  </si>
  <si>
    <t>B816</t>
  </si>
  <si>
    <t>Maradvány igénybevétele</t>
  </si>
  <si>
    <t>Rendelőintézet</t>
  </si>
  <si>
    <t>Gyógyfürdő</t>
  </si>
  <si>
    <t>Uszoda</t>
  </si>
  <si>
    <t>Békési Gyógyászati Központ és Gyógyfürdő ÖSSZESEN</t>
  </si>
  <si>
    <t>Kultúra</t>
  </si>
  <si>
    <t>Dánfok</t>
  </si>
  <si>
    <t>Kikötő</t>
  </si>
  <si>
    <t>Sportpálya</t>
  </si>
  <si>
    <t>Sportcsarnok</t>
  </si>
  <si>
    <t>KGKK Összesen</t>
  </si>
  <si>
    <t>Teljesítések</t>
  </si>
  <si>
    <t>Teljesítési</t>
  </si>
  <si>
    <t>%</t>
  </si>
  <si>
    <t>Építményadó</t>
  </si>
  <si>
    <t>Kommunális adó</t>
  </si>
  <si>
    <t>Iparűzési adó</t>
  </si>
  <si>
    <t>Gépjárműadó</t>
  </si>
  <si>
    <t>Idegenforgalmi adó</t>
  </si>
  <si>
    <t>Szabálysértési pénz és helyszíni bírságok</t>
  </si>
  <si>
    <t>Egyéb települési adók</t>
  </si>
  <si>
    <t>Talajterhelési díj</t>
  </si>
  <si>
    <t>2019. december 31.</t>
  </si>
  <si>
    <t xml:space="preserve">Beruházások, felújítások összesen (A.I. + A.II.) </t>
  </si>
  <si>
    <t>A. III.</t>
  </si>
  <si>
    <t>A.II.</t>
  </si>
  <si>
    <t>Nem saját forrásból megvalósuló beruházások</t>
  </si>
  <si>
    <t>Saját forrásból megvalósuló beruházások, felújítások (A+B)</t>
  </si>
  <si>
    <t>A.I.</t>
  </si>
  <si>
    <t>Saját forrásból megvalósuló beruházások, felújítások</t>
  </si>
  <si>
    <t>A.</t>
  </si>
  <si>
    <t>B.</t>
  </si>
  <si>
    <t>Költségvetésben nem tervezett beruházások</t>
  </si>
  <si>
    <t>Költségvetésben nem tervezett beruházási kiadások</t>
  </si>
  <si>
    <t>B.I.</t>
  </si>
  <si>
    <t>B.II.</t>
  </si>
  <si>
    <t>6. ) Intézmények kiemelt kiadási előirányzatának módosítása összesen:</t>
  </si>
  <si>
    <t>Módosított ei</t>
  </si>
  <si>
    <t>Eötvös fűtésátalakítás</t>
  </si>
  <si>
    <t>Szemétgyűjtő edény vásárlás</t>
  </si>
  <si>
    <t>2020. I. félév módosított előirányzat összesen</t>
  </si>
  <si>
    <t>5. melléklet az …./2020. (…...)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</si>
</sst>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_-* #,##0\ _F_t_-;\-* #,##0\ _F_t_-;_-* &quot;-&quot;??\ _F_t_-;_-@_-"/>
    <numFmt numFmtId="173" formatCode="#,##0\ _F_t"/>
    <numFmt numFmtId="174" formatCode="_-* #,##0.0\ _F_t_-;\-* #,##0.0\ _F_t_-;_-* &quot;-&quot;?\ _F_t_-;_-@_-"/>
    <numFmt numFmtId="175" formatCode="_-* #,##0.0\ _F_t_-;\-* #,##0.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0.0000"/>
    <numFmt numFmtId="181" formatCode="0.000"/>
    <numFmt numFmtId="182" formatCode="0.0"/>
    <numFmt numFmtId="183" formatCode="[$-40E]yyyy\.\ mmmm\ d\."/>
    <numFmt numFmtId="184" formatCode="#,##0\ &quot;Ft&quot;"/>
  </numFmts>
  <fonts count="74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name val="Arial CE"/>
      <family val="0"/>
    </font>
    <font>
      <i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1" borderId="7" applyNumberFormat="0" applyFon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29" borderId="1" applyNumberFormat="0" applyAlignment="0" applyProtection="0"/>
    <xf numFmtId="9" fontId="0" fillId="0" borderId="0" applyFont="0" applyFill="0" applyBorder="0" applyAlignment="0" applyProtection="0"/>
  </cellStyleXfs>
  <cellXfs count="7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32" borderId="10" xfId="0" applyFont="1" applyFill="1" applyBorder="1" applyAlignment="1">
      <alignment/>
    </xf>
    <xf numFmtId="172" fontId="5" fillId="0" borderId="10" xfId="40" applyNumberFormat="1" applyFont="1" applyBorder="1" applyAlignment="1">
      <alignment vertical="center"/>
    </xf>
    <xf numFmtId="172" fontId="7" fillId="0" borderId="10" xfId="4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72" fontId="4" fillId="0" borderId="0" xfId="40" applyNumberFormat="1" applyFont="1" applyAlignment="1">
      <alignment/>
    </xf>
    <xf numFmtId="172" fontId="4" fillId="0" borderId="0" xfId="4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172" fontId="5" fillId="33" borderId="10" xfId="4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2" fontId="7" fillId="0" borderId="10" xfId="40" applyNumberFormat="1" applyFont="1" applyFill="1" applyBorder="1" applyAlignment="1">
      <alignment/>
    </xf>
    <xf numFmtId="3" fontId="5" fillId="0" borderId="10" xfId="4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7" fillId="0" borderId="11" xfId="40" applyNumberFormat="1" applyFont="1" applyFill="1" applyBorder="1" applyAlignment="1">
      <alignment/>
    </xf>
    <xf numFmtId="3" fontId="7" fillId="0" borderId="11" xfId="40" applyNumberFormat="1" applyFont="1" applyFill="1" applyBorder="1" applyAlignment="1">
      <alignment/>
    </xf>
    <xf numFmtId="172" fontId="7" fillId="0" borderId="10" xfId="4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7" fillId="0" borderId="11" xfId="40" applyNumberFormat="1" applyFont="1" applyFill="1" applyBorder="1" applyAlignment="1">
      <alignment horizontal="center" vertical="center" wrapText="1"/>
    </xf>
    <xf numFmtId="3" fontId="7" fillId="0" borderId="11" xfId="40" applyNumberFormat="1" applyFont="1" applyFill="1" applyBorder="1" applyAlignment="1">
      <alignment horizontal="center" vertical="center"/>
    </xf>
    <xf numFmtId="172" fontId="7" fillId="0" borderId="10" xfId="40" applyNumberFormat="1" applyFont="1" applyFill="1" applyBorder="1" applyAlignment="1">
      <alignment vertical="center" wrapText="1"/>
    </xf>
    <xf numFmtId="3" fontId="7" fillId="0" borderId="10" xfId="4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2" fontId="5" fillId="0" borderId="12" xfId="4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3" fontId="7" fillId="0" borderId="10" xfId="4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2" fontId="5" fillId="0" borderId="10" xfId="40" applyNumberFormat="1" applyFont="1" applyFill="1" applyBorder="1" applyAlignment="1">
      <alignment horizontal="left" indent="4"/>
    </xf>
    <xf numFmtId="0" fontId="5" fillId="0" borderId="10" xfId="0" applyFont="1" applyFill="1" applyBorder="1" applyAlignment="1">
      <alignment horizontal="left" indent="4"/>
    </xf>
    <xf numFmtId="172" fontId="5" fillId="0" borderId="10" xfId="40" applyNumberFormat="1" applyFont="1" applyFill="1" applyBorder="1" applyAlignment="1">
      <alignment horizontal="left" vertical="center" wrapText="1" indent="4"/>
    </xf>
    <xf numFmtId="172" fontId="12" fillId="0" borderId="11" xfId="40" applyNumberFormat="1" applyFont="1" applyFill="1" applyBorder="1" applyAlignment="1">
      <alignment/>
    </xf>
    <xf numFmtId="3" fontId="12" fillId="0" borderId="11" xfId="40" applyNumberFormat="1" applyFont="1" applyFill="1" applyBorder="1" applyAlignment="1">
      <alignment/>
    </xf>
    <xf numFmtId="3" fontId="13" fillId="0" borderId="11" xfId="40" applyNumberFormat="1" applyFont="1" applyFill="1" applyBorder="1" applyAlignment="1">
      <alignment/>
    </xf>
    <xf numFmtId="0" fontId="5" fillId="0" borderId="10" xfId="56" applyFont="1" applyBorder="1" applyAlignment="1">
      <alignment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3" fontId="5" fillId="0" borderId="0" xfId="40" applyNumberFormat="1" applyFont="1" applyFill="1" applyBorder="1" applyAlignment="1">
      <alignment horizontal="center" vertical="center"/>
    </xf>
    <xf numFmtId="0" fontId="5" fillId="0" borderId="0" xfId="56" applyFont="1" applyAlignment="1">
      <alignment vertical="center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vertical="center" wrapText="1"/>
      <protection/>
    </xf>
    <xf numFmtId="173" fontId="5" fillId="0" borderId="0" xfId="40" applyNumberFormat="1" applyFont="1" applyAlignment="1">
      <alignment vertical="center"/>
    </xf>
    <xf numFmtId="0" fontId="7" fillId="0" borderId="0" xfId="56" applyFont="1" applyAlignment="1">
      <alignment vertical="center"/>
      <protection/>
    </xf>
    <xf numFmtId="173" fontId="7" fillId="0" borderId="14" xfId="40" applyNumberFormat="1" applyFont="1" applyBorder="1" applyAlignment="1">
      <alignment vertical="center"/>
    </xf>
    <xf numFmtId="173" fontId="7" fillId="0" borderId="10" xfId="40" applyNumberFormat="1" applyFont="1" applyBorder="1" applyAlignment="1">
      <alignment vertical="center"/>
    </xf>
    <xf numFmtId="0" fontId="5" fillId="0" borderId="15" xfId="56" applyFont="1" applyBorder="1" applyAlignment="1">
      <alignment vertical="center"/>
      <protection/>
    </xf>
    <xf numFmtId="3" fontId="7" fillId="0" borderId="14" xfId="56" applyNumberFormat="1" applyFont="1" applyBorder="1" applyAlignment="1">
      <alignment vertical="center"/>
      <protection/>
    </xf>
    <xf numFmtId="3" fontId="7" fillId="0" borderId="16" xfId="56" applyNumberFormat="1" applyFont="1" applyBorder="1" applyAlignment="1">
      <alignment vertical="center"/>
      <protection/>
    </xf>
    <xf numFmtId="0" fontId="7" fillId="0" borderId="17" xfId="56" applyFont="1" applyBorder="1" applyAlignment="1">
      <alignment vertical="center"/>
      <protection/>
    </xf>
    <xf numFmtId="3" fontId="7" fillId="0" borderId="11" xfId="56" applyNumberFormat="1" applyFont="1" applyBorder="1" applyAlignment="1">
      <alignment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173" fontId="5" fillId="32" borderId="10" xfId="40" applyNumberFormat="1" applyFont="1" applyFill="1" applyBorder="1" applyAlignment="1">
      <alignment horizontal="center" vertical="center"/>
    </xf>
    <xf numFmtId="0" fontId="5" fillId="32" borderId="11" xfId="56" applyFont="1" applyFill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172" fontId="15" fillId="0" borderId="10" xfId="40" applyNumberFormat="1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172" fontId="15" fillId="0" borderId="12" xfId="40" applyNumberFormat="1" applyFont="1" applyBorder="1" applyAlignment="1">
      <alignment vertical="center"/>
    </xf>
    <xf numFmtId="172" fontId="7" fillId="0" borderId="12" xfId="40" applyNumberFormat="1" applyFont="1" applyBorder="1" applyAlignment="1">
      <alignment vertical="center"/>
    </xf>
    <xf numFmtId="172" fontId="5" fillId="0" borderId="19" xfId="0" applyNumberFormat="1" applyFont="1" applyBorder="1" applyAlignment="1">
      <alignment vertical="center"/>
    </xf>
    <xf numFmtId="0" fontId="5" fillId="0" borderId="20" xfId="56" applyFont="1" applyBorder="1" applyAlignment="1">
      <alignment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3" fontId="5" fillId="0" borderId="18" xfId="40" applyNumberFormat="1" applyFont="1" applyBorder="1" applyAlignment="1">
      <alignment vertical="center"/>
    </xf>
    <xf numFmtId="3" fontId="5" fillId="0" borderId="10" xfId="40" applyNumberFormat="1" applyFont="1" applyBorder="1" applyAlignment="1">
      <alignment vertical="center"/>
    </xf>
    <xf numFmtId="3" fontId="5" fillId="0" borderId="21" xfId="40" applyNumberFormat="1" applyFont="1" applyBorder="1" applyAlignment="1">
      <alignment vertical="center"/>
    </xf>
    <xf numFmtId="3" fontId="5" fillId="0" borderId="22" xfId="40" applyNumberFormat="1" applyFont="1" applyBorder="1" applyAlignment="1">
      <alignment vertical="center"/>
    </xf>
    <xf numFmtId="3" fontId="7" fillId="0" borderId="10" xfId="40" applyNumberFormat="1" applyFont="1" applyBorder="1" applyAlignment="1">
      <alignment vertical="center"/>
    </xf>
    <xf numFmtId="3" fontId="5" fillId="0" borderId="23" xfId="40" applyNumberFormat="1" applyFont="1" applyBorder="1" applyAlignment="1">
      <alignment vertical="center"/>
    </xf>
    <xf numFmtId="3" fontId="5" fillId="0" borderId="22" xfId="40" applyNumberFormat="1" applyFont="1" applyFill="1" applyBorder="1" applyAlignment="1">
      <alignment vertical="center"/>
    </xf>
    <xf numFmtId="0" fontId="5" fillId="0" borderId="10" xfId="58" applyFont="1" applyBorder="1" applyAlignment="1">
      <alignment horizontal="center" vertical="center" textRotation="90" wrapText="1"/>
      <protection/>
    </xf>
    <xf numFmtId="0" fontId="7" fillId="0" borderId="10" xfId="58" applyFont="1" applyBorder="1" applyAlignment="1">
      <alignment horizontal="center" vertical="center" textRotation="90" wrapText="1"/>
      <protection/>
    </xf>
    <xf numFmtId="0" fontId="5" fillId="0" borderId="10" xfId="56" applyFont="1" applyBorder="1" applyAlignment="1">
      <alignment horizontal="center" vertical="center"/>
      <protection/>
    </xf>
    <xf numFmtId="3" fontId="5" fillId="0" borderId="10" xfId="40" applyNumberFormat="1" applyFont="1" applyBorder="1" applyAlignment="1">
      <alignment horizontal="right" vertical="center"/>
    </xf>
    <xf numFmtId="3" fontId="7" fillId="0" borderId="10" xfId="40" applyNumberFormat="1" applyFont="1" applyBorder="1" applyAlignment="1">
      <alignment horizontal="right" vertical="center"/>
    </xf>
    <xf numFmtId="3" fontId="5" fillId="0" borderId="10" xfId="40" applyNumberFormat="1" applyFont="1" applyBorder="1" applyAlignment="1" quotePrefix="1">
      <alignment horizontal="right" vertical="center"/>
    </xf>
    <xf numFmtId="3" fontId="7" fillId="0" borderId="10" xfId="40" applyNumberFormat="1" applyFont="1" applyBorder="1" applyAlignment="1">
      <alignment horizontal="right" vertical="center" wrapText="1"/>
    </xf>
    <xf numFmtId="3" fontId="7" fillId="0" borderId="10" xfId="40" applyNumberFormat="1" applyFont="1" applyBorder="1" applyAlignment="1" quotePrefix="1">
      <alignment horizontal="right" vertical="center"/>
    </xf>
    <xf numFmtId="0" fontId="5" fillId="0" borderId="0" xfId="58" applyFont="1" applyAlignment="1">
      <alignment horizontal="center" vertical="center"/>
      <protection/>
    </xf>
    <xf numFmtId="0" fontId="5" fillId="0" borderId="0" xfId="58" applyFont="1" applyAlignment="1">
      <alignment horizontal="right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5" fillId="0" borderId="18" xfId="56" applyFont="1" applyBorder="1" applyAlignment="1">
      <alignment vertical="center" wrapText="1"/>
      <protection/>
    </xf>
    <xf numFmtId="0" fontId="11" fillId="0" borderId="0" xfId="0" applyFont="1" applyAlignment="1">
      <alignment vertical="center"/>
    </xf>
    <xf numFmtId="0" fontId="5" fillId="34" borderId="24" xfId="56" applyFont="1" applyFill="1" applyBorder="1" applyAlignment="1">
      <alignment vertical="center" wrapText="1"/>
      <protection/>
    </xf>
    <xf numFmtId="3" fontId="5" fillId="34" borderId="10" xfId="40" applyNumberFormat="1" applyFont="1" applyFill="1" applyBorder="1" applyAlignment="1">
      <alignment horizontal="right" vertical="center"/>
    </xf>
    <xf numFmtId="3" fontId="7" fillId="34" borderId="10" xfId="40" applyNumberFormat="1" applyFont="1" applyFill="1" applyBorder="1" applyAlignment="1">
      <alignment horizontal="right" vertical="center"/>
    </xf>
    <xf numFmtId="0" fontId="5" fillId="34" borderId="10" xfId="56" applyFont="1" applyFill="1" applyBorder="1" applyAlignment="1">
      <alignment vertical="center" wrapText="1"/>
      <protection/>
    </xf>
    <xf numFmtId="3" fontId="5" fillId="34" borderId="10" xfId="40" applyNumberFormat="1" applyFont="1" applyFill="1" applyBorder="1" applyAlignment="1">
      <alignment horizontal="right" vertical="center" wrapText="1"/>
    </xf>
    <xf numFmtId="0" fontId="7" fillId="34" borderId="10" xfId="56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5" fillId="0" borderId="0" xfId="56" applyFont="1" applyAlignment="1">
      <alignment horizontal="right" vertical="center"/>
      <protection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1" fontId="4" fillId="0" borderId="0" xfId="0" applyNumberFormat="1" applyFont="1" applyAlignment="1">
      <alignment/>
    </xf>
    <xf numFmtId="3" fontId="9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58" applyFont="1" applyFill="1" applyBorder="1">
      <alignment/>
      <protection/>
    </xf>
    <xf numFmtId="0" fontId="10" fillId="0" borderId="0" xfId="58" applyFont="1">
      <alignment/>
      <protection/>
    </xf>
    <xf numFmtId="0" fontId="4" fillId="0" borderId="0" xfId="58" applyFont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3" fontId="5" fillId="0" borderId="10" xfId="40" applyNumberFormat="1" applyFont="1" applyFill="1" applyBorder="1" applyAlignment="1">
      <alignment horizontal="right" vertical="center"/>
    </xf>
    <xf numFmtId="0" fontId="14" fillId="0" borderId="0" xfId="56" applyFont="1" applyBorder="1" applyAlignment="1">
      <alignment vertical="center" wrapText="1"/>
      <protection/>
    </xf>
    <xf numFmtId="3" fontId="14" fillId="0" borderId="0" xfId="40" applyNumberFormat="1" applyFont="1" applyBorder="1" applyAlignment="1">
      <alignment horizontal="right" vertical="center"/>
    </xf>
    <xf numFmtId="0" fontId="11" fillId="0" borderId="0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center" vertical="center"/>
      <protection/>
    </xf>
    <xf numFmtId="3" fontId="10" fillId="0" borderId="0" xfId="58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3" fontId="5" fillId="0" borderId="0" xfId="56" applyNumberFormat="1" applyFont="1" applyAlignment="1">
      <alignment vertical="center"/>
      <protection/>
    </xf>
    <xf numFmtId="3" fontId="7" fillId="0" borderId="0" xfId="56" applyNumberFormat="1" applyFont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172" fontId="11" fillId="0" borderId="0" xfId="4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6" xfId="56" applyFont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0" fontId="10" fillId="0" borderId="0" xfId="58" applyFont="1" applyFill="1">
      <alignment/>
      <protection/>
    </xf>
    <xf numFmtId="3" fontId="10" fillId="0" borderId="0" xfId="58" applyNumberFormat="1" applyFont="1">
      <alignment/>
      <protection/>
    </xf>
    <xf numFmtId="0" fontId="5" fillId="0" borderId="10" xfId="0" applyFont="1" applyBorder="1" applyAlignment="1">
      <alignment vertical="center"/>
    </xf>
    <xf numFmtId="0" fontId="7" fillId="0" borderId="28" xfId="56" applyFont="1" applyBorder="1" applyAlignment="1">
      <alignment vertical="center" wrapText="1"/>
      <protection/>
    </xf>
    <xf numFmtId="3" fontId="7" fillId="0" borderId="29" xfId="4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8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172" fontId="5" fillId="0" borderId="30" xfId="4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84" fontId="5" fillId="0" borderId="0" xfId="56" applyNumberFormat="1" applyFont="1" applyAlignment="1">
      <alignment vertical="center"/>
      <protection/>
    </xf>
    <xf numFmtId="3" fontId="7" fillId="0" borderId="25" xfId="56" applyNumberFormat="1" applyFont="1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5" fillId="0" borderId="10" xfId="56" applyFont="1" applyBorder="1" applyAlignment="1">
      <alignment vertical="center"/>
      <protection/>
    </xf>
    <xf numFmtId="3" fontId="5" fillId="0" borderId="10" xfId="56" applyNumberFormat="1" applyFont="1" applyBorder="1" applyAlignment="1">
      <alignment vertical="center"/>
      <protection/>
    </xf>
    <xf numFmtId="184" fontId="4" fillId="0" borderId="10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10" xfId="40" applyNumberFormat="1" applyFont="1" applyFill="1" applyBorder="1" applyAlignment="1">
      <alignment vertical="center" wrapText="1"/>
    </xf>
    <xf numFmtId="0" fontId="5" fillId="32" borderId="31" xfId="58" applyFont="1" applyFill="1" applyBorder="1" applyAlignment="1">
      <alignment horizontal="center" vertical="center"/>
      <protection/>
    </xf>
    <xf numFmtId="0" fontId="5" fillId="32" borderId="32" xfId="58" applyFont="1" applyFill="1" applyBorder="1" applyAlignment="1">
      <alignment horizontal="center" vertical="center"/>
      <protection/>
    </xf>
    <xf numFmtId="0" fontId="5" fillId="32" borderId="33" xfId="58" applyFont="1" applyFill="1" applyBorder="1" applyAlignment="1">
      <alignment horizontal="center" vertical="center"/>
      <protection/>
    </xf>
    <xf numFmtId="0" fontId="5" fillId="32" borderId="18" xfId="58" applyFont="1" applyFill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 textRotation="90" wrapText="1"/>
      <protection/>
    </xf>
    <xf numFmtId="3" fontId="7" fillId="0" borderId="12" xfId="40" applyNumberFormat="1" applyFont="1" applyBorder="1" applyAlignment="1" quotePrefix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0" xfId="56" applyFont="1" applyFill="1" applyAlignment="1">
      <alignment horizontal="right" vertical="center"/>
      <protection/>
    </xf>
    <xf numFmtId="0" fontId="7" fillId="0" borderId="0" xfId="0" applyFont="1" applyFill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9" fontId="3" fillId="0" borderId="10" xfId="40" applyNumberFormat="1" applyFont="1" applyBorder="1" applyAlignment="1">
      <alignment vertical="center"/>
    </xf>
    <xf numFmtId="0" fontId="5" fillId="32" borderId="26" xfId="0" applyFont="1" applyFill="1" applyBorder="1" applyAlignment="1">
      <alignment horizontal="center" vertical="center" wrapText="1"/>
    </xf>
    <xf numFmtId="0" fontId="5" fillId="0" borderId="21" xfId="56" applyFont="1" applyBorder="1" applyAlignment="1">
      <alignment vertical="center" wrapText="1"/>
      <protection/>
    </xf>
    <xf numFmtId="0" fontId="5" fillId="32" borderId="34" xfId="0" applyFont="1" applyFill="1" applyBorder="1" applyAlignment="1">
      <alignment horizontal="center" vertical="center" wrapText="1"/>
    </xf>
    <xf numFmtId="0" fontId="7" fillId="0" borderId="29" xfId="56" applyFont="1" applyBorder="1" applyAlignment="1">
      <alignment vertical="center" wrapText="1"/>
      <protection/>
    </xf>
    <xf numFmtId="9" fontId="3" fillId="0" borderId="35" xfId="40" applyNumberFormat="1" applyFont="1" applyBorder="1" applyAlignment="1">
      <alignment vertical="center"/>
    </xf>
    <xf numFmtId="9" fontId="3" fillId="0" borderId="36" xfId="40" applyNumberFormat="1" applyFont="1" applyBorder="1" applyAlignment="1">
      <alignment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0" borderId="23" xfId="56" applyFont="1" applyBorder="1" applyAlignment="1">
      <alignment vertical="center" wrapText="1"/>
      <protection/>
    </xf>
    <xf numFmtId="3" fontId="11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3" fontId="66" fillId="0" borderId="0" xfId="0" applyNumberFormat="1" applyFont="1" applyAlignment="1">
      <alignment vertical="center"/>
    </xf>
    <xf numFmtId="3" fontId="66" fillId="7" borderId="0" xfId="0" applyNumberFormat="1" applyFont="1" applyFill="1" applyAlignment="1">
      <alignment vertical="center"/>
    </xf>
    <xf numFmtId="173" fontId="67" fillId="0" borderId="0" xfId="0" applyNumberFormat="1" applyFont="1" applyAlignment="1">
      <alignment vertical="center"/>
    </xf>
    <xf numFmtId="173" fontId="67" fillId="7" borderId="0" xfId="0" applyNumberFormat="1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17" fillId="0" borderId="0" xfId="0" applyFont="1" applyAlignment="1">
      <alignment horizontal="center" vertical="center" wrapText="1"/>
    </xf>
    <xf numFmtId="9" fontId="5" fillId="0" borderId="10" xfId="40" applyNumberFormat="1" applyFont="1" applyBorder="1" applyAlignment="1">
      <alignment vertical="center"/>
    </xf>
    <xf numFmtId="9" fontId="18" fillId="0" borderId="22" xfId="40" applyNumberFormat="1" applyFont="1" applyBorder="1" applyAlignment="1">
      <alignment vertical="center"/>
    </xf>
    <xf numFmtId="9" fontId="5" fillId="7" borderId="18" xfId="40" applyNumberFormat="1" applyFont="1" applyFill="1" applyBorder="1" applyAlignment="1">
      <alignment vertical="center"/>
    </xf>
    <xf numFmtId="9" fontId="5" fillId="7" borderId="10" xfId="40" applyNumberFormat="1" applyFont="1" applyFill="1" applyBorder="1" applyAlignment="1">
      <alignment vertical="center"/>
    </xf>
    <xf numFmtId="9" fontId="18" fillId="7" borderId="30" xfId="40" applyNumberFormat="1" applyFont="1" applyFill="1" applyBorder="1" applyAlignment="1">
      <alignment vertical="center"/>
    </xf>
    <xf numFmtId="9" fontId="5" fillId="0" borderId="14" xfId="40" applyNumberFormat="1" applyFont="1" applyBorder="1" applyAlignment="1">
      <alignment vertical="center"/>
    </xf>
    <xf numFmtId="9" fontId="5" fillId="7" borderId="24" xfId="40" applyNumberFormat="1" applyFont="1" applyFill="1" applyBorder="1" applyAlignment="1">
      <alignment vertical="center"/>
    </xf>
    <xf numFmtId="9" fontId="5" fillId="7" borderId="13" xfId="40" applyNumberFormat="1" applyFont="1" applyFill="1" applyBorder="1" applyAlignment="1">
      <alignment vertical="center"/>
    </xf>
    <xf numFmtId="9" fontId="18" fillId="7" borderId="22" xfId="40" applyNumberFormat="1" applyFont="1" applyFill="1" applyBorder="1" applyAlignment="1">
      <alignment vertical="center"/>
    </xf>
    <xf numFmtId="9" fontId="5" fillId="0" borderId="37" xfId="40" applyNumberFormat="1" applyFont="1" applyBorder="1" applyAlignment="1">
      <alignment vertical="center"/>
    </xf>
    <xf numFmtId="9" fontId="5" fillId="0" borderId="13" xfId="40" applyNumberFormat="1" applyFont="1" applyBorder="1" applyAlignment="1">
      <alignment vertical="center"/>
    </xf>
    <xf numFmtId="9" fontId="18" fillId="0" borderId="30" xfId="40" applyNumberFormat="1" applyFont="1" applyBorder="1" applyAlignment="1">
      <alignment vertical="center"/>
    </xf>
    <xf numFmtId="10" fontId="18" fillId="0" borderId="0" xfId="40" applyNumberFormat="1" applyFont="1" applyBorder="1" applyAlignment="1">
      <alignment vertical="center"/>
    </xf>
    <xf numFmtId="9" fontId="5" fillId="0" borderId="22" xfId="40" applyNumberFormat="1" applyFont="1" applyBorder="1" applyAlignment="1">
      <alignment vertical="center"/>
    </xf>
    <xf numFmtId="9" fontId="5" fillId="7" borderId="21" xfId="40" applyNumberFormat="1" applyFont="1" applyFill="1" applyBorder="1" applyAlignment="1">
      <alignment vertical="center"/>
    </xf>
    <xf numFmtId="9" fontId="5" fillId="7" borderId="22" xfId="40" applyNumberFormat="1" applyFont="1" applyFill="1" applyBorder="1" applyAlignment="1">
      <alignment vertical="center"/>
    </xf>
    <xf numFmtId="9" fontId="5" fillId="0" borderId="25" xfId="40" applyNumberFormat="1" applyFont="1" applyBorder="1" applyAlignment="1">
      <alignment vertical="center"/>
    </xf>
    <xf numFmtId="9" fontId="5" fillId="7" borderId="38" xfId="40" applyNumberFormat="1" applyFont="1" applyFill="1" applyBorder="1" applyAlignment="1">
      <alignment vertical="center"/>
    </xf>
    <xf numFmtId="9" fontId="5" fillId="7" borderId="26" xfId="40" applyNumberFormat="1" applyFont="1" applyFill="1" applyBorder="1" applyAlignment="1">
      <alignment vertical="center"/>
    </xf>
    <xf numFmtId="9" fontId="5" fillId="0" borderId="39" xfId="40" applyNumberFormat="1" applyFont="1" applyBorder="1" applyAlignment="1">
      <alignment vertical="center"/>
    </xf>
    <xf numFmtId="9" fontId="5" fillId="0" borderId="26" xfId="40" applyNumberFormat="1" applyFont="1" applyBorder="1" applyAlignment="1">
      <alignment vertical="center"/>
    </xf>
    <xf numFmtId="9" fontId="7" fillId="0" borderId="35" xfId="40" applyNumberFormat="1" applyFont="1" applyBorder="1" applyAlignment="1">
      <alignment vertical="center"/>
    </xf>
    <xf numFmtId="9" fontId="7" fillId="7" borderId="29" xfId="40" applyNumberFormat="1" applyFont="1" applyFill="1" applyBorder="1" applyAlignment="1">
      <alignment vertical="center"/>
    </xf>
    <xf numFmtId="9" fontId="7" fillId="7" borderId="35" xfId="40" applyNumberFormat="1" applyFont="1" applyFill="1" applyBorder="1" applyAlignment="1">
      <alignment vertical="center"/>
    </xf>
    <xf numFmtId="9" fontId="3" fillId="7" borderId="36" xfId="40" applyNumberFormat="1" applyFont="1" applyFill="1" applyBorder="1" applyAlignment="1">
      <alignment vertical="center"/>
    </xf>
    <xf numFmtId="9" fontId="7" fillId="0" borderId="40" xfId="40" applyNumberFormat="1" applyFont="1" applyBorder="1" applyAlignment="1">
      <alignment vertical="center"/>
    </xf>
    <xf numFmtId="9" fontId="7" fillId="7" borderId="41" xfId="40" applyNumberFormat="1" applyFont="1" applyFill="1" applyBorder="1" applyAlignment="1">
      <alignment vertical="center"/>
    </xf>
    <xf numFmtId="9" fontId="7" fillId="7" borderId="34" xfId="40" applyNumberFormat="1" applyFont="1" applyFill="1" applyBorder="1" applyAlignment="1">
      <alignment vertical="center"/>
    </xf>
    <xf numFmtId="9" fontId="3" fillId="7" borderId="35" xfId="40" applyNumberFormat="1" applyFont="1" applyFill="1" applyBorder="1" applyAlignment="1">
      <alignment vertical="center"/>
    </xf>
    <xf numFmtId="9" fontId="7" fillId="0" borderId="42" xfId="40" applyNumberFormat="1" applyFont="1" applyBorder="1" applyAlignment="1">
      <alignment vertical="center"/>
    </xf>
    <xf numFmtId="9" fontId="7" fillId="0" borderId="34" xfId="40" applyNumberFormat="1" applyFont="1" applyBorder="1" applyAlignment="1">
      <alignment vertical="center"/>
    </xf>
    <xf numFmtId="10" fontId="3" fillId="0" borderId="0" xfId="40" applyNumberFormat="1" applyFont="1" applyBorder="1" applyAlignment="1">
      <alignment vertical="center"/>
    </xf>
    <xf numFmtId="9" fontId="5" fillId="0" borderId="11" xfId="40" applyNumberFormat="1" applyFont="1" applyBorder="1" applyAlignment="1">
      <alignment vertical="center"/>
    </xf>
    <xf numFmtId="9" fontId="5" fillId="7" borderId="23" xfId="40" applyNumberFormat="1" applyFont="1" applyFill="1" applyBorder="1" applyAlignment="1">
      <alignment vertical="center"/>
    </xf>
    <xf numFmtId="9" fontId="5" fillId="7" borderId="11" xfId="40" applyNumberFormat="1" applyFont="1" applyFill="1" applyBorder="1" applyAlignment="1">
      <alignment vertical="center"/>
    </xf>
    <xf numFmtId="9" fontId="5" fillId="0" borderId="16" xfId="40" applyNumberFormat="1" applyFont="1" applyBorder="1" applyAlignment="1">
      <alignment vertical="center"/>
    </xf>
    <xf numFmtId="9" fontId="5" fillId="0" borderId="17" xfId="40" applyNumberFormat="1" applyFont="1" applyBorder="1" applyAlignment="1">
      <alignment vertical="center"/>
    </xf>
    <xf numFmtId="9" fontId="5" fillId="7" borderId="43" xfId="40" applyNumberFormat="1" applyFont="1" applyFill="1" applyBorder="1" applyAlignment="1">
      <alignment vertical="center"/>
    </xf>
    <xf numFmtId="9" fontId="5" fillId="7" borderId="17" xfId="40" applyNumberFormat="1" applyFont="1" applyFill="1" applyBorder="1" applyAlignment="1">
      <alignment vertical="center"/>
    </xf>
    <xf numFmtId="9" fontId="5" fillId="0" borderId="27" xfId="40" applyNumberFormat="1" applyFont="1" applyBorder="1" applyAlignment="1">
      <alignment vertical="center"/>
    </xf>
    <xf numFmtId="9" fontId="5" fillId="0" borderId="25" xfId="40" applyNumberFormat="1" applyFont="1" applyBorder="1" applyAlignment="1">
      <alignment horizontal="center" vertical="center"/>
    </xf>
    <xf numFmtId="9" fontId="5" fillId="0" borderId="22" xfId="4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3" fontId="66" fillId="0" borderId="0" xfId="40" applyNumberFormat="1" applyFont="1" applyBorder="1" applyAlignment="1">
      <alignment vertical="center"/>
    </xf>
    <xf numFmtId="0" fontId="66" fillId="7" borderId="0" xfId="0" applyFont="1" applyFill="1" applyAlignment="1">
      <alignment vertical="center"/>
    </xf>
    <xf numFmtId="3" fontId="5" fillId="7" borderId="10" xfId="40" applyNumberFormat="1" applyFont="1" applyFill="1" applyBorder="1" applyAlignment="1">
      <alignment vertical="center"/>
    </xf>
    <xf numFmtId="0" fontId="5" fillId="0" borderId="44" xfId="56" applyFont="1" applyBorder="1" applyAlignment="1">
      <alignment vertical="center" wrapText="1"/>
      <protection/>
    </xf>
    <xf numFmtId="0" fontId="5" fillId="0" borderId="45" xfId="56" applyFont="1" applyBorder="1" applyAlignment="1">
      <alignment vertical="center" wrapText="1"/>
      <protection/>
    </xf>
    <xf numFmtId="3" fontId="66" fillId="7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173" fontId="67" fillId="0" borderId="0" xfId="0" applyNumberFormat="1" applyFont="1" applyAlignment="1">
      <alignment/>
    </xf>
    <xf numFmtId="173" fontId="67" fillId="7" borderId="0" xfId="0" applyNumberFormat="1" applyFont="1" applyFill="1" applyAlignment="1">
      <alignment/>
    </xf>
    <xf numFmtId="9" fontId="5" fillId="0" borderId="18" xfId="40" applyNumberFormat="1" applyFont="1" applyBorder="1" applyAlignment="1">
      <alignment vertical="center"/>
    </xf>
    <xf numFmtId="9" fontId="5" fillId="0" borderId="21" xfId="40" applyNumberFormat="1" applyFont="1" applyBorder="1" applyAlignment="1">
      <alignment vertical="center"/>
    </xf>
    <xf numFmtId="9" fontId="7" fillId="7" borderId="40" xfId="40" applyNumberFormat="1" applyFont="1" applyFill="1" applyBorder="1" applyAlignment="1">
      <alignment vertical="center"/>
    </xf>
    <xf numFmtId="9" fontId="7" fillId="0" borderId="29" xfId="40" applyNumberFormat="1" applyFont="1" applyBorder="1" applyAlignment="1">
      <alignment vertical="center"/>
    </xf>
    <xf numFmtId="9" fontId="18" fillId="0" borderId="46" xfId="40" applyNumberFormat="1" applyFont="1" applyBorder="1" applyAlignment="1">
      <alignment vertical="center"/>
    </xf>
    <xf numFmtId="9" fontId="5" fillId="7" borderId="47" xfId="40" applyNumberFormat="1" applyFont="1" applyFill="1" applyBorder="1" applyAlignment="1">
      <alignment vertical="center"/>
    </xf>
    <xf numFmtId="9" fontId="18" fillId="7" borderId="48" xfId="40" applyNumberFormat="1" applyFont="1" applyFill="1" applyBorder="1" applyAlignment="1">
      <alignment vertical="center"/>
    </xf>
    <xf numFmtId="9" fontId="18" fillId="7" borderId="46" xfId="40" applyNumberFormat="1" applyFont="1" applyFill="1" applyBorder="1" applyAlignment="1">
      <alignment vertical="center"/>
    </xf>
    <xf numFmtId="9" fontId="5" fillId="0" borderId="43" xfId="40" applyNumberFormat="1" applyFont="1" applyBorder="1" applyAlignment="1">
      <alignment vertical="center"/>
    </xf>
    <xf numFmtId="9" fontId="5" fillId="0" borderId="22" xfId="40" applyNumberFormat="1" applyFont="1" applyFill="1" applyBorder="1" applyAlignment="1">
      <alignment vertical="center"/>
    </xf>
    <xf numFmtId="9" fontId="5" fillId="0" borderId="26" xfId="40" applyNumberFormat="1" applyFont="1" applyFill="1" applyBorder="1" applyAlignment="1">
      <alignment vertical="center"/>
    </xf>
    <xf numFmtId="9" fontId="5" fillId="34" borderId="26" xfId="40" applyNumberFormat="1" applyFont="1" applyFill="1" applyBorder="1" applyAlignment="1">
      <alignment vertical="center"/>
    </xf>
    <xf numFmtId="9" fontId="5" fillId="34" borderId="38" xfId="40" applyNumberFormat="1" applyFont="1" applyFill="1" applyBorder="1" applyAlignment="1">
      <alignment vertical="center"/>
    </xf>
    <xf numFmtId="0" fontId="5" fillId="32" borderId="13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0" xfId="56" applyFont="1" applyFill="1" applyAlignment="1">
      <alignment vertical="center"/>
      <protection/>
    </xf>
    <xf numFmtId="173" fontId="7" fillId="0" borderId="22" xfId="40" applyNumberFormat="1" applyFont="1" applyBorder="1" applyAlignment="1">
      <alignment horizontal="center" vertical="center" wrapText="1"/>
    </xf>
    <xf numFmtId="0" fontId="19" fillId="32" borderId="10" xfId="58" applyFont="1" applyFill="1" applyBorder="1" applyAlignment="1">
      <alignment horizontal="center" vertical="center"/>
      <protection/>
    </xf>
    <xf numFmtId="0" fontId="16" fillId="32" borderId="10" xfId="58" applyFont="1" applyFill="1" applyBorder="1" applyAlignment="1">
      <alignment horizontal="center" vertical="center"/>
      <protection/>
    </xf>
    <xf numFmtId="0" fontId="67" fillId="34" borderId="0" xfId="58" applyFont="1" applyFill="1" applyAlignment="1">
      <alignment horizontal="center" vertical="center"/>
      <protection/>
    </xf>
    <xf numFmtId="0" fontId="67" fillId="0" borderId="0" xfId="58" applyFont="1" applyAlignment="1">
      <alignment vertical="center"/>
      <protection/>
    </xf>
    <xf numFmtId="0" fontId="19" fillId="0" borderId="0" xfId="58" applyFont="1" applyAlignment="1">
      <alignment vertical="center"/>
      <protection/>
    </xf>
    <xf numFmtId="0" fontId="16" fillId="32" borderId="11" xfId="58" applyFont="1" applyFill="1" applyBorder="1" applyAlignment="1">
      <alignment horizontal="center" vertical="center"/>
      <protection/>
    </xf>
    <xf numFmtId="0" fontId="17" fillId="0" borderId="10" xfId="58" applyFont="1" applyBorder="1" applyAlignment="1">
      <alignment vertical="center"/>
      <protection/>
    </xf>
    <xf numFmtId="0" fontId="70" fillId="0" borderId="14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16" fillId="0" borderId="10" xfId="56" applyFont="1" applyBorder="1" applyAlignment="1">
      <alignment vertical="center" wrapText="1"/>
      <protection/>
    </xf>
    <xf numFmtId="3" fontId="16" fillId="0" borderId="10" xfId="40" applyNumberFormat="1" applyFont="1" applyBorder="1" applyAlignment="1">
      <alignment horizontal="right" vertical="center"/>
    </xf>
    <xf numFmtId="3" fontId="16" fillId="0" borderId="14" xfId="40" applyNumberFormat="1" applyFont="1" applyBorder="1" applyAlignment="1">
      <alignment horizontal="right" vertical="center"/>
    </xf>
    <xf numFmtId="3" fontId="16" fillId="0" borderId="10" xfId="40" applyNumberFormat="1" applyFont="1" applyFill="1" applyBorder="1" applyAlignment="1">
      <alignment horizontal="right" vertical="center"/>
    </xf>
    <xf numFmtId="3" fontId="67" fillId="0" borderId="0" xfId="58" applyNumberFormat="1" applyFont="1" applyAlignment="1">
      <alignment vertical="center"/>
      <protection/>
    </xf>
    <xf numFmtId="3" fontId="16" fillId="0" borderId="10" xfId="40" applyNumberFormat="1" applyFont="1" applyBorder="1" applyAlignment="1">
      <alignment horizontal="right" vertical="center" wrapText="1"/>
    </xf>
    <xf numFmtId="0" fontId="17" fillId="32" borderId="10" xfId="58" applyFont="1" applyFill="1" applyBorder="1" applyAlignment="1">
      <alignment horizontal="center" vertical="center"/>
      <protection/>
    </xf>
    <xf numFmtId="0" fontId="17" fillId="0" borderId="10" xfId="56" applyFont="1" applyBorder="1" applyAlignment="1">
      <alignment vertical="center" wrapText="1"/>
      <protection/>
    </xf>
    <xf numFmtId="3" fontId="17" fillId="0" borderId="10" xfId="40" applyNumberFormat="1" applyFont="1" applyBorder="1" applyAlignment="1">
      <alignment horizontal="right" vertical="center"/>
    </xf>
    <xf numFmtId="0" fontId="20" fillId="0" borderId="0" xfId="58" applyFont="1" applyAlignment="1">
      <alignment vertical="center"/>
      <protection/>
    </xf>
    <xf numFmtId="0" fontId="5" fillId="0" borderId="0" xfId="59" applyFont="1">
      <alignment/>
      <protection/>
    </xf>
    <xf numFmtId="0" fontId="4" fillId="0" borderId="27" xfId="59" applyFont="1" applyBorder="1" applyAlignment="1">
      <alignment horizontal="center" vertical="center"/>
      <protection/>
    </xf>
    <xf numFmtId="3" fontId="4" fillId="0" borderId="0" xfId="40" applyNumberFormat="1" applyFont="1" applyAlignment="1">
      <alignment horizontal="right"/>
    </xf>
    <xf numFmtId="0" fontId="5" fillId="35" borderId="11" xfId="59" applyFont="1" applyFill="1" applyBorder="1" applyAlignment="1">
      <alignment horizontal="center" vertical="center"/>
      <protection/>
    </xf>
    <xf numFmtId="0" fontId="4" fillId="35" borderId="10" xfId="57" applyFont="1" applyFill="1" applyBorder="1" applyAlignment="1">
      <alignment horizontal="center" vertical="center"/>
      <protection/>
    </xf>
    <xf numFmtId="3" fontId="4" fillId="35" borderId="10" xfId="40" applyNumberFormat="1" applyFont="1" applyFill="1" applyBorder="1" applyAlignment="1">
      <alignment horizontal="center" vertical="center"/>
    </xf>
    <xf numFmtId="0" fontId="5" fillId="35" borderId="10" xfId="59" applyFont="1" applyFill="1" applyBorder="1" applyAlignment="1">
      <alignment horizontal="center" vertical="center"/>
      <protection/>
    </xf>
    <xf numFmtId="0" fontId="7" fillId="0" borderId="10" xfId="59" applyFont="1" applyBorder="1" applyAlignment="1">
      <alignment horizontal="left" vertical="center"/>
      <protection/>
    </xf>
    <xf numFmtId="3" fontId="68" fillId="0" borderId="10" xfId="40" applyNumberFormat="1" applyFont="1" applyBorder="1" applyAlignment="1">
      <alignment horizontal="right"/>
    </xf>
    <xf numFmtId="3" fontId="7" fillId="0" borderId="10" xfId="40" applyNumberFormat="1" applyFont="1" applyBorder="1" applyAlignment="1">
      <alignment horizontal="right"/>
    </xf>
    <xf numFmtId="0" fontId="7" fillId="0" borderId="13" xfId="59" applyFont="1" applyBorder="1" applyAlignment="1">
      <alignment horizontal="left" vertical="center"/>
      <protection/>
    </xf>
    <xf numFmtId="0" fontId="5" fillId="0" borderId="37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3" fontId="5" fillId="0" borderId="0" xfId="59" applyNumberFormat="1" applyFont="1">
      <alignment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46" xfId="59" applyFont="1" applyBorder="1">
      <alignment/>
      <protection/>
    </xf>
    <xf numFmtId="173" fontId="7" fillId="0" borderId="10" xfId="59" applyNumberFormat="1" applyFont="1" applyBorder="1">
      <alignment/>
      <protection/>
    </xf>
    <xf numFmtId="173" fontId="7" fillId="0" borderId="0" xfId="59" applyNumberFormat="1" applyFont="1">
      <alignment/>
      <protection/>
    </xf>
    <xf numFmtId="0" fontId="7" fillId="0" borderId="0" xfId="59" applyFont="1">
      <alignment/>
      <protection/>
    </xf>
    <xf numFmtId="0" fontId="5" fillId="0" borderId="46" xfId="59" applyFont="1" applyBorder="1">
      <alignment/>
      <protection/>
    </xf>
    <xf numFmtId="0" fontId="5" fillId="0" borderId="37" xfId="59" applyFont="1" applyBorder="1" applyAlignment="1" quotePrefix="1">
      <alignment horizontal="right" vertical="top"/>
      <protection/>
    </xf>
    <xf numFmtId="3" fontId="7" fillId="0" borderId="0" xfId="59" applyNumberFormat="1" applyFont="1">
      <alignment/>
      <protection/>
    </xf>
    <xf numFmtId="3" fontId="7" fillId="0" borderId="10" xfId="40" applyNumberFormat="1" applyFont="1" applyFill="1" applyBorder="1" applyAlignment="1">
      <alignment vertical="center"/>
    </xf>
    <xf numFmtId="3" fontId="7" fillId="0" borderId="10" xfId="40" applyNumberFormat="1" applyFont="1" applyFill="1" applyBorder="1" applyAlignment="1">
      <alignment horizontal="right" vertical="center"/>
    </xf>
    <xf numFmtId="3" fontId="7" fillId="0" borderId="22" xfId="40" applyNumberFormat="1" applyFont="1" applyFill="1" applyBorder="1" applyAlignment="1">
      <alignment horizontal="right" vertical="center"/>
    </xf>
    <xf numFmtId="0" fontId="5" fillId="0" borderId="10" xfId="59" applyFont="1" applyBorder="1" applyAlignment="1" quotePrefix="1">
      <alignment horizontal="right" vertical="center"/>
      <protection/>
    </xf>
    <xf numFmtId="3" fontId="7" fillId="0" borderId="22" xfId="40" applyNumberFormat="1" applyFont="1" applyBorder="1" applyAlignment="1">
      <alignment vertical="center"/>
    </xf>
    <xf numFmtId="3" fontId="7" fillId="0" borderId="22" xfId="40" applyNumberFormat="1" applyFont="1" applyBorder="1" applyAlignment="1">
      <alignment horizontal="right" vertical="center"/>
    </xf>
    <xf numFmtId="0" fontId="5" fillId="0" borderId="37" xfId="59" applyFont="1" applyBorder="1" applyAlignment="1" quotePrefix="1">
      <alignment horizontal="right" vertical="center"/>
      <protection/>
    </xf>
    <xf numFmtId="0" fontId="5" fillId="0" borderId="27" xfId="59" applyFont="1" applyBorder="1" applyAlignment="1">
      <alignment vertical="center"/>
      <protection/>
    </xf>
    <xf numFmtId="3" fontId="5" fillId="0" borderId="11" xfId="40" applyNumberFormat="1" applyFont="1" applyBorder="1" applyAlignment="1">
      <alignment horizontal="right" vertical="center"/>
    </xf>
    <xf numFmtId="0" fontId="5" fillId="0" borderId="10" xfId="59" applyFont="1" applyBorder="1">
      <alignment/>
      <protection/>
    </xf>
    <xf numFmtId="3" fontId="5" fillId="0" borderId="10" xfId="59" applyNumberFormat="1" applyFont="1" applyBorder="1">
      <alignment/>
      <protection/>
    </xf>
    <xf numFmtId="0" fontId="7" fillId="33" borderId="10" xfId="59" applyFont="1" applyFill="1" applyBorder="1" applyAlignment="1">
      <alignment horizontal="center" vertical="center"/>
      <protection/>
    </xf>
    <xf numFmtId="3" fontId="7" fillId="33" borderId="10" xfId="40" applyNumberFormat="1" applyFont="1" applyFill="1" applyBorder="1" applyAlignment="1">
      <alignment horizontal="right" vertical="center"/>
    </xf>
    <xf numFmtId="3" fontId="7" fillId="33" borderId="10" xfId="59" applyNumberFormat="1" applyFont="1" applyFill="1" applyBorder="1" applyAlignment="1">
      <alignment horizontal="right" vertical="center"/>
      <protection/>
    </xf>
    <xf numFmtId="0" fontId="5" fillId="0" borderId="15" xfId="59" applyFont="1" applyBorder="1">
      <alignment/>
      <protection/>
    </xf>
    <xf numFmtId="0" fontId="7" fillId="0" borderId="13" xfId="59" applyFont="1" applyBorder="1" applyAlignment="1">
      <alignment vertical="center"/>
      <protection/>
    </xf>
    <xf numFmtId="0" fontId="7" fillId="0" borderId="10" xfId="59" applyFont="1" applyBorder="1" applyAlignment="1">
      <alignment vertical="center"/>
      <protection/>
    </xf>
    <xf numFmtId="0" fontId="7" fillId="0" borderId="10" xfId="59" applyFont="1" applyBorder="1" applyAlignment="1">
      <alignment horizontal="right" vertical="center"/>
      <protection/>
    </xf>
    <xf numFmtId="3" fontId="5" fillId="0" borderId="10" xfId="40" applyNumberFormat="1" applyFont="1" applyBorder="1" applyAlignment="1">
      <alignment horizontal="right"/>
    </xf>
    <xf numFmtId="0" fontId="5" fillId="0" borderId="15" xfId="59" applyFont="1" applyBorder="1" applyAlignment="1" quotePrefix="1">
      <alignment horizontal="right" vertical="center"/>
      <protection/>
    </xf>
    <xf numFmtId="0" fontId="5" fillId="0" borderId="26" xfId="59" applyFont="1" applyBorder="1" quotePrefix="1">
      <alignment/>
      <protection/>
    </xf>
    <xf numFmtId="0" fontId="5" fillId="0" borderId="27" xfId="59" applyFont="1" applyBorder="1" applyAlignment="1" quotePrefix="1">
      <alignment horizontal="right" vertical="center"/>
      <protection/>
    </xf>
    <xf numFmtId="0" fontId="5" fillId="0" borderId="16" xfId="59" applyFont="1" applyBorder="1" applyAlignment="1">
      <alignment vertical="center" wrapText="1"/>
      <protection/>
    </xf>
    <xf numFmtId="3" fontId="7" fillId="0" borderId="11" xfId="40" applyNumberFormat="1" applyFont="1" applyBorder="1" applyAlignment="1">
      <alignment horizontal="right" vertical="center"/>
    </xf>
    <xf numFmtId="0" fontId="7" fillId="0" borderId="10" xfId="59" applyFont="1" applyBorder="1">
      <alignment/>
      <protection/>
    </xf>
    <xf numFmtId="0" fontId="5" fillId="0" borderId="13" xfId="59" applyFont="1" applyBorder="1">
      <alignment/>
      <protection/>
    </xf>
    <xf numFmtId="0" fontId="5" fillId="0" borderId="13" xfId="59" applyFont="1" applyBorder="1" applyAlignment="1">
      <alignment horizontal="left" vertical="center"/>
      <protection/>
    </xf>
    <xf numFmtId="0" fontId="5" fillId="0" borderId="17" xfId="59" applyFont="1" applyBorder="1">
      <alignment/>
      <protection/>
    </xf>
    <xf numFmtId="3" fontId="7" fillId="0" borderId="11" xfId="40" applyNumberFormat="1" applyFont="1" applyBorder="1" applyAlignment="1">
      <alignment horizontal="right"/>
    </xf>
    <xf numFmtId="0" fontId="5" fillId="0" borderId="39" xfId="60" applyFont="1" applyBorder="1" applyAlignment="1">
      <alignment horizontal="right" vertical="center"/>
      <protection/>
    </xf>
    <xf numFmtId="0" fontId="5" fillId="0" borderId="13" xfId="59" applyFont="1" applyBorder="1" applyAlignment="1" quotePrefix="1">
      <alignment horizontal="right" vertical="center"/>
      <protection/>
    </xf>
    <xf numFmtId="49" fontId="5" fillId="0" borderId="27" xfId="59" applyNumberFormat="1" applyFont="1" applyBorder="1" applyAlignment="1">
      <alignment horizontal="right" vertical="center"/>
      <protection/>
    </xf>
    <xf numFmtId="0" fontId="5" fillId="0" borderId="27" xfId="59" applyFont="1" applyBorder="1" applyAlignment="1">
      <alignment vertical="center" wrapText="1"/>
      <protection/>
    </xf>
    <xf numFmtId="0" fontId="5" fillId="0" borderId="39" xfId="59" applyFont="1" applyBorder="1" applyAlignment="1" quotePrefix="1">
      <alignment horizontal="right" vertical="center"/>
      <protection/>
    </xf>
    <xf numFmtId="0" fontId="5" fillId="0" borderId="49" xfId="59" applyFont="1" applyBorder="1">
      <alignment/>
      <protection/>
    </xf>
    <xf numFmtId="0" fontId="7" fillId="0" borderId="49" xfId="59" applyFont="1" applyBorder="1">
      <alignment/>
      <protection/>
    </xf>
    <xf numFmtId="0" fontId="5" fillId="0" borderId="17" xfId="0" applyFont="1" applyBorder="1" applyAlignment="1">
      <alignment vertical="center"/>
    </xf>
    <xf numFmtId="3" fontId="7" fillId="0" borderId="14" xfId="40" applyNumberFormat="1" applyFont="1" applyBorder="1" applyAlignment="1">
      <alignment horizontal="right"/>
    </xf>
    <xf numFmtId="3" fontId="7" fillId="0" borderId="16" xfId="40" applyNumberFormat="1" applyFont="1" applyBorder="1" applyAlignment="1">
      <alignment horizontal="right"/>
    </xf>
    <xf numFmtId="0" fontId="5" fillId="0" borderId="37" xfId="59" applyFont="1" applyBorder="1" applyAlignment="1">
      <alignment horizontal="right" vertical="center"/>
      <protection/>
    </xf>
    <xf numFmtId="3" fontId="68" fillId="0" borderId="10" xfId="59" applyNumberFormat="1" applyFont="1" applyBorder="1" applyAlignment="1">
      <alignment vertical="center"/>
      <protection/>
    </xf>
    <xf numFmtId="173" fontId="5" fillId="0" borderId="0" xfId="59" applyNumberFormat="1" applyFont="1">
      <alignment/>
      <protection/>
    </xf>
    <xf numFmtId="173" fontId="68" fillId="0" borderId="0" xfId="59" applyNumberFormat="1" applyFont="1" applyAlignment="1">
      <alignment vertical="center"/>
      <protection/>
    </xf>
    <xf numFmtId="3" fontId="7" fillId="0" borderId="0" xfId="40" applyNumberFormat="1" applyFont="1" applyBorder="1" applyAlignment="1">
      <alignment horizontal="right" vertical="center"/>
    </xf>
    <xf numFmtId="3" fontId="66" fillId="0" borderId="0" xfId="59" applyNumberFormat="1" applyFont="1">
      <alignment/>
      <protection/>
    </xf>
    <xf numFmtId="0" fontId="5" fillId="0" borderId="0" xfId="59" applyFont="1" applyAlignment="1">
      <alignment horizontal="center" vertical="center"/>
      <protection/>
    </xf>
    <xf numFmtId="3" fontId="4" fillId="0" borderId="0" xfId="40" applyNumberFormat="1" applyFont="1" applyBorder="1" applyAlignment="1">
      <alignment horizontal="right"/>
    </xf>
    <xf numFmtId="3" fontId="5" fillId="0" borderId="0" xfId="40" applyNumberFormat="1" applyFont="1" applyBorder="1" applyAlignment="1">
      <alignment horizontal="right"/>
    </xf>
    <xf numFmtId="0" fontId="7" fillId="0" borderId="0" xfId="59" applyFont="1" applyAlignment="1">
      <alignment horizontal="center" vertical="center"/>
      <protection/>
    </xf>
    <xf numFmtId="0" fontId="7" fillId="0" borderId="0" xfId="59" applyFont="1" applyAlignment="1">
      <alignment vertical="center"/>
      <protection/>
    </xf>
    <xf numFmtId="3" fontId="5" fillId="0" borderId="0" xfId="40" applyNumberFormat="1" applyFont="1" applyAlignment="1">
      <alignment horizontal="right"/>
    </xf>
    <xf numFmtId="0" fontId="22" fillId="0" borderId="0" xfId="59" applyFont="1">
      <alignment/>
      <protection/>
    </xf>
    <xf numFmtId="14" fontId="8" fillId="0" borderId="0" xfId="0" applyNumberFormat="1" applyFont="1" applyFill="1" applyAlignment="1">
      <alignment horizontal="center" wrapText="1"/>
    </xf>
    <xf numFmtId="173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68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173" fontId="68" fillId="0" borderId="0" xfId="0" applyNumberFormat="1" applyFont="1" applyFill="1" applyAlignment="1">
      <alignment/>
    </xf>
    <xf numFmtId="3" fontId="7" fillId="0" borderId="10" xfId="0" applyNumberFormat="1" applyFont="1" applyBorder="1" applyAlignment="1">
      <alignment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37" xfId="59" applyFont="1" applyBorder="1" applyAlignment="1">
      <alignment vertical="center" wrapText="1"/>
      <protection/>
    </xf>
    <xf numFmtId="0" fontId="5" fillId="0" borderId="14" xfId="59" applyFont="1" applyBorder="1" applyAlignment="1" quotePrefix="1">
      <alignment horizontal="right" vertical="center"/>
      <protection/>
    </xf>
    <xf numFmtId="173" fontId="68" fillId="0" borderId="0" xfId="59" applyNumberFormat="1" applyFont="1">
      <alignment/>
      <protection/>
    </xf>
    <xf numFmtId="0" fontId="7" fillId="0" borderId="0" xfId="59" applyFont="1" applyBorder="1">
      <alignment/>
      <protection/>
    </xf>
    <xf numFmtId="184" fontId="4" fillId="0" borderId="10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3" fontId="5" fillId="36" borderId="0" xfId="0" applyNumberFormat="1" applyFont="1" applyFill="1" applyAlignment="1">
      <alignment vertical="center"/>
    </xf>
    <xf numFmtId="9" fontId="18" fillId="0" borderId="26" xfId="40" applyNumberFormat="1" applyFont="1" applyBorder="1" applyAlignment="1">
      <alignment vertical="center"/>
    </xf>
    <xf numFmtId="9" fontId="18" fillId="0" borderId="25" xfId="40" applyNumberFormat="1" applyFont="1" applyBorder="1" applyAlignment="1">
      <alignment vertical="center"/>
    </xf>
    <xf numFmtId="9" fontId="3" fillId="0" borderId="40" xfId="40" applyNumberFormat="1" applyFont="1" applyBorder="1" applyAlignment="1">
      <alignment vertical="center"/>
    </xf>
    <xf numFmtId="3" fontId="7" fillId="7" borderId="10" xfId="40" applyNumberFormat="1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7" fillId="0" borderId="10" xfId="56" applyFont="1" applyBorder="1" applyAlignment="1">
      <alignment vertical="center" wrapText="1"/>
      <protection/>
    </xf>
    <xf numFmtId="3" fontId="5" fillId="0" borderId="10" xfId="40" applyNumberFormat="1" applyFont="1" applyFill="1" applyBorder="1" applyAlignment="1">
      <alignment vertical="center"/>
    </xf>
    <xf numFmtId="3" fontId="5" fillId="0" borderId="10" xfId="40" applyNumberFormat="1" applyFont="1" applyBorder="1" applyAlignment="1">
      <alignment horizontal="center" vertical="center"/>
    </xf>
    <xf numFmtId="0" fontId="5" fillId="7" borderId="10" xfId="0" applyFont="1" applyFill="1" applyBorder="1" applyAlignment="1">
      <alignment horizontal="center"/>
    </xf>
    <xf numFmtId="3" fontId="5" fillId="34" borderId="10" xfId="40" applyNumberFormat="1" applyFont="1" applyFill="1" applyBorder="1" applyAlignment="1">
      <alignment vertical="center"/>
    </xf>
    <xf numFmtId="173" fontId="5" fillId="0" borderId="0" xfId="0" applyNumberFormat="1" applyFont="1" applyAlignment="1">
      <alignment/>
    </xf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3" fontId="5" fillId="0" borderId="14" xfId="56" applyNumberFormat="1" applyFont="1" applyBorder="1" applyAlignment="1">
      <alignment vertical="center"/>
      <protection/>
    </xf>
    <xf numFmtId="0" fontId="71" fillId="0" borderId="10" xfId="0" applyFont="1" applyBorder="1" applyAlignment="1">
      <alignment/>
    </xf>
    <xf numFmtId="0" fontId="16" fillId="0" borderId="10" xfId="0" applyFont="1" applyBorder="1" applyAlignment="1" quotePrefix="1">
      <alignment horizontal="left" vertical="center"/>
    </xf>
    <xf numFmtId="184" fontId="16" fillId="0" borderId="10" xfId="0" applyNumberFormat="1" applyFont="1" applyBorder="1" applyAlignment="1">
      <alignment vertical="center"/>
    </xf>
    <xf numFmtId="173" fontId="16" fillId="0" borderId="10" xfId="0" applyNumberFormat="1" applyFont="1" applyBorder="1" applyAlignment="1">
      <alignment vertical="center"/>
    </xf>
    <xf numFmtId="0" fontId="7" fillId="0" borderId="10" xfId="56" applyFont="1" applyBorder="1" applyAlignment="1">
      <alignment vertical="center"/>
      <protection/>
    </xf>
    <xf numFmtId="3" fontId="7" fillId="0" borderId="10" xfId="56" applyNumberFormat="1" applyFont="1" applyBorder="1" applyAlignment="1">
      <alignment vertical="center"/>
      <protection/>
    </xf>
    <xf numFmtId="173" fontId="5" fillId="0" borderId="0" xfId="56" applyNumberFormat="1" applyFont="1" applyAlignment="1">
      <alignment vertical="center"/>
      <protection/>
    </xf>
    <xf numFmtId="3" fontId="66" fillId="0" borderId="0" xfId="56" applyNumberFormat="1" applyFont="1" applyAlignment="1">
      <alignment vertical="center"/>
      <protection/>
    </xf>
    <xf numFmtId="0" fontId="72" fillId="0" borderId="10" xfId="0" applyFont="1" applyBorder="1" applyAlignment="1">
      <alignment wrapText="1"/>
    </xf>
    <xf numFmtId="184" fontId="73" fillId="0" borderId="10" xfId="0" applyNumberFormat="1" applyFont="1" applyBorder="1" applyAlignment="1">
      <alignment horizontal="right"/>
    </xf>
    <xf numFmtId="0" fontId="72" fillId="0" borderId="0" xfId="0" applyFont="1" applyAlignment="1">
      <alignment wrapText="1"/>
    </xf>
    <xf numFmtId="184" fontId="72" fillId="0" borderId="10" xfId="0" applyNumberFormat="1" applyFont="1" applyBorder="1" applyAlignment="1">
      <alignment horizontal="right"/>
    </xf>
    <xf numFmtId="0" fontId="72" fillId="0" borderId="10" xfId="0" applyFont="1" applyBorder="1" applyAlignment="1">
      <alignment/>
    </xf>
    <xf numFmtId="184" fontId="7" fillId="0" borderId="10" xfId="56" applyNumberFormat="1" applyFont="1" applyBorder="1" applyAlignment="1">
      <alignment vertical="center"/>
      <protection/>
    </xf>
    <xf numFmtId="0" fontId="5" fillId="22" borderId="0" xfId="56" applyFont="1" applyFill="1" applyAlignment="1">
      <alignment vertical="center"/>
      <protection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 quotePrefix="1">
      <alignment horizontal="left" vertical="center"/>
    </xf>
    <xf numFmtId="184" fontId="16" fillId="0" borderId="11" xfId="0" applyNumberFormat="1" applyFont="1" applyBorder="1" applyAlignment="1">
      <alignment vertical="center"/>
    </xf>
    <xf numFmtId="173" fontId="16" fillId="0" borderId="11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37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0" xfId="56" applyFont="1" applyAlignment="1">
      <alignment horizontal="right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2" fontId="5" fillId="0" borderId="12" xfId="40" applyNumberFormat="1" applyFont="1" applyFill="1" applyBorder="1" applyAlignment="1">
      <alignment vertical="center"/>
    </xf>
    <xf numFmtId="3" fontId="5" fillId="0" borderId="14" xfId="56" applyNumberFormat="1" applyFont="1" applyFill="1" applyBorder="1" applyAlignment="1">
      <alignment vertical="center"/>
      <protection/>
    </xf>
    <xf numFmtId="184" fontId="16" fillId="0" borderId="11" xfId="0" applyNumberFormat="1" applyFont="1" applyFill="1" applyBorder="1" applyAlignment="1">
      <alignment vertical="center"/>
    </xf>
    <xf numFmtId="0" fontId="3" fillId="0" borderId="0" xfId="58" applyFont="1" applyFill="1" applyBorder="1" applyAlignment="1">
      <alignment vertical="center" wrapText="1"/>
      <protection/>
    </xf>
    <xf numFmtId="0" fontId="3" fillId="0" borderId="0" xfId="0" applyFont="1" applyAlignment="1">
      <alignment vertical="center" wrapText="1"/>
    </xf>
    <xf numFmtId="0" fontId="4" fillId="0" borderId="0" xfId="58" applyFont="1" applyBorder="1" applyAlignment="1">
      <alignment vertical="center"/>
      <protection/>
    </xf>
    <xf numFmtId="0" fontId="7" fillId="0" borderId="13" xfId="56" applyFont="1" applyBorder="1" applyAlignment="1">
      <alignment vertical="center"/>
      <protection/>
    </xf>
    <xf numFmtId="0" fontId="71" fillId="0" borderId="0" xfId="0" applyFont="1" applyBorder="1" applyAlignment="1">
      <alignment/>
    </xf>
    <xf numFmtId="0" fontId="5" fillId="0" borderId="0" xfId="58" applyFont="1" applyFill="1" applyBorder="1" applyAlignment="1">
      <alignment vertical="center"/>
      <protection/>
    </xf>
    <xf numFmtId="0" fontId="5" fillId="0" borderId="0" xfId="58" applyFont="1" applyAlignment="1">
      <alignment vertical="center"/>
      <protection/>
    </xf>
    <xf numFmtId="0" fontId="5" fillId="0" borderId="51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7" fillId="0" borderId="37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3" fontId="5" fillId="0" borderId="0" xfId="59" applyNumberFormat="1" applyFont="1" applyAlignment="1">
      <alignment horizontal="center"/>
      <protection/>
    </xf>
    <xf numFmtId="3" fontId="5" fillId="0" borderId="0" xfId="59" applyNumberFormat="1" applyFont="1" applyAlignment="1">
      <alignment horizontal="center"/>
      <protection/>
    </xf>
    <xf numFmtId="0" fontId="5" fillId="0" borderId="0" xfId="56" applyFont="1" applyAlignment="1">
      <alignment/>
      <protection/>
    </xf>
    <xf numFmtId="0" fontId="5" fillId="0" borderId="0" xfId="59" applyFont="1" applyAlignment="1">
      <alignment vertical="center"/>
      <protection/>
    </xf>
    <xf numFmtId="14" fontId="5" fillId="0" borderId="0" xfId="59" applyNumberFormat="1" applyFont="1" applyAlignment="1">
      <alignment vertical="center"/>
      <protection/>
    </xf>
    <xf numFmtId="3" fontId="5" fillId="0" borderId="0" xfId="59" applyNumberFormat="1" applyFont="1" applyAlignment="1">
      <alignment vertical="center"/>
      <protection/>
    </xf>
    <xf numFmtId="3" fontId="7" fillId="0" borderId="0" xfId="59" applyNumberFormat="1" applyFont="1" applyAlignment="1">
      <alignment vertical="center"/>
      <protection/>
    </xf>
    <xf numFmtId="173" fontId="5" fillId="0" borderId="0" xfId="59" applyNumberFormat="1" applyFont="1" applyAlignment="1">
      <alignment vertical="center"/>
      <protection/>
    </xf>
    <xf numFmtId="173" fontId="7" fillId="0" borderId="0" xfId="59" applyNumberFormat="1" applyFont="1" applyAlignment="1">
      <alignment vertical="center"/>
      <protection/>
    </xf>
    <xf numFmtId="0" fontId="22" fillId="0" borderId="0" xfId="59" applyFont="1" applyAlignment="1">
      <alignment vertical="center"/>
      <protection/>
    </xf>
    <xf numFmtId="3" fontId="7" fillId="36" borderId="0" xfId="59" applyNumberFormat="1" applyFont="1" applyFill="1">
      <alignment/>
      <protection/>
    </xf>
    <xf numFmtId="14" fontId="5" fillId="0" borderId="0" xfId="59" applyNumberFormat="1" applyFont="1" applyAlignment="1">
      <alignment horizontal="center" vertical="center"/>
      <protection/>
    </xf>
    <xf numFmtId="9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56" applyFont="1" applyBorder="1" applyAlignment="1">
      <alignment vertical="center" wrapText="1"/>
      <protection/>
    </xf>
    <xf numFmtId="3" fontId="4" fillId="0" borderId="10" xfId="40" applyNumberFormat="1" applyFont="1" applyBorder="1" applyAlignment="1">
      <alignment vertical="center"/>
    </xf>
    <xf numFmtId="3" fontId="4" fillId="0" borderId="21" xfId="40" applyNumberFormat="1" applyFont="1" applyBorder="1" applyAlignment="1">
      <alignment vertical="center"/>
    </xf>
    <xf numFmtId="3" fontId="4" fillId="0" borderId="22" xfId="40" applyNumberFormat="1" applyFont="1" applyBorder="1" applyAlignment="1">
      <alignment vertical="center"/>
    </xf>
    <xf numFmtId="3" fontId="9" fillId="0" borderId="30" xfId="40" applyNumberFormat="1" applyFont="1" applyFill="1" applyBorder="1" applyAlignment="1">
      <alignment vertical="center"/>
    </xf>
    <xf numFmtId="9" fontId="4" fillId="0" borderId="0" xfId="0" applyNumberFormat="1" applyFont="1" applyAlignment="1">
      <alignment vertical="center"/>
    </xf>
    <xf numFmtId="0" fontId="9" fillId="0" borderId="18" xfId="56" applyFont="1" applyBorder="1" applyAlignment="1">
      <alignment vertical="center" wrapText="1"/>
      <protection/>
    </xf>
    <xf numFmtId="3" fontId="9" fillId="0" borderId="22" xfId="40" applyNumberFormat="1" applyFont="1" applyBorder="1" applyAlignment="1">
      <alignment vertical="center"/>
    </xf>
    <xf numFmtId="3" fontId="9" fillId="0" borderId="21" xfId="40" applyNumberFormat="1" applyFont="1" applyBorder="1" applyAlignment="1">
      <alignment vertical="center"/>
    </xf>
    <xf numFmtId="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9" xfId="56" applyFont="1" applyBorder="1" applyAlignment="1">
      <alignment vertical="center" wrapText="1"/>
      <protection/>
    </xf>
    <xf numFmtId="3" fontId="9" fillId="0" borderId="35" xfId="40" applyNumberFormat="1" applyFont="1" applyBorder="1" applyAlignment="1">
      <alignment vertical="center"/>
    </xf>
    <xf numFmtId="3" fontId="9" fillId="0" borderId="36" xfId="40" applyNumberFormat="1" applyFont="1" applyFill="1" applyBorder="1" applyAlignment="1">
      <alignment vertical="center"/>
    </xf>
    <xf numFmtId="3" fontId="9" fillId="0" borderId="29" xfId="40" applyNumberFormat="1" applyFont="1" applyBorder="1" applyAlignment="1">
      <alignment vertical="center"/>
    </xf>
    <xf numFmtId="0" fontId="4" fillId="0" borderId="23" xfId="56" applyFont="1" applyBorder="1" applyAlignment="1">
      <alignment vertical="center" wrapText="1"/>
      <protection/>
    </xf>
    <xf numFmtId="3" fontId="4" fillId="0" borderId="11" xfId="40" applyNumberFormat="1" applyFont="1" applyBorder="1" applyAlignment="1">
      <alignment vertical="center"/>
    </xf>
    <xf numFmtId="0" fontId="4" fillId="0" borderId="21" xfId="56" applyFont="1" applyBorder="1" applyAlignment="1">
      <alignment vertical="center" wrapText="1"/>
      <protection/>
    </xf>
    <xf numFmtId="0" fontId="4" fillId="0" borderId="29" xfId="56" applyFont="1" applyBorder="1" applyAlignment="1">
      <alignment vertical="center" wrapText="1"/>
      <protection/>
    </xf>
    <xf numFmtId="3" fontId="4" fillId="0" borderId="35" xfId="40" applyNumberFormat="1" applyFont="1" applyBorder="1" applyAlignment="1">
      <alignment vertical="center"/>
    </xf>
    <xf numFmtId="3" fontId="4" fillId="0" borderId="29" xfId="4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/>
    </xf>
    <xf numFmtId="3" fontId="16" fillId="0" borderId="10" xfId="40" applyNumberFormat="1" applyFont="1" applyBorder="1" applyAlignment="1">
      <alignment vertical="center"/>
    </xf>
    <xf numFmtId="3" fontId="16" fillId="0" borderId="0" xfId="0" applyNumberFormat="1" applyFont="1" applyAlignment="1">
      <alignment/>
    </xf>
    <xf numFmtId="3" fontId="17" fillId="0" borderId="10" xfId="40" applyNumberFormat="1" applyFont="1" applyBorder="1" applyAlignment="1">
      <alignment vertical="center"/>
    </xf>
    <xf numFmtId="3" fontId="17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6" fillId="0" borderId="0" xfId="0" applyNumberFormat="1" applyFont="1" applyAlignment="1">
      <alignment vertical="center"/>
    </xf>
    <xf numFmtId="3" fontId="23" fillId="0" borderId="0" xfId="0" applyNumberFormat="1" applyFont="1" applyAlignment="1">
      <alignment/>
    </xf>
    <xf numFmtId="3" fontId="7" fillId="0" borderId="10" xfId="40" applyNumberFormat="1" applyFont="1" applyFill="1" applyBorder="1" applyAlignment="1" quotePrefix="1">
      <alignment horizontal="right" vertical="center"/>
    </xf>
    <xf numFmtId="3" fontId="7" fillId="0" borderId="12" xfId="40" applyNumberFormat="1" applyFont="1" applyFill="1" applyBorder="1" applyAlignment="1" quotePrefix="1">
      <alignment horizontal="right" vertical="center"/>
    </xf>
    <xf numFmtId="3" fontId="7" fillId="0" borderId="12" xfId="40" applyNumberFormat="1" applyFont="1" applyFill="1" applyBorder="1" applyAlignment="1">
      <alignment horizontal="right" vertical="center"/>
    </xf>
    <xf numFmtId="0" fontId="5" fillId="0" borderId="19" xfId="58" applyFont="1" applyFill="1" applyBorder="1" applyAlignment="1">
      <alignment vertical="center"/>
      <protection/>
    </xf>
    <xf numFmtId="10" fontId="7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0" fontId="7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3" fontId="5" fillId="36" borderId="0" xfId="0" applyNumberFormat="1" applyFont="1" applyFill="1" applyAlignment="1">
      <alignment/>
    </xf>
    <xf numFmtId="0" fontId="7" fillId="0" borderId="26" xfId="59" applyFont="1" applyBorder="1" applyAlignment="1">
      <alignment vertical="center"/>
      <protection/>
    </xf>
    <xf numFmtId="0" fontId="5" fillId="0" borderId="39" xfId="59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7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56" applyFont="1" applyBorder="1" applyAlignment="1">
      <alignment horizontal="center" vertical="center" wrapText="1"/>
      <protection/>
    </xf>
    <xf numFmtId="0" fontId="9" fillId="0" borderId="45" xfId="0" applyFont="1" applyBorder="1" applyAlignment="1">
      <alignment horizontal="center" vertical="center" wrapText="1"/>
    </xf>
    <xf numFmtId="0" fontId="5" fillId="0" borderId="0" xfId="59" applyFont="1" applyBorder="1">
      <alignment/>
      <protection/>
    </xf>
    <xf numFmtId="3" fontId="4" fillId="0" borderId="46" xfId="40" applyNumberFormat="1" applyFont="1" applyBorder="1" applyAlignment="1">
      <alignment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20" xfId="40" applyNumberFormat="1" applyFont="1" applyBorder="1" applyAlignment="1">
      <alignment vertical="center"/>
    </xf>
    <xf numFmtId="3" fontId="9" fillId="0" borderId="44" xfId="40" applyNumberFormat="1" applyFont="1" applyFill="1" applyBorder="1" applyAlignment="1">
      <alignment vertical="center"/>
    </xf>
    <xf numFmtId="3" fontId="9" fillId="0" borderId="28" xfId="40" applyNumberFormat="1" applyFont="1" applyFill="1" applyBorder="1" applyAlignment="1">
      <alignment vertical="center"/>
    </xf>
    <xf numFmtId="3" fontId="9" fillId="0" borderId="26" xfId="40" applyNumberFormat="1" applyFont="1" applyBorder="1" applyAlignment="1">
      <alignment vertical="center"/>
    </xf>
    <xf numFmtId="3" fontId="9" fillId="0" borderId="34" xfId="40" applyNumberFormat="1" applyFont="1" applyBorder="1" applyAlignment="1">
      <alignment vertical="center"/>
    </xf>
    <xf numFmtId="3" fontId="4" fillId="0" borderId="26" xfId="40" applyNumberFormat="1" applyFont="1" applyBorder="1" applyAlignment="1">
      <alignment vertical="center"/>
    </xf>
    <xf numFmtId="3" fontId="4" fillId="0" borderId="34" xfId="40" applyNumberFormat="1" applyFont="1" applyBorder="1" applyAlignment="1">
      <alignment vertical="center"/>
    </xf>
    <xf numFmtId="3" fontId="17" fillId="0" borderId="10" xfId="4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40" applyNumberFormat="1" applyFont="1" applyBorder="1" applyAlignment="1">
      <alignment vertical="center"/>
    </xf>
    <xf numFmtId="3" fontId="9" fillId="0" borderId="0" xfId="4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5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54" xfId="0" applyFont="1" applyFill="1" applyBorder="1" applyAlignment="1">
      <alignment horizontal="center" vertical="center" wrapText="1"/>
    </xf>
    <xf numFmtId="0" fontId="7" fillId="0" borderId="31" xfId="56" applyFont="1" applyBorder="1" applyAlignment="1">
      <alignment horizontal="center" vertical="center" wrapText="1"/>
      <protection/>
    </xf>
    <xf numFmtId="0" fontId="7" fillId="0" borderId="18" xfId="56" applyFont="1" applyBorder="1" applyAlignment="1">
      <alignment horizontal="center" vertical="center" wrapText="1"/>
      <protection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7" fillId="0" borderId="10" xfId="56" applyFont="1" applyBorder="1" applyAlignment="1">
      <alignment horizontal="center" vertical="center" wrapText="1"/>
      <protection/>
    </xf>
    <xf numFmtId="0" fontId="5" fillId="36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7" borderId="57" xfId="0" applyFont="1" applyFill="1" applyBorder="1" applyAlignment="1">
      <alignment horizontal="center" vertical="center" wrapText="1"/>
    </xf>
    <xf numFmtId="0" fontId="7" fillId="7" borderId="58" xfId="0" applyFont="1" applyFill="1" applyBorder="1" applyAlignment="1">
      <alignment horizontal="center" vertical="center" wrapText="1"/>
    </xf>
    <xf numFmtId="0" fontId="7" fillId="7" borderId="59" xfId="0" applyFont="1" applyFill="1" applyBorder="1" applyAlignment="1">
      <alignment horizontal="center" vertical="center" wrapText="1"/>
    </xf>
    <xf numFmtId="0" fontId="7" fillId="7" borderId="47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7" borderId="60" xfId="0" applyFont="1" applyFill="1" applyBorder="1" applyAlignment="1">
      <alignment horizontal="center" vertical="center" wrapText="1"/>
    </xf>
    <xf numFmtId="0" fontId="7" fillId="0" borderId="62" xfId="56" applyFont="1" applyBorder="1" applyAlignment="1">
      <alignment horizontal="center" vertical="center" wrapText="1"/>
      <protection/>
    </xf>
    <xf numFmtId="0" fontId="7" fillId="0" borderId="43" xfId="56" applyFont="1" applyBorder="1" applyAlignment="1">
      <alignment horizontal="center" vertical="center" wrapText="1"/>
      <protection/>
    </xf>
    <xf numFmtId="0" fontId="7" fillId="0" borderId="20" xfId="56" applyFont="1" applyBorder="1" applyAlignment="1">
      <alignment horizontal="center" vertical="center" wrapText="1"/>
      <protection/>
    </xf>
    <xf numFmtId="0" fontId="7" fillId="0" borderId="6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56" applyFont="1" applyBorder="1" applyAlignment="1">
      <alignment horizontal="left" vertical="center"/>
      <protection/>
    </xf>
    <xf numFmtId="0" fontId="7" fillId="0" borderId="37" xfId="56" applyFont="1" applyBorder="1" applyAlignment="1">
      <alignment horizontal="left" vertical="center"/>
      <protection/>
    </xf>
    <xf numFmtId="0" fontId="7" fillId="0" borderId="14" xfId="56" applyFont="1" applyBorder="1" applyAlignment="1">
      <alignment horizontal="left" vertical="center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37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184" fontId="16" fillId="0" borderId="22" xfId="0" applyNumberFormat="1" applyFont="1" applyBorder="1" applyAlignment="1">
      <alignment horizontal="center" vertical="center"/>
    </xf>
    <xf numFmtId="184" fontId="16" fillId="0" borderId="11" xfId="0" applyNumberFormat="1" applyFont="1" applyBorder="1" applyAlignment="1">
      <alignment horizontal="center" vertical="center"/>
    </xf>
    <xf numFmtId="0" fontId="7" fillId="0" borderId="27" xfId="56" applyFont="1" applyBorder="1" applyAlignment="1">
      <alignment vertical="center"/>
      <protection/>
    </xf>
    <xf numFmtId="0" fontId="7" fillId="0" borderId="16" xfId="56" applyFont="1" applyBorder="1" applyAlignment="1">
      <alignment vertical="center"/>
      <protection/>
    </xf>
    <xf numFmtId="0" fontId="7" fillId="0" borderId="10" xfId="56" applyFont="1" applyBorder="1" applyAlignment="1">
      <alignment vertical="center"/>
      <protection/>
    </xf>
    <xf numFmtId="0" fontId="7" fillId="0" borderId="15" xfId="56" applyFont="1" applyBorder="1" applyAlignment="1">
      <alignment horizontal="left" vertical="center"/>
      <protection/>
    </xf>
    <xf numFmtId="0" fontId="7" fillId="0" borderId="0" xfId="56" applyFont="1" applyBorder="1" applyAlignment="1">
      <alignment horizontal="left" vertical="center"/>
      <protection/>
    </xf>
    <xf numFmtId="0" fontId="7" fillId="0" borderId="26" xfId="56" applyFont="1" applyBorder="1" applyAlignment="1">
      <alignment horizontal="center" vertical="center"/>
      <protection/>
    </xf>
    <xf numFmtId="0" fontId="7" fillId="0" borderId="37" xfId="56" applyFont="1" applyBorder="1" applyAlignment="1">
      <alignment horizontal="center" vertical="center"/>
      <protection/>
    </xf>
    <xf numFmtId="0" fontId="7" fillId="0" borderId="26" xfId="56" applyFont="1" applyBorder="1" applyAlignment="1">
      <alignment horizontal="left" vertical="center"/>
      <protection/>
    </xf>
    <xf numFmtId="0" fontId="7" fillId="0" borderId="39" xfId="56" applyFont="1" applyBorder="1" applyAlignment="1">
      <alignment horizontal="left" vertical="center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center" vertical="center"/>
      <protection/>
    </xf>
    <xf numFmtId="0" fontId="5" fillId="32" borderId="21" xfId="58" applyFont="1" applyFill="1" applyBorder="1" applyAlignment="1">
      <alignment horizontal="center" vertical="center"/>
      <protection/>
    </xf>
    <xf numFmtId="0" fontId="5" fillId="32" borderId="52" xfId="58" applyFont="1" applyFill="1" applyBorder="1" applyAlignment="1">
      <alignment horizontal="center" vertical="center"/>
      <protection/>
    </xf>
    <xf numFmtId="0" fontId="5" fillId="32" borderId="23" xfId="58" applyFont="1" applyFill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0" xfId="58" applyFont="1" applyFill="1" applyAlignment="1">
      <alignment horizontal="center" vertical="center"/>
      <protection/>
    </xf>
    <xf numFmtId="0" fontId="67" fillId="0" borderId="17" xfId="58" applyFont="1" applyBorder="1" applyAlignment="1">
      <alignment horizontal="center" vertical="center"/>
      <protection/>
    </xf>
    <xf numFmtId="0" fontId="67" fillId="0" borderId="27" xfId="58" applyFont="1" applyBorder="1" applyAlignment="1">
      <alignment horizontal="center" vertical="center"/>
      <protection/>
    </xf>
    <xf numFmtId="0" fontId="17" fillId="0" borderId="26" xfId="58" applyFont="1" applyBorder="1" applyAlignment="1">
      <alignment horizontal="center" vertical="center" wrapText="1"/>
      <protection/>
    </xf>
    <xf numFmtId="0" fontId="17" fillId="0" borderId="39" xfId="58" applyFont="1" applyBorder="1" applyAlignment="1">
      <alignment horizontal="center" vertical="center" wrapText="1"/>
      <protection/>
    </xf>
    <xf numFmtId="0" fontId="17" fillId="0" borderId="25" xfId="58" applyFont="1" applyBorder="1" applyAlignment="1">
      <alignment horizontal="center" vertical="center" wrapText="1"/>
      <protection/>
    </xf>
    <xf numFmtId="0" fontId="17" fillId="0" borderId="17" xfId="58" applyFont="1" applyBorder="1" applyAlignment="1">
      <alignment horizontal="center" vertical="center" wrapText="1"/>
      <protection/>
    </xf>
    <xf numFmtId="0" fontId="17" fillId="0" borderId="27" xfId="58" applyFont="1" applyBorder="1" applyAlignment="1">
      <alignment horizontal="center" vertical="center" wrapText="1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7" fillId="0" borderId="13" xfId="58" applyFont="1" applyBorder="1" applyAlignment="1">
      <alignment horizontal="center" vertical="center" wrapText="1"/>
      <protection/>
    </xf>
    <xf numFmtId="0" fontId="17" fillId="0" borderId="37" xfId="58" applyFont="1" applyBorder="1" applyAlignment="1">
      <alignment horizontal="center" vertical="center" wrapText="1"/>
      <protection/>
    </xf>
    <xf numFmtId="0" fontId="17" fillId="0" borderId="14" xfId="58" applyFont="1" applyBorder="1" applyAlignment="1">
      <alignment horizontal="center" vertical="center" wrapText="1"/>
      <protection/>
    </xf>
    <xf numFmtId="0" fontId="16" fillId="32" borderId="46" xfId="58" applyFont="1" applyFill="1" applyBorder="1" applyAlignment="1">
      <alignment horizontal="center" vertical="center"/>
      <protection/>
    </xf>
    <xf numFmtId="0" fontId="16" fillId="32" borderId="11" xfId="58" applyFont="1" applyFill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0" fontId="17" fillId="0" borderId="10" xfId="58" applyFont="1" applyBorder="1" applyAlignment="1">
      <alignment vertical="center"/>
      <protection/>
    </xf>
    <xf numFmtId="0" fontId="8" fillId="0" borderId="0" xfId="0" applyFont="1" applyFill="1" applyAlignment="1">
      <alignment horizontal="center" vertical="center" wrapText="1"/>
    </xf>
    <xf numFmtId="3" fontId="7" fillId="0" borderId="13" xfId="40" applyNumberFormat="1" applyFont="1" applyFill="1" applyBorder="1" applyAlignment="1">
      <alignment horizontal="center" vertical="center"/>
    </xf>
    <xf numFmtId="3" fontId="7" fillId="0" borderId="37" xfId="40" applyNumberFormat="1" applyFont="1" applyFill="1" applyBorder="1" applyAlignment="1">
      <alignment horizontal="center" vertical="center"/>
    </xf>
    <xf numFmtId="3" fontId="7" fillId="0" borderId="14" xfId="4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2" fontId="7" fillId="0" borderId="27" xfId="4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172" fontId="7" fillId="0" borderId="10" xfId="40" applyNumberFormat="1" applyFont="1" applyFill="1" applyBorder="1" applyAlignment="1">
      <alignment horizontal="center" vertical="center" wrapText="1"/>
    </xf>
    <xf numFmtId="172" fontId="9" fillId="0" borderId="13" xfId="40" applyNumberFormat="1" applyFont="1" applyFill="1" applyBorder="1" applyAlignment="1">
      <alignment horizontal="center" vertical="center" wrapText="1"/>
    </xf>
    <xf numFmtId="172" fontId="9" fillId="0" borderId="37" xfId="40" applyNumberFormat="1" applyFont="1" applyFill="1" applyBorder="1" applyAlignment="1">
      <alignment horizontal="center" vertical="center" wrapText="1"/>
    </xf>
    <xf numFmtId="172" fontId="9" fillId="0" borderId="14" xfId="4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56" applyFont="1" applyAlignment="1">
      <alignment vertical="center"/>
      <protection/>
    </xf>
    <xf numFmtId="0" fontId="4" fillId="0" borderId="0" xfId="0" applyFont="1" applyAlignment="1">
      <alignment/>
    </xf>
    <xf numFmtId="0" fontId="5" fillId="0" borderId="0" xfId="56" applyFont="1" applyAlignment="1">
      <alignment horizontal="right"/>
      <protection/>
    </xf>
    <xf numFmtId="0" fontId="8" fillId="0" borderId="0" xfId="0" applyFont="1" applyBorder="1" applyAlignment="1">
      <alignment horizontal="center" vertical="center"/>
    </xf>
    <xf numFmtId="0" fontId="5" fillId="0" borderId="37" xfId="59" applyFont="1" applyBorder="1" applyAlignment="1">
      <alignment vertical="center" wrapText="1"/>
      <protection/>
    </xf>
    <xf numFmtId="0" fontId="7" fillId="0" borderId="10" xfId="59" applyFont="1" applyBorder="1" applyAlignment="1">
      <alignment vertical="center"/>
      <protection/>
    </xf>
    <xf numFmtId="0" fontId="5" fillId="0" borderId="10" xfId="59" applyFont="1" applyBorder="1" applyAlignment="1">
      <alignment vertical="center"/>
      <protection/>
    </xf>
    <xf numFmtId="0" fontId="7" fillId="0" borderId="26" xfId="59" applyFont="1" applyBorder="1" applyAlignment="1">
      <alignment vertical="center"/>
      <protection/>
    </xf>
    <xf numFmtId="0" fontId="5" fillId="0" borderId="3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7" fillId="0" borderId="39" xfId="59" applyFont="1" applyBorder="1" applyAlignment="1">
      <alignment vertical="center"/>
      <protection/>
    </xf>
    <xf numFmtId="0" fontId="7" fillId="0" borderId="25" xfId="59" applyFont="1" applyBorder="1" applyAlignment="1">
      <alignment vertical="center"/>
      <protection/>
    </xf>
    <xf numFmtId="0" fontId="5" fillId="0" borderId="16" xfId="0" applyFont="1" applyBorder="1" applyAlignment="1">
      <alignment vertical="center"/>
    </xf>
    <xf numFmtId="0" fontId="5" fillId="0" borderId="14" xfId="59" applyFont="1" applyBorder="1" applyAlignment="1">
      <alignment vertical="center" wrapText="1"/>
      <protection/>
    </xf>
    <xf numFmtId="0" fontId="7" fillId="0" borderId="13" xfId="59" applyFont="1" applyBorder="1" applyAlignment="1">
      <alignment vertical="center"/>
      <protection/>
    </xf>
    <xf numFmtId="0" fontId="7" fillId="0" borderId="37" xfId="59" applyFont="1" applyBorder="1" applyAlignment="1">
      <alignment vertical="center"/>
      <protection/>
    </xf>
    <xf numFmtId="0" fontId="7" fillId="0" borderId="14" xfId="59" applyFont="1" applyBorder="1" applyAlignment="1">
      <alignment vertical="center"/>
      <protection/>
    </xf>
    <xf numFmtId="0" fontId="7" fillId="0" borderId="16" xfId="59" applyFont="1" applyBorder="1" applyAlignment="1">
      <alignment vertical="center"/>
      <protection/>
    </xf>
    <xf numFmtId="0" fontId="7" fillId="0" borderId="11" xfId="59" applyFont="1" applyBorder="1" applyAlignment="1">
      <alignment vertical="center"/>
      <protection/>
    </xf>
    <xf numFmtId="3" fontId="7" fillId="0" borderId="22" xfId="40" applyNumberFormat="1" applyFont="1" applyBorder="1" applyAlignment="1">
      <alignment horizontal="center" vertical="center"/>
    </xf>
    <xf numFmtId="3" fontId="7" fillId="0" borderId="11" xfId="40" applyNumberFormat="1" applyFont="1" applyBorder="1" applyAlignment="1">
      <alignment horizontal="center" vertical="center"/>
    </xf>
    <xf numFmtId="0" fontId="5" fillId="0" borderId="10" xfId="59" applyFont="1" applyBorder="1" applyAlignment="1">
      <alignment horizontal="left" vertical="center" wrapText="1"/>
      <protection/>
    </xf>
    <xf numFmtId="0" fontId="5" fillId="34" borderId="13" xfId="59" applyFont="1" applyFill="1" applyBorder="1" applyAlignment="1">
      <alignment horizontal="left" vertical="center" wrapText="1"/>
      <protection/>
    </xf>
    <xf numFmtId="0" fontId="5" fillId="34" borderId="14" xfId="59" applyFont="1" applyFill="1" applyBorder="1" applyAlignment="1">
      <alignment horizontal="left" vertical="center" wrapText="1"/>
      <protection/>
    </xf>
    <xf numFmtId="0" fontId="5" fillId="0" borderId="39" xfId="59" applyFont="1" applyBorder="1" applyAlignment="1">
      <alignment vertical="center"/>
      <protection/>
    </xf>
    <xf numFmtId="0" fontId="5" fillId="0" borderId="27" xfId="59" applyFont="1" applyBorder="1" applyAlignment="1">
      <alignment vertical="center"/>
      <protection/>
    </xf>
    <xf numFmtId="0" fontId="5" fillId="0" borderId="13" xfId="59" applyFont="1" applyBorder="1" applyAlignment="1">
      <alignment horizontal="left" vertical="center" wrapText="1"/>
      <protection/>
    </xf>
    <xf numFmtId="0" fontId="5" fillId="0" borderId="14" xfId="59" applyFont="1" applyBorder="1" applyAlignment="1">
      <alignment horizontal="left" vertical="center" wrapText="1"/>
      <protection/>
    </xf>
    <xf numFmtId="0" fontId="7" fillId="36" borderId="13" xfId="59" applyFont="1" applyFill="1" applyBorder="1" applyAlignment="1">
      <alignment vertical="center" wrapText="1"/>
      <protection/>
    </xf>
    <xf numFmtId="0" fontId="7" fillId="36" borderId="37" xfId="59" applyFont="1" applyFill="1" applyBorder="1" applyAlignment="1">
      <alignment vertical="center" wrapText="1"/>
      <protection/>
    </xf>
    <xf numFmtId="0" fontId="7" fillId="36" borderId="14" xfId="59" applyFont="1" applyFill="1" applyBorder="1" applyAlignment="1">
      <alignment vertical="center" wrapText="1"/>
      <protection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7" fillId="0" borderId="14" xfId="59" applyFont="1" applyBorder="1" applyAlignment="1">
      <alignment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7" fillId="0" borderId="13" xfId="59" applyFont="1" applyBorder="1" applyAlignment="1">
      <alignment vertical="center" wrapText="1"/>
      <protection/>
    </xf>
    <xf numFmtId="0" fontId="5" fillId="0" borderId="10" xfId="0" applyFont="1" applyBorder="1" applyAlignment="1">
      <alignment horizontal="left"/>
    </xf>
    <xf numFmtId="0" fontId="7" fillId="33" borderId="14" xfId="59" applyFont="1" applyFill="1" applyBorder="1" applyAlignment="1">
      <alignment vertical="center" wrapText="1"/>
      <protection/>
    </xf>
    <xf numFmtId="0" fontId="7" fillId="33" borderId="10" xfId="59" applyFont="1" applyFill="1" applyBorder="1" applyAlignment="1">
      <alignment vertical="center" wrapText="1"/>
      <protection/>
    </xf>
    <xf numFmtId="0" fontId="7" fillId="33" borderId="13" xfId="59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4" fontId="3" fillId="0" borderId="0" xfId="60" applyNumberFormat="1" applyFont="1" applyAlignment="1">
      <alignment horizontal="center" vertical="center"/>
      <protection/>
    </xf>
    <xf numFmtId="0" fontId="7" fillId="0" borderId="10" xfId="59" applyFont="1" applyBorder="1" applyAlignment="1">
      <alignment horizontal="left" vertical="center"/>
      <protection/>
    </xf>
    <xf numFmtId="0" fontId="5" fillId="0" borderId="10" xfId="59" applyFont="1" applyBorder="1" applyAlignment="1">
      <alignment horizontal="left" vertical="center"/>
      <protection/>
    </xf>
    <xf numFmtId="0" fontId="7" fillId="0" borderId="13" xfId="59" applyFont="1" applyBorder="1" applyAlignment="1">
      <alignment horizontal="left" vertical="center"/>
      <protection/>
    </xf>
    <xf numFmtId="0" fontId="5" fillId="0" borderId="37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7" fillId="0" borderId="37" xfId="59" applyFont="1" applyBorder="1" applyAlignment="1">
      <alignment vertical="center" wrapText="1"/>
      <protection/>
    </xf>
    <xf numFmtId="0" fontId="5" fillId="0" borderId="10" xfId="59" applyFont="1" applyBorder="1" applyAlignment="1">
      <alignment vertical="center" wrapText="1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65" xfId="0" applyFont="1" applyBorder="1" applyAlignment="1">
      <alignment horizontal="right" vertical="center"/>
    </xf>
    <xf numFmtId="0" fontId="4" fillId="0" borderId="31" xfId="56" applyFont="1" applyBorder="1" applyAlignment="1">
      <alignment horizontal="center" vertical="center" wrapText="1"/>
      <protection/>
    </xf>
    <xf numFmtId="0" fontId="4" fillId="0" borderId="18" xfId="56" applyFont="1" applyBorder="1" applyAlignment="1">
      <alignment horizontal="center" vertical="center" wrapText="1"/>
      <protection/>
    </xf>
    <xf numFmtId="0" fontId="4" fillId="0" borderId="6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2010.III.n.évi beszámoló" xfId="57"/>
    <cellStyle name="Normál_2-A tábla" xfId="58"/>
    <cellStyle name="Normál_Táblázatminták üres" xfId="59"/>
    <cellStyle name="Normál_Testület 3.n.év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v&#225;cs%20Szilvia\2_&#214;nkorm&#225;nyzat\El&#337;terjeszt&#233;sek\2019-11\K&#246;lts&#233;gvet&#233;s%20III%20n&#233;%20m&#243;dos&#237;t&#225;sa\&#214;nk_2019%20III%20negyed&#233;v%20teljes&#237;t&#233;s%20t&#225;bl&#225;k%20(Jav&#237;to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8."/>
      <sheetName val="9"/>
      <sheetName val="10."/>
      <sheetName val="11"/>
      <sheetName val="nem épül be"/>
      <sheetName val="adó - munkaanyag Szilvi"/>
      <sheetName val="pályázat - munkaanyag Szilvi"/>
    </sheetNames>
    <sheetDataSet>
      <sheetData sheetId="1">
        <row r="17">
          <cell r="AN17">
            <v>7355339026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A41"/>
  <sheetViews>
    <sheetView zoomScale="80" zoomScaleNormal="80" zoomScalePageLayoutView="0" workbookViewId="0" topLeftCell="A1">
      <pane xSplit="2" ySplit="10" topLeftCell="AB11" activePane="bottomRight" state="frozen"/>
      <selection pane="topLeft" activeCell="J14" sqref="J13:J14"/>
      <selection pane="topRight" activeCell="J14" sqref="J13:J14"/>
      <selection pane="bottomLeft" activeCell="J14" sqref="J13:J14"/>
      <selection pane="bottomRight" activeCell="J14" sqref="J13:J14"/>
    </sheetView>
  </sheetViews>
  <sheetFormatPr defaultColWidth="9.140625" defaultRowHeight="12.75"/>
  <cols>
    <col min="1" max="1" width="5.140625" style="76" customWidth="1"/>
    <col min="2" max="2" width="27.00390625" style="76" customWidth="1"/>
    <col min="3" max="3" width="16.140625" style="76" customWidth="1"/>
    <col min="4" max="4" width="16.7109375" style="76" customWidth="1"/>
    <col min="5" max="5" width="17.7109375" style="76" customWidth="1"/>
    <col min="6" max="6" width="14.57421875" style="76" customWidth="1"/>
    <col min="7" max="7" width="14.421875" style="76" customWidth="1"/>
    <col min="8" max="8" width="16.57421875" style="76" customWidth="1"/>
    <col min="9" max="9" width="16.7109375" style="76" customWidth="1"/>
    <col min="10" max="10" width="15.57421875" style="76" customWidth="1"/>
    <col min="11" max="11" width="15.00390625" style="76" customWidth="1"/>
    <col min="12" max="12" width="16.421875" style="76" customWidth="1"/>
    <col min="13" max="13" width="16.140625" style="76" customWidth="1"/>
    <col min="14" max="14" width="15.8515625" style="76" customWidth="1"/>
    <col min="15" max="15" width="17.421875" style="76" customWidth="1"/>
    <col min="16" max="16" width="16.140625" style="76" customWidth="1"/>
    <col min="17" max="17" width="16.7109375" style="76" customWidth="1"/>
    <col min="18" max="18" width="15.7109375" style="76" customWidth="1"/>
    <col min="19" max="19" width="18.28125" style="76" customWidth="1"/>
    <col min="20" max="20" width="15.28125" style="76" customWidth="1"/>
    <col min="21" max="23" width="20.57421875" style="76" customWidth="1"/>
    <col min="24" max="24" width="15.8515625" style="76" customWidth="1"/>
    <col min="25" max="25" width="14.7109375" style="76" customWidth="1"/>
    <col min="26" max="26" width="15.00390625" style="76" customWidth="1"/>
    <col min="27" max="29" width="13.00390625" style="76" customWidth="1"/>
    <col min="30" max="30" width="14.8515625" style="76" hidden="1" customWidth="1"/>
    <col min="31" max="31" width="13.421875" style="76" hidden="1" customWidth="1"/>
    <col min="32" max="32" width="12.140625" style="76" hidden="1" customWidth="1"/>
    <col min="33" max="33" width="16.28125" style="76" customWidth="1"/>
    <col min="34" max="34" width="18.28125" style="76" customWidth="1"/>
    <col min="35" max="35" width="15.421875" style="76" customWidth="1"/>
    <col min="36" max="41" width="16.421875" style="76" customWidth="1"/>
    <col min="42" max="44" width="7.00390625" style="76" customWidth="1"/>
    <col min="45" max="45" width="12.7109375" style="76" customWidth="1"/>
    <col min="46" max="46" width="9.140625" style="76" customWidth="1"/>
    <col min="47" max="47" width="18.140625" style="76" customWidth="1"/>
    <col min="48" max="48" width="16.8515625" style="76" customWidth="1"/>
    <col min="49" max="49" width="16.7109375" style="76" customWidth="1"/>
    <col min="50" max="50" width="5.7109375" style="76" customWidth="1"/>
    <col min="51" max="51" width="5.421875" style="76" customWidth="1"/>
    <col min="52" max="52" width="6.8515625" style="76" customWidth="1"/>
    <col min="53" max="53" width="5.8515625" style="76" customWidth="1"/>
    <col min="54" max="16384" width="9.140625" style="76" customWidth="1"/>
  </cols>
  <sheetData>
    <row r="1" spans="1:44" s="54" customFormat="1" ht="15.75">
      <c r="A1" s="51"/>
      <c r="B1" s="51"/>
      <c r="C1" s="51"/>
      <c r="D1" s="51"/>
      <c r="E1" s="51"/>
      <c r="F1" s="51"/>
      <c r="G1" s="51"/>
      <c r="I1" s="461"/>
      <c r="J1" s="461"/>
      <c r="K1" s="461"/>
      <c r="L1" s="461"/>
      <c r="N1" s="456" t="s">
        <v>480</v>
      </c>
      <c r="W1" s="456" t="s">
        <v>480</v>
      </c>
      <c r="AR1" s="456" t="s">
        <v>480</v>
      </c>
    </row>
    <row r="2" spans="1:12" ht="15.75">
      <c r="A2" s="23"/>
      <c r="B2" s="460"/>
      <c r="C2" s="460"/>
      <c r="D2" s="460"/>
      <c r="E2" s="460"/>
      <c r="F2" s="109"/>
      <c r="I2" s="602"/>
      <c r="J2" s="602"/>
      <c r="K2" s="602"/>
      <c r="L2" s="602"/>
    </row>
    <row r="3" spans="1:44" ht="15.75">
      <c r="A3" s="23"/>
      <c r="C3" s="603" t="s">
        <v>488</v>
      </c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567" t="s">
        <v>488</v>
      </c>
      <c r="P3" s="567"/>
      <c r="Q3" s="567"/>
      <c r="R3" s="567"/>
      <c r="S3" s="567"/>
      <c r="T3" s="567"/>
      <c r="U3" s="567"/>
      <c r="V3" s="567"/>
      <c r="W3" s="567"/>
      <c r="X3" s="567" t="s">
        <v>488</v>
      </c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7"/>
      <c r="AL3" s="567"/>
      <c r="AM3" s="567"/>
      <c r="AN3" s="567"/>
      <c r="AO3" s="567"/>
      <c r="AP3" s="567"/>
      <c r="AQ3" s="567"/>
      <c r="AR3" s="567"/>
    </row>
    <row r="4" spans="1:44" ht="15.75">
      <c r="A4" s="23"/>
      <c r="M4" s="9"/>
      <c r="N4" s="2" t="s">
        <v>193</v>
      </c>
      <c r="W4" s="2" t="s">
        <v>193</v>
      </c>
      <c r="AR4" s="2" t="s">
        <v>193</v>
      </c>
    </row>
    <row r="5" spans="1:13" ht="15.75">
      <c r="A5" s="23"/>
      <c r="L5" s="2"/>
      <c r="M5" s="9"/>
    </row>
    <row r="6" spans="1:44" s="90" customFormat="1" ht="15.75">
      <c r="A6" s="425"/>
      <c r="B6" s="162" t="s">
        <v>0</v>
      </c>
      <c r="C6" s="162" t="s">
        <v>1</v>
      </c>
      <c r="D6" s="162" t="s">
        <v>2</v>
      </c>
      <c r="E6" s="162" t="s">
        <v>3</v>
      </c>
      <c r="F6" s="162" t="s">
        <v>312</v>
      </c>
      <c r="G6" s="162" t="s">
        <v>5</v>
      </c>
      <c r="H6" s="162" t="s">
        <v>80</v>
      </c>
      <c r="I6" s="162" t="s">
        <v>6</v>
      </c>
      <c r="J6" s="162" t="s">
        <v>7</v>
      </c>
      <c r="K6" s="162" t="s">
        <v>38</v>
      </c>
      <c r="L6" s="162" t="s">
        <v>8</v>
      </c>
      <c r="M6" s="162" t="s">
        <v>91</v>
      </c>
      <c r="N6" s="162" t="s">
        <v>39</v>
      </c>
      <c r="O6" s="162" t="s">
        <v>0</v>
      </c>
      <c r="P6" s="162" t="s">
        <v>1</v>
      </c>
      <c r="Q6" s="162" t="s">
        <v>2</v>
      </c>
      <c r="R6" s="162" t="s">
        <v>3</v>
      </c>
      <c r="S6" s="162" t="s">
        <v>4</v>
      </c>
      <c r="T6" s="162" t="s">
        <v>5</v>
      </c>
      <c r="U6" s="208" t="s">
        <v>80</v>
      </c>
      <c r="V6" s="208" t="s">
        <v>6</v>
      </c>
      <c r="W6" s="208" t="s">
        <v>7</v>
      </c>
      <c r="X6" s="162" t="s">
        <v>0</v>
      </c>
      <c r="Y6" s="162" t="s">
        <v>1</v>
      </c>
      <c r="Z6" s="162" t="s">
        <v>2</v>
      </c>
      <c r="AA6" s="162" t="s">
        <v>3</v>
      </c>
      <c r="AB6" s="162" t="s">
        <v>4</v>
      </c>
      <c r="AC6" s="162" t="s">
        <v>5</v>
      </c>
      <c r="AD6" s="162" t="s">
        <v>314</v>
      </c>
      <c r="AE6" s="209" t="s">
        <v>7</v>
      </c>
      <c r="AF6" s="210" t="s">
        <v>38</v>
      </c>
      <c r="AG6" s="210" t="s">
        <v>80</v>
      </c>
      <c r="AH6" s="210" t="s">
        <v>6</v>
      </c>
      <c r="AI6" s="210" t="s">
        <v>7</v>
      </c>
      <c r="AJ6" s="211" t="s">
        <v>38</v>
      </c>
      <c r="AK6" s="211" t="s">
        <v>8</v>
      </c>
      <c r="AL6" s="208" t="s">
        <v>91</v>
      </c>
      <c r="AM6" s="162" t="s">
        <v>39</v>
      </c>
      <c r="AN6" s="162" t="s">
        <v>9</v>
      </c>
      <c r="AO6" s="162" t="s">
        <v>92</v>
      </c>
      <c r="AP6" s="209" t="s">
        <v>276</v>
      </c>
      <c r="AQ6" s="209" t="s">
        <v>313</v>
      </c>
      <c r="AR6" s="212" t="s">
        <v>311</v>
      </c>
    </row>
    <row r="7" spans="1:44" s="90" customFormat="1" ht="33.75" customHeight="1">
      <c r="A7" s="599" t="s">
        <v>10</v>
      </c>
      <c r="B7" s="600" t="s">
        <v>11</v>
      </c>
      <c r="C7" s="572" t="s">
        <v>12</v>
      </c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96" t="s">
        <v>146</v>
      </c>
      <c r="V7" s="596"/>
      <c r="W7" s="596"/>
      <c r="X7" s="572" t="s">
        <v>13</v>
      </c>
      <c r="Y7" s="572"/>
      <c r="Z7" s="572"/>
      <c r="AA7" s="572"/>
      <c r="AB7" s="572"/>
      <c r="AC7" s="572"/>
      <c r="AD7" s="572"/>
      <c r="AE7" s="572"/>
      <c r="AF7" s="572"/>
      <c r="AG7" s="572"/>
      <c r="AH7" s="572"/>
      <c r="AI7" s="572"/>
      <c r="AJ7" s="596" t="s">
        <v>182</v>
      </c>
      <c r="AK7" s="596"/>
      <c r="AL7" s="596" t="s">
        <v>182</v>
      </c>
      <c r="AM7" s="572" t="s">
        <v>14</v>
      </c>
      <c r="AN7" s="572"/>
      <c r="AO7" s="572" t="s">
        <v>14</v>
      </c>
      <c r="AP7" s="572" t="s">
        <v>315</v>
      </c>
      <c r="AQ7" s="572"/>
      <c r="AR7" s="572"/>
    </row>
    <row r="8" spans="1:44" s="90" customFormat="1" ht="32.25" customHeight="1">
      <c r="A8" s="599"/>
      <c r="B8" s="600"/>
      <c r="C8" s="572" t="s">
        <v>207</v>
      </c>
      <c r="D8" s="572"/>
      <c r="E8" s="572"/>
      <c r="F8" s="572" t="s">
        <v>208</v>
      </c>
      <c r="G8" s="572"/>
      <c r="H8" s="572"/>
      <c r="I8" s="572" t="s">
        <v>209</v>
      </c>
      <c r="J8" s="572"/>
      <c r="K8" s="572"/>
      <c r="L8" s="572" t="s">
        <v>316</v>
      </c>
      <c r="M8" s="572"/>
      <c r="N8" s="572"/>
      <c r="O8" s="572" t="s">
        <v>210</v>
      </c>
      <c r="P8" s="572"/>
      <c r="Q8" s="572"/>
      <c r="R8" s="572"/>
      <c r="S8" s="572"/>
      <c r="T8" s="572"/>
      <c r="U8" s="596"/>
      <c r="V8" s="596"/>
      <c r="W8" s="596"/>
      <c r="X8" s="572" t="s">
        <v>317</v>
      </c>
      <c r="Y8" s="572"/>
      <c r="Z8" s="572"/>
      <c r="AA8" s="572" t="s">
        <v>212</v>
      </c>
      <c r="AB8" s="572"/>
      <c r="AC8" s="572"/>
      <c r="AD8" s="572" t="s">
        <v>210</v>
      </c>
      <c r="AE8" s="572"/>
      <c r="AF8" s="572"/>
      <c r="AG8" s="572"/>
      <c r="AH8" s="572"/>
      <c r="AI8" s="572"/>
      <c r="AJ8" s="596"/>
      <c r="AK8" s="596"/>
      <c r="AL8" s="596"/>
      <c r="AM8" s="572"/>
      <c r="AN8" s="572"/>
      <c r="AO8" s="572"/>
      <c r="AP8" s="598" t="s">
        <v>318</v>
      </c>
      <c r="AQ8" s="598" t="s">
        <v>319</v>
      </c>
      <c r="AR8" s="598" t="s">
        <v>97</v>
      </c>
    </row>
    <row r="9" spans="1:44" s="90" customFormat="1" ht="45.75" customHeight="1">
      <c r="A9" s="599"/>
      <c r="B9" s="600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 t="s">
        <v>320</v>
      </c>
      <c r="P9" s="572"/>
      <c r="Q9" s="572"/>
      <c r="R9" s="572" t="s">
        <v>211</v>
      </c>
      <c r="S9" s="572"/>
      <c r="T9" s="572"/>
      <c r="U9" s="596"/>
      <c r="V9" s="596"/>
      <c r="W9" s="596"/>
      <c r="X9" s="572"/>
      <c r="Y9" s="572"/>
      <c r="Z9" s="572"/>
      <c r="AA9" s="572"/>
      <c r="AB9" s="572"/>
      <c r="AC9" s="572"/>
      <c r="AD9" s="572" t="s">
        <v>321</v>
      </c>
      <c r="AE9" s="572"/>
      <c r="AF9" s="572"/>
      <c r="AG9" s="572" t="s">
        <v>322</v>
      </c>
      <c r="AH9" s="572"/>
      <c r="AI9" s="572"/>
      <c r="AJ9" s="596"/>
      <c r="AK9" s="596"/>
      <c r="AL9" s="596"/>
      <c r="AM9" s="572"/>
      <c r="AN9" s="572"/>
      <c r="AO9" s="572"/>
      <c r="AP9" s="598"/>
      <c r="AQ9" s="598"/>
      <c r="AR9" s="598"/>
    </row>
    <row r="10" spans="1:53" s="221" customFormat="1" ht="55.5" customHeight="1">
      <c r="A10" s="599"/>
      <c r="B10" s="600"/>
      <c r="C10" s="213" t="s">
        <v>142</v>
      </c>
      <c r="D10" s="213" t="s">
        <v>323</v>
      </c>
      <c r="E10" s="213" t="s">
        <v>94</v>
      </c>
      <c r="F10" s="213" t="s">
        <v>142</v>
      </c>
      <c r="G10" s="213" t="s">
        <v>323</v>
      </c>
      <c r="H10" s="213" t="s">
        <v>94</v>
      </c>
      <c r="I10" s="213" t="s">
        <v>142</v>
      </c>
      <c r="J10" s="213" t="s">
        <v>323</v>
      </c>
      <c r="K10" s="213" t="s">
        <v>94</v>
      </c>
      <c r="L10" s="213" t="s">
        <v>142</v>
      </c>
      <c r="M10" s="213" t="s">
        <v>323</v>
      </c>
      <c r="N10" s="213" t="s">
        <v>94</v>
      </c>
      <c r="O10" s="213" t="s">
        <v>142</v>
      </c>
      <c r="P10" s="213" t="s">
        <v>323</v>
      </c>
      <c r="Q10" s="213" t="s">
        <v>94</v>
      </c>
      <c r="R10" s="213" t="s">
        <v>142</v>
      </c>
      <c r="S10" s="213" t="s">
        <v>323</v>
      </c>
      <c r="T10" s="213" t="s">
        <v>94</v>
      </c>
      <c r="U10" s="214" t="s">
        <v>142</v>
      </c>
      <c r="V10" s="214" t="s">
        <v>323</v>
      </c>
      <c r="W10" s="214" t="s">
        <v>94</v>
      </c>
      <c r="X10" s="213" t="s">
        <v>142</v>
      </c>
      <c r="Y10" s="213" t="s">
        <v>323</v>
      </c>
      <c r="Z10" s="213" t="s">
        <v>94</v>
      </c>
      <c r="AA10" s="213" t="s">
        <v>142</v>
      </c>
      <c r="AB10" s="213" t="s">
        <v>323</v>
      </c>
      <c r="AC10" s="213" t="s">
        <v>94</v>
      </c>
      <c r="AD10" s="213" t="s">
        <v>142</v>
      </c>
      <c r="AE10" s="213" t="s">
        <v>323</v>
      </c>
      <c r="AF10" s="213" t="s">
        <v>94</v>
      </c>
      <c r="AG10" s="213" t="s">
        <v>142</v>
      </c>
      <c r="AH10" s="213" t="s">
        <v>323</v>
      </c>
      <c r="AI10" s="213" t="s">
        <v>94</v>
      </c>
      <c r="AJ10" s="214" t="s">
        <v>142</v>
      </c>
      <c r="AK10" s="214" t="s">
        <v>323</v>
      </c>
      <c r="AL10" s="214" t="s">
        <v>94</v>
      </c>
      <c r="AM10" s="213" t="s">
        <v>142</v>
      </c>
      <c r="AN10" s="213" t="s">
        <v>323</v>
      </c>
      <c r="AO10" s="213" t="s">
        <v>94</v>
      </c>
      <c r="AP10" s="598"/>
      <c r="AQ10" s="598"/>
      <c r="AR10" s="598"/>
      <c r="AU10" s="452" t="s">
        <v>474</v>
      </c>
      <c r="AX10" s="221" t="s">
        <v>512</v>
      </c>
      <c r="AY10" s="221" t="s">
        <v>513</v>
      </c>
      <c r="AZ10" s="221" t="s">
        <v>514</v>
      </c>
      <c r="BA10" s="221" t="s">
        <v>514</v>
      </c>
    </row>
    <row r="11" spans="1:53" s="90" customFormat="1" ht="72" customHeight="1">
      <c r="A11" s="419" t="s">
        <v>15</v>
      </c>
      <c r="B11" s="49" t="s">
        <v>183</v>
      </c>
      <c r="C11" s="92"/>
      <c r="D11" s="92"/>
      <c r="E11" s="92"/>
      <c r="F11" s="92"/>
      <c r="G11" s="92"/>
      <c r="H11" s="92"/>
      <c r="I11" s="92">
        <v>101746000</v>
      </c>
      <c r="J11" s="92">
        <v>92746000</v>
      </c>
      <c r="K11" s="92">
        <v>30976016</v>
      </c>
      <c r="L11" s="92">
        <v>511285937</v>
      </c>
      <c r="M11" s="92">
        <v>567900912</v>
      </c>
      <c r="N11" s="92">
        <v>301901275</v>
      </c>
      <c r="O11" s="92">
        <v>6063000</v>
      </c>
      <c r="P11" s="92">
        <v>99905231</v>
      </c>
      <c r="Q11" s="92">
        <v>99905231</v>
      </c>
      <c r="R11" s="92">
        <v>55832312</v>
      </c>
      <c r="S11" s="92">
        <v>67847613</v>
      </c>
      <c r="T11" s="92">
        <v>35791331</v>
      </c>
      <c r="U11" s="424">
        <f aca="true" t="shared" si="0" ref="U11:W14">C11+F11+I11+L11+O11+R11</f>
        <v>674927249</v>
      </c>
      <c r="V11" s="424">
        <f t="shared" si="0"/>
        <v>828399756</v>
      </c>
      <c r="W11" s="424">
        <f t="shared" si="0"/>
        <v>468573853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284">
        <f aca="true" t="shared" si="1" ref="AJ11:AL14">X11+AA11+AD11+AG11</f>
        <v>0</v>
      </c>
      <c r="AK11" s="284">
        <f t="shared" si="1"/>
        <v>0</v>
      </c>
      <c r="AL11" s="284">
        <f t="shared" si="1"/>
        <v>0</v>
      </c>
      <c r="AM11" s="95">
        <f aca="true" t="shared" si="2" ref="AM11:AO14">AJ11+U11</f>
        <v>674927249</v>
      </c>
      <c r="AN11" s="95">
        <f t="shared" si="2"/>
        <v>828399756</v>
      </c>
      <c r="AO11" s="95">
        <f t="shared" si="2"/>
        <v>468573853</v>
      </c>
      <c r="AP11" s="222">
        <f aca="true" t="shared" si="3" ref="AP11:AP18">W11/V11</f>
        <v>0.5656373624040517</v>
      </c>
      <c r="AQ11" s="222"/>
      <c r="AR11" s="222">
        <f aca="true" t="shared" si="4" ref="AR11:AR18">AO11/AN11</f>
        <v>0.5656373624040517</v>
      </c>
      <c r="AS11" s="231">
        <f aca="true" t="shared" si="5" ref="AS11:AS17">AN11-AM11</f>
        <v>153472507</v>
      </c>
      <c r="AU11" s="178">
        <f>I11*0.5-K11</f>
        <v>19896984</v>
      </c>
      <c r="AV11" s="178">
        <f>R11*0.5-T11</f>
        <v>-7875175</v>
      </c>
      <c r="AW11" s="178">
        <f>S11*0.5-T11</f>
        <v>-1867524.5</v>
      </c>
      <c r="AX11" s="490">
        <f>K11/W11</f>
        <v>0.06610700917620344</v>
      </c>
      <c r="AY11" s="490">
        <f>N11/W11</f>
        <v>0.6442981678706686</v>
      </c>
      <c r="AZ11" s="490">
        <f>Q11/W11</f>
        <v>0.21321128005834333</v>
      </c>
      <c r="BA11" s="490">
        <f>T11/W11</f>
        <v>0.07638354289478462</v>
      </c>
    </row>
    <row r="12" spans="1:53" s="90" customFormat="1" ht="54.75" customHeight="1">
      <c r="A12" s="419" t="s">
        <v>21</v>
      </c>
      <c r="B12" s="49" t="s">
        <v>24</v>
      </c>
      <c r="C12" s="92"/>
      <c r="D12" s="92"/>
      <c r="E12" s="92"/>
      <c r="F12" s="92"/>
      <c r="G12" s="92"/>
      <c r="H12" s="92"/>
      <c r="I12" s="92">
        <v>58960000</v>
      </c>
      <c r="J12" s="92">
        <v>44960000</v>
      </c>
      <c r="K12" s="92">
        <v>10122901</v>
      </c>
      <c r="L12" s="92"/>
      <c r="M12" s="92">
        <v>24004271</v>
      </c>
      <c r="N12" s="92">
        <v>24004271</v>
      </c>
      <c r="O12" s="92">
        <v>5654000</v>
      </c>
      <c r="P12" s="92">
        <v>15199052</v>
      </c>
      <c r="Q12" s="92">
        <v>15199052</v>
      </c>
      <c r="R12" s="92">
        <v>57502125</v>
      </c>
      <c r="S12" s="92">
        <v>59445328</v>
      </c>
      <c r="T12" s="92">
        <v>35910152</v>
      </c>
      <c r="U12" s="424">
        <f t="shared" si="0"/>
        <v>122116125</v>
      </c>
      <c r="V12" s="424">
        <f t="shared" si="0"/>
        <v>143608651</v>
      </c>
      <c r="W12" s="424">
        <f t="shared" si="0"/>
        <v>85236376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284">
        <f>X12+AA12+AD12+AG12</f>
        <v>0</v>
      </c>
      <c r="AK12" s="284">
        <f>Y12+AB12+AE12+AH12</f>
        <v>0</v>
      </c>
      <c r="AL12" s="284">
        <f>Z12+AC12+AF12+AI12</f>
        <v>0</v>
      </c>
      <c r="AM12" s="95">
        <f t="shared" si="2"/>
        <v>122116125</v>
      </c>
      <c r="AN12" s="95">
        <f t="shared" si="2"/>
        <v>143608651</v>
      </c>
      <c r="AO12" s="95">
        <f t="shared" si="2"/>
        <v>85236376</v>
      </c>
      <c r="AP12" s="222">
        <f t="shared" si="3"/>
        <v>0.5935323213919752</v>
      </c>
      <c r="AQ12" s="222"/>
      <c r="AR12" s="222">
        <f t="shared" si="4"/>
        <v>0.5935323213919752</v>
      </c>
      <c r="AS12" s="231">
        <f t="shared" si="5"/>
        <v>21492526</v>
      </c>
      <c r="AU12" s="178">
        <f aca="true" t="shared" si="6" ref="AU12:AU18">I12*0.5-K12</f>
        <v>19357099</v>
      </c>
      <c r="AV12" s="178">
        <f aca="true" t="shared" si="7" ref="AV12:AV18">R12*0.5-T12</f>
        <v>-7159089.5</v>
      </c>
      <c r="AW12" s="178">
        <f aca="true" t="shared" si="8" ref="AW12:AW17">S12*0.5-T12</f>
        <v>-6187488</v>
      </c>
      <c r="AX12" s="490">
        <f>K12/W12</f>
        <v>0.11876268648493456</v>
      </c>
      <c r="AY12" s="490">
        <f>N12/W12</f>
        <v>0.28162003274282804</v>
      </c>
      <c r="AZ12" s="490">
        <f>Q12/W12</f>
        <v>0.17831649717252174</v>
      </c>
      <c r="BA12" s="490">
        <f>T12/W12</f>
        <v>0.4213007835997157</v>
      </c>
    </row>
    <row r="13" spans="1:53" s="90" customFormat="1" ht="40.5" customHeight="1">
      <c r="A13" s="419" t="s">
        <v>22</v>
      </c>
      <c r="B13" s="49" t="s">
        <v>28</v>
      </c>
      <c r="C13" s="92"/>
      <c r="D13" s="92"/>
      <c r="E13" s="92"/>
      <c r="F13" s="92"/>
      <c r="G13" s="92"/>
      <c r="H13" s="92"/>
      <c r="I13" s="92">
        <v>1585000</v>
      </c>
      <c r="J13" s="92">
        <v>1585000</v>
      </c>
      <c r="K13" s="92">
        <v>914656</v>
      </c>
      <c r="L13" s="92"/>
      <c r="M13" s="92">
        <v>731269</v>
      </c>
      <c r="N13" s="92">
        <v>731269</v>
      </c>
      <c r="O13" s="92">
        <v>1750000</v>
      </c>
      <c r="P13" s="92">
        <v>10700416</v>
      </c>
      <c r="Q13" s="92">
        <v>10700416</v>
      </c>
      <c r="R13" s="92">
        <v>36760000</v>
      </c>
      <c r="S13" s="92">
        <v>34986675</v>
      </c>
      <c r="T13" s="92">
        <v>16632118</v>
      </c>
      <c r="U13" s="424">
        <f t="shared" si="0"/>
        <v>40095000</v>
      </c>
      <c r="V13" s="424">
        <f t="shared" si="0"/>
        <v>48003360</v>
      </c>
      <c r="W13" s="424">
        <f t="shared" si="0"/>
        <v>28978459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284">
        <f t="shared" si="1"/>
        <v>0</v>
      </c>
      <c r="AK13" s="284">
        <f t="shared" si="1"/>
        <v>0</v>
      </c>
      <c r="AL13" s="284">
        <f t="shared" si="1"/>
        <v>0</v>
      </c>
      <c r="AM13" s="95">
        <f t="shared" si="2"/>
        <v>40095000</v>
      </c>
      <c r="AN13" s="95">
        <f t="shared" si="2"/>
        <v>48003360</v>
      </c>
      <c r="AO13" s="95">
        <f t="shared" si="2"/>
        <v>28978459</v>
      </c>
      <c r="AP13" s="222">
        <f t="shared" si="3"/>
        <v>0.6036756385386356</v>
      </c>
      <c r="AQ13" s="222"/>
      <c r="AR13" s="222">
        <f t="shared" si="4"/>
        <v>0.6036756385386356</v>
      </c>
      <c r="AS13" s="231">
        <f t="shared" si="5"/>
        <v>7908360</v>
      </c>
      <c r="AU13" s="178">
        <f t="shared" si="6"/>
        <v>-122156</v>
      </c>
      <c r="AV13" s="178">
        <f t="shared" si="7"/>
        <v>1747882</v>
      </c>
      <c r="AW13" s="178">
        <f t="shared" si="8"/>
        <v>861219.5</v>
      </c>
      <c r="AX13" s="490">
        <f>K13/W13</f>
        <v>0.03156330707578343</v>
      </c>
      <c r="AY13" s="490">
        <f>N13/W13</f>
        <v>0.02523491673591063</v>
      </c>
      <c r="AZ13" s="490">
        <f>Q13/W13</f>
        <v>0.36925414149869046</v>
      </c>
      <c r="BA13" s="490">
        <f>T13/W13</f>
        <v>0.5739476346896155</v>
      </c>
    </row>
    <row r="14" spans="1:53" s="90" customFormat="1" ht="40.5" customHeight="1">
      <c r="A14" s="419" t="s">
        <v>51</v>
      </c>
      <c r="B14" s="49" t="s">
        <v>26</v>
      </c>
      <c r="C14" s="92"/>
      <c r="D14" s="92"/>
      <c r="E14" s="92"/>
      <c r="F14" s="92"/>
      <c r="G14" s="92"/>
      <c r="H14" s="92"/>
      <c r="I14" s="92">
        <v>1750000</v>
      </c>
      <c r="J14" s="92">
        <v>1750000</v>
      </c>
      <c r="K14" s="92">
        <v>1572936</v>
      </c>
      <c r="L14" s="92"/>
      <c r="M14" s="92">
        <v>1006393</v>
      </c>
      <c r="N14" s="92">
        <v>1006393</v>
      </c>
      <c r="O14" s="92">
        <v>1408000</v>
      </c>
      <c r="P14" s="92">
        <v>3355451</v>
      </c>
      <c r="Q14" s="92">
        <v>3355451</v>
      </c>
      <c r="R14" s="92">
        <v>20162000</v>
      </c>
      <c r="S14" s="92">
        <v>19356108</v>
      </c>
      <c r="T14" s="92">
        <v>9282864</v>
      </c>
      <c r="U14" s="424">
        <f t="shared" si="0"/>
        <v>23320000</v>
      </c>
      <c r="V14" s="424">
        <f t="shared" si="0"/>
        <v>25467952</v>
      </c>
      <c r="W14" s="424">
        <f t="shared" si="0"/>
        <v>15217644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284">
        <f t="shared" si="1"/>
        <v>0</v>
      </c>
      <c r="AK14" s="284">
        <f t="shared" si="1"/>
        <v>0</v>
      </c>
      <c r="AL14" s="284">
        <f t="shared" si="1"/>
        <v>0</v>
      </c>
      <c r="AM14" s="95">
        <f t="shared" si="2"/>
        <v>23320000</v>
      </c>
      <c r="AN14" s="95">
        <f t="shared" si="2"/>
        <v>25467952</v>
      </c>
      <c r="AO14" s="95">
        <f t="shared" si="2"/>
        <v>15217644</v>
      </c>
      <c r="AP14" s="222">
        <f t="shared" si="3"/>
        <v>0.5975213083486257</v>
      </c>
      <c r="AQ14" s="222"/>
      <c r="AR14" s="222">
        <f t="shared" si="4"/>
        <v>0.5975213083486257</v>
      </c>
      <c r="AS14" s="231">
        <f t="shared" si="5"/>
        <v>2147952</v>
      </c>
      <c r="AU14" s="178">
        <f t="shared" si="6"/>
        <v>-697936</v>
      </c>
      <c r="AV14" s="178">
        <f t="shared" si="7"/>
        <v>798136</v>
      </c>
      <c r="AW14" s="178">
        <f t="shared" si="8"/>
        <v>395190</v>
      </c>
      <c r="AX14" s="490">
        <f>K14/W14</f>
        <v>0.10336264930366357</v>
      </c>
      <c r="AY14" s="490">
        <f>N14/W14</f>
        <v>0.06613329895218997</v>
      </c>
      <c r="AZ14" s="490">
        <f>Q14/W14</f>
        <v>0.22049740419739086</v>
      </c>
      <c r="BA14" s="490">
        <f>T14/W14</f>
        <v>0.6100066475467556</v>
      </c>
    </row>
    <row r="15" spans="1:49" s="112" customFormat="1" ht="60" customHeight="1">
      <c r="A15" s="419" t="s">
        <v>53</v>
      </c>
      <c r="B15" s="426" t="s">
        <v>324</v>
      </c>
      <c r="C15" s="95">
        <f aca="true" t="shared" si="9" ref="C15:AL15">SUM(C11:C14)</f>
        <v>0</v>
      </c>
      <c r="D15" s="95">
        <f t="shared" si="9"/>
        <v>0</v>
      </c>
      <c r="E15" s="95">
        <f t="shared" si="9"/>
        <v>0</v>
      </c>
      <c r="F15" s="95">
        <f t="shared" si="9"/>
        <v>0</v>
      </c>
      <c r="G15" s="95">
        <f t="shared" si="9"/>
        <v>0</v>
      </c>
      <c r="H15" s="95">
        <f t="shared" si="9"/>
        <v>0</v>
      </c>
      <c r="I15" s="95">
        <f t="shared" si="9"/>
        <v>164041000</v>
      </c>
      <c r="J15" s="95">
        <f t="shared" si="9"/>
        <v>141041000</v>
      </c>
      <c r="K15" s="95">
        <f t="shared" si="9"/>
        <v>43586509</v>
      </c>
      <c r="L15" s="95">
        <f t="shared" si="9"/>
        <v>511285937</v>
      </c>
      <c r="M15" s="95">
        <f t="shared" si="9"/>
        <v>593642845</v>
      </c>
      <c r="N15" s="95">
        <f t="shared" si="9"/>
        <v>327643208</v>
      </c>
      <c r="O15" s="95">
        <f t="shared" si="9"/>
        <v>14875000</v>
      </c>
      <c r="P15" s="95">
        <f t="shared" si="9"/>
        <v>129160150</v>
      </c>
      <c r="Q15" s="95">
        <f t="shared" si="9"/>
        <v>129160150</v>
      </c>
      <c r="R15" s="95">
        <f t="shared" si="9"/>
        <v>170256437</v>
      </c>
      <c r="S15" s="95">
        <f t="shared" si="9"/>
        <v>181635724</v>
      </c>
      <c r="T15" s="95">
        <f t="shared" si="9"/>
        <v>97616465</v>
      </c>
      <c r="U15" s="424">
        <f t="shared" si="9"/>
        <v>860458374</v>
      </c>
      <c r="V15" s="424">
        <f t="shared" si="9"/>
        <v>1045479719</v>
      </c>
      <c r="W15" s="424">
        <f t="shared" si="9"/>
        <v>598006332</v>
      </c>
      <c r="X15" s="95">
        <f t="shared" si="9"/>
        <v>0</v>
      </c>
      <c r="Y15" s="95">
        <f t="shared" si="9"/>
        <v>0</v>
      </c>
      <c r="Z15" s="95">
        <f t="shared" si="9"/>
        <v>0</v>
      </c>
      <c r="AA15" s="95">
        <f t="shared" si="9"/>
        <v>0</v>
      </c>
      <c r="AB15" s="95">
        <f t="shared" si="9"/>
        <v>0</v>
      </c>
      <c r="AC15" s="95">
        <f t="shared" si="9"/>
        <v>0</v>
      </c>
      <c r="AD15" s="95">
        <f t="shared" si="9"/>
        <v>0</v>
      </c>
      <c r="AE15" s="95">
        <f t="shared" si="9"/>
        <v>0</v>
      </c>
      <c r="AF15" s="95">
        <f t="shared" si="9"/>
        <v>0</v>
      </c>
      <c r="AG15" s="95">
        <f t="shared" si="9"/>
        <v>0</v>
      </c>
      <c r="AH15" s="95">
        <f t="shared" si="9"/>
        <v>0</v>
      </c>
      <c r="AI15" s="95">
        <f t="shared" si="9"/>
        <v>0</v>
      </c>
      <c r="AJ15" s="424">
        <f t="shared" si="9"/>
        <v>0</v>
      </c>
      <c r="AK15" s="424">
        <f t="shared" si="9"/>
        <v>0</v>
      </c>
      <c r="AL15" s="424">
        <f t="shared" si="9"/>
        <v>0</v>
      </c>
      <c r="AM15" s="95">
        <f>SUM(AM11:AM14)</f>
        <v>860458374</v>
      </c>
      <c r="AN15" s="95">
        <f>SUM(AN11:AN14)</f>
        <v>1045479719</v>
      </c>
      <c r="AO15" s="95">
        <f>AL15+W15</f>
        <v>598006332</v>
      </c>
      <c r="AP15" s="222">
        <f t="shared" si="3"/>
        <v>0.5719922836685845</v>
      </c>
      <c r="AQ15" s="222"/>
      <c r="AR15" s="222">
        <f t="shared" si="4"/>
        <v>0.5719922836685845</v>
      </c>
      <c r="AS15" s="231">
        <f t="shared" si="5"/>
        <v>185021345</v>
      </c>
      <c r="AU15" s="178">
        <f t="shared" si="6"/>
        <v>38433991</v>
      </c>
      <c r="AV15" s="178">
        <f t="shared" si="7"/>
        <v>-12488246.5</v>
      </c>
      <c r="AW15" s="178">
        <f t="shared" si="8"/>
        <v>-6798603</v>
      </c>
    </row>
    <row r="16" spans="1:49" s="90" customFormat="1" ht="48" customHeight="1">
      <c r="A16" s="419" t="s">
        <v>47</v>
      </c>
      <c r="B16" s="49" t="s">
        <v>31</v>
      </c>
      <c r="C16" s="92"/>
      <c r="D16" s="92"/>
      <c r="E16" s="92"/>
      <c r="F16" s="92"/>
      <c r="G16" s="92"/>
      <c r="H16" s="92"/>
      <c r="I16" s="92">
        <v>131982000</v>
      </c>
      <c r="J16" s="92">
        <v>131982000</v>
      </c>
      <c r="K16" s="92">
        <v>50892767</v>
      </c>
      <c r="L16" s="92"/>
      <c r="M16" s="92"/>
      <c r="N16" s="92"/>
      <c r="O16" s="92">
        <v>5000000</v>
      </c>
      <c r="P16" s="92">
        <v>6363023</v>
      </c>
      <c r="Q16" s="92">
        <v>6363023</v>
      </c>
      <c r="R16" s="92">
        <v>419660000</v>
      </c>
      <c r="S16" s="92">
        <v>389636405</v>
      </c>
      <c r="T16" s="92">
        <v>189918768</v>
      </c>
      <c r="U16" s="424">
        <f aca="true" t="shared" si="10" ref="U16:W17">C16+F16+I16+L16+O16+R16</f>
        <v>556642000</v>
      </c>
      <c r="V16" s="424">
        <f t="shared" si="10"/>
        <v>527981428</v>
      </c>
      <c r="W16" s="424">
        <f t="shared" si="10"/>
        <v>247174558</v>
      </c>
      <c r="X16" s="92">
        <v>0</v>
      </c>
      <c r="Y16" s="92"/>
      <c r="Z16" s="92">
        <v>570000</v>
      </c>
      <c r="AA16" s="92">
        <v>0</v>
      </c>
      <c r="AB16" s="92"/>
      <c r="AC16" s="92">
        <v>3937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284">
        <f aca="true" t="shared" si="11" ref="AJ16:AL17">X16+AA16+AD16+AG16</f>
        <v>0</v>
      </c>
      <c r="AK16" s="284">
        <f t="shared" si="11"/>
        <v>0</v>
      </c>
      <c r="AL16" s="284">
        <f t="shared" si="11"/>
        <v>573937</v>
      </c>
      <c r="AM16" s="95">
        <f>AJ16+U16</f>
        <v>556642000</v>
      </c>
      <c r="AN16" s="95">
        <f>AK16+V16</f>
        <v>527981428</v>
      </c>
      <c r="AO16" s="95">
        <f>AL16+W16</f>
        <v>247748495</v>
      </c>
      <c r="AP16" s="222">
        <f t="shared" si="3"/>
        <v>0.46815009940084484</v>
      </c>
      <c r="AQ16" s="222"/>
      <c r="AR16" s="222">
        <f t="shared" si="4"/>
        <v>0.46923713953059726</v>
      </c>
      <c r="AS16" s="231">
        <f t="shared" si="5"/>
        <v>-28660572</v>
      </c>
      <c r="AU16" s="178">
        <f t="shared" si="6"/>
        <v>15098233</v>
      </c>
      <c r="AV16" s="178">
        <f t="shared" si="7"/>
        <v>19911232</v>
      </c>
      <c r="AW16" s="178">
        <f t="shared" si="8"/>
        <v>4899434.5</v>
      </c>
    </row>
    <row r="17" spans="1:49" s="112" customFormat="1" ht="55.5" customHeight="1">
      <c r="A17" s="419" t="s">
        <v>23</v>
      </c>
      <c r="B17" s="49" t="s">
        <v>33</v>
      </c>
      <c r="C17" s="92">
        <v>1347227038</v>
      </c>
      <c r="D17" s="92">
        <v>1383747213</v>
      </c>
      <c r="E17" s="92">
        <f>756324951+556517</f>
        <v>756881468</v>
      </c>
      <c r="F17" s="92">
        <v>580041000</v>
      </c>
      <c r="G17" s="92">
        <v>580041000</v>
      </c>
      <c r="H17" s="92">
        <v>240906523</v>
      </c>
      <c r="I17" s="92">
        <v>155523000</v>
      </c>
      <c r="J17" s="92">
        <v>193341522</v>
      </c>
      <c r="K17" s="92">
        <v>116522299</v>
      </c>
      <c r="L17" s="92">
        <v>244235048</v>
      </c>
      <c r="M17" s="92">
        <f>203358557+43226455</f>
        <v>246585012</v>
      </c>
      <c r="N17" s="92">
        <f>88052912+6521980</f>
        <v>94574892</v>
      </c>
      <c r="O17" s="92">
        <v>101715879</v>
      </c>
      <c r="P17" s="427">
        <f>549426500+187233054</f>
        <v>736659554</v>
      </c>
      <c r="Q17" s="427">
        <f>549426500+187233054</f>
        <v>736659554</v>
      </c>
      <c r="R17" s="92">
        <v>-589916437</v>
      </c>
      <c r="S17" s="92">
        <v>-571272129</v>
      </c>
      <c r="T17" s="92">
        <v>-287535233</v>
      </c>
      <c r="U17" s="424">
        <f t="shared" si="10"/>
        <v>1838825528</v>
      </c>
      <c r="V17" s="424">
        <f t="shared" si="10"/>
        <v>2569102172</v>
      </c>
      <c r="W17" s="424">
        <f t="shared" si="10"/>
        <v>1658009503</v>
      </c>
      <c r="X17" s="428">
        <v>73295925</v>
      </c>
      <c r="Y17" s="428">
        <f>121843391+37184000</f>
        <v>159027391</v>
      </c>
      <c r="Z17" s="428">
        <f>66662128+5259608</f>
        <v>71921736</v>
      </c>
      <c r="AA17" s="428">
        <v>40500000</v>
      </c>
      <c r="AB17" s="428">
        <v>40500000</v>
      </c>
      <c r="AC17" s="428">
        <v>1652032</v>
      </c>
      <c r="AD17" s="92"/>
      <c r="AE17" s="92"/>
      <c r="AF17" s="92"/>
      <c r="AG17" s="92">
        <v>1531558620</v>
      </c>
      <c r="AH17" s="427">
        <v>1531558620</v>
      </c>
      <c r="AI17" s="427">
        <v>1531558620</v>
      </c>
      <c r="AJ17" s="284">
        <f t="shared" si="11"/>
        <v>1645354545</v>
      </c>
      <c r="AK17" s="284">
        <f t="shared" si="11"/>
        <v>1731086011</v>
      </c>
      <c r="AL17" s="284">
        <f t="shared" si="11"/>
        <v>1605132388</v>
      </c>
      <c r="AM17" s="95">
        <f>AJ17+U17</f>
        <v>3484180073</v>
      </c>
      <c r="AN17" s="95">
        <f>AK17+V17</f>
        <v>4300188183</v>
      </c>
      <c r="AO17" s="95">
        <f>AL17+W17</f>
        <v>3263141891</v>
      </c>
      <c r="AP17" s="222">
        <f t="shared" si="3"/>
        <v>0.6453653424415072</v>
      </c>
      <c r="AQ17" s="222">
        <f>AL17/AK17</f>
        <v>0.9272401127386847</v>
      </c>
      <c r="AR17" s="222">
        <f t="shared" si="4"/>
        <v>0.7588369978551703</v>
      </c>
      <c r="AS17" s="231">
        <f t="shared" si="5"/>
        <v>816008110</v>
      </c>
      <c r="AU17" s="178">
        <f t="shared" si="6"/>
        <v>-38760799</v>
      </c>
      <c r="AV17" s="178">
        <f t="shared" si="7"/>
        <v>-7422985.5</v>
      </c>
      <c r="AW17" s="178">
        <f t="shared" si="8"/>
        <v>1899168.5</v>
      </c>
    </row>
    <row r="18" spans="1:51" s="112" customFormat="1" ht="62.25" customHeight="1">
      <c r="A18" s="419" t="s">
        <v>25</v>
      </c>
      <c r="B18" s="426" t="s">
        <v>35</v>
      </c>
      <c r="C18" s="95">
        <f aca="true" t="shared" si="12" ref="C18:AO18">SUM(C15:C17)</f>
        <v>1347227038</v>
      </c>
      <c r="D18" s="95">
        <f t="shared" si="12"/>
        <v>1383747213</v>
      </c>
      <c r="E18" s="95">
        <f t="shared" si="12"/>
        <v>756881468</v>
      </c>
      <c r="F18" s="95">
        <f t="shared" si="12"/>
        <v>580041000</v>
      </c>
      <c r="G18" s="95">
        <f t="shared" si="12"/>
        <v>580041000</v>
      </c>
      <c r="H18" s="95">
        <f t="shared" si="12"/>
        <v>240906523</v>
      </c>
      <c r="I18" s="95">
        <f t="shared" si="12"/>
        <v>451546000</v>
      </c>
      <c r="J18" s="95">
        <f t="shared" si="12"/>
        <v>466364522</v>
      </c>
      <c r="K18" s="95">
        <f>SUM(K15:K17)</f>
        <v>211001575</v>
      </c>
      <c r="L18" s="95">
        <f t="shared" si="12"/>
        <v>755520985</v>
      </c>
      <c r="M18" s="95">
        <f t="shared" si="12"/>
        <v>840227857</v>
      </c>
      <c r="N18" s="95">
        <f t="shared" si="12"/>
        <v>422218100</v>
      </c>
      <c r="O18" s="95">
        <f t="shared" si="12"/>
        <v>121590879</v>
      </c>
      <c r="P18" s="95">
        <f t="shared" si="12"/>
        <v>872182727</v>
      </c>
      <c r="Q18" s="95">
        <f t="shared" si="12"/>
        <v>872182727</v>
      </c>
      <c r="R18" s="95">
        <f t="shared" si="12"/>
        <v>0</v>
      </c>
      <c r="S18" s="95">
        <f t="shared" si="12"/>
        <v>0</v>
      </c>
      <c r="T18" s="95">
        <f t="shared" si="12"/>
        <v>0</v>
      </c>
      <c r="U18" s="424">
        <f t="shared" si="12"/>
        <v>3255925902</v>
      </c>
      <c r="V18" s="424">
        <f t="shared" si="12"/>
        <v>4142563319</v>
      </c>
      <c r="W18" s="424">
        <f t="shared" si="12"/>
        <v>2503190393</v>
      </c>
      <c r="X18" s="95">
        <f t="shared" si="12"/>
        <v>73295925</v>
      </c>
      <c r="Y18" s="95">
        <f>SUM(Y15:Y17)</f>
        <v>159027391</v>
      </c>
      <c r="Z18" s="95">
        <f>SUM(Z15:Z17)</f>
        <v>72491736</v>
      </c>
      <c r="AA18" s="95">
        <f t="shared" si="12"/>
        <v>40500000</v>
      </c>
      <c r="AB18" s="95">
        <f t="shared" si="12"/>
        <v>40500000</v>
      </c>
      <c r="AC18" s="95">
        <f>SUM(AC15:AC17)</f>
        <v>1655969</v>
      </c>
      <c r="AD18" s="95">
        <f t="shared" si="12"/>
        <v>0</v>
      </c>
      <c r="AE18" s="95">
        <f t="shared" si="12"/>
        <v>0</v>
      </c>
      <c r="AF18" s="95">
        <f t="shared" si="12"/>
        <v>0</v>
      </c>
      <c r="AG18" s="95">
        <f t="shared" si="12"/>
        <v>1531558620</v>
      </c>
      <c r="AH18" s="95">
        <f t="shared" si="12"/>
        <v>1531558620</v>
      </c>
      <c r="AI18" s="95">
        <f t="shared" si="12"/>
        <v>1531558620</v>
      </c>
      <c r="AJ18" s="424">
        <f t="shared" si="12"/>
        <v>1645354545</v>
      </c>
      <c r="AK18" s="424">
        <f t="shared" si="12"/>
        <v>1731086011</v>
      </c>
      <c r="AL18" s="424">
        <f t="shared" si="12"/>
        <v>1605706325</v>
      </c>
      <c r="AM18" s="95">
        <f t="shared" si="12"/>
        <v>4901280447</v>
      </c>
      <c r="AN18" s="95">
        <f t="shared" si="12"/>
        <v>5873649330</v>
      </c>
      <c r="AO18" s="95">
        <f t="shared" si="12"/>
        <v>4108896718</v>
      </c>
      <c r="AP18" s="222">
        <f t="shared" si="3"/>
        <v>0.6042612267431222</v>
      </c>
      <c r="AQ18" s="222">
        <f>AL18/AK18</f>
        <v>0.9275716601004871</v>
      </c>
      <c r="AR18" s="222">
        <f t="shared" si="4"/>
        <v>0.6995475022680661</v>
      </c>
      <c r="AS18" s="231">
        <f>AN18-AM18</f>
        <v>972368883</v>
      </c>
      <c r="AU18" s="178">
        <f t="shared" si="6"/>
        <v>14771425</v>
      </c>
      <c r="AV18" s="178">
        <f t="shared" si="7"/>
        <v>0</v>
      </c>
      <c r="AW18" s="601" t="s">
        <v>451</v>
      </c>
      <c r="AX18" s="601"/>
      <c r="AY18" s="601"/>
    </row>
    <row r="19" spans="9:51" s="232" customFormat="1" ht="15.75">
      <c r="I19" s="233"/>
      <c r="J19" s="233"/>
      <c r="K19" s="233"/>
      <c r="O19" s="178">
        <v>1633274499</v>
      </c>
      <c r="P19" s="178">
        <v>2080985120</v>
      </c>
      <c r="Q19" s="178">
        <v>2080985120</v>
      </c>
      <c r="U19" s="234"/>
      <c r="V19" s="234"/>
      <c r="W19" s="234"/>
      <c r="AJ19" s="234"/>
      <c r="AK19" s="234"/>
      <c r="AL19" s="234"/>
      <c r="AM19" s="233"/>
      <c r="AN19" s="233"/>
      <c r="AO19" s="233"/>
      <c r="AP19" s="233"/>
      <c r="AQ19" s="233"/>
      <c r="AW19" s="420">
        <f>O17+AG17</f>
        <v>1633274499</v>
      </c>
      <c r="AX19" s="420">
        <f>P17+AH17</f>
        <v>2268218174</v>
      </c>
      <c r="AY19" s="420">
        <f>Q17+AI17</f>
        <v>2268218174</v>
      </c>
    </row>
    <row r="20" spans="9:45" s="232" customFormat="1" ht="15.75">
      <c r="I20" s="233"/>
      <c r="J20" s="233"/>
      <c r="K20" s="233"/>
      <c r="O20" s="178">
        <f>O19-O17-AG17</f>
        <v>0</v>
      </c>
      <c r="P20" s="178">
        <f>P19-P17-AH17</f>
        <v>-187233054</v>
      </c>
      <c r="Q20" s="178">
        <f>Q19-Q17-AI17</f>
        <v>-187233054</v>
      </c>
      <c r="U20" s="234">
        <f>C18+F18+I18+L18+O18+R18-U18</f>
        <v>0</v>
      </c>
      <c r="V20" s="234">
        <f>D18+G18+J18+M18+P18+S18-V18</f>
        <v>0</v>
      </c>
      <c r="W20" s="234">
        <f>E18+H18+K18+N18+Q18+T18-W18</f>
        <v>0</v>
      </c>
      <c r="AJ20" s="234">
        <f>X18+AA18+AD18+AG18-AJ18</f>
        <v>0</v>
      </c>
      <c r="AK20" s="234">
        <f>Y18+AB18+AE18+AH18-AK18</f>
        <v>0</v>
      </c>
      <c r="AL20" s="234">
        <f>Z18+AC18+AF18+AI18-AL18</f>
        <v>0</v>
      </c>
      <c r="AM20" s="233">
        <f>U18+AJ18-AM18</f>
        <v>0</v>
      </c>
      <c r="AN20" s="233">
        <f>V18+AK18-AN18</f>
        <v>0</v>
      </c>
      <c r="AO20" s="233">
        <f>W18+AL18-AO18</f>
        <v>0</v>
      </c>
      <c r="AP20" s="233"/>
      <c r="AQ20" s="233"/>
      <c r="AS20" s="232" t="s">
        <v>325</v>
      </c>
    </row>
    <row r="21" spans="2:41" s="235" customFormat="1" ht="15">
      <c r="B21" s="235" t="s">
        <v>326</v>
      </c>
      <c r="C21" s="235">
        <v>1347227038</v>
      </c>
      <c r="D21" s="235">
        <v>1383747213</v>
      </c>
      <c r="E21" s="235">
        <f>756324951+556517</f>
        <v>756881468</v>
      </c>
      <c r="F21" s="235">
        <v>580041000</v>
      </c>
      <c r="G21" s="235">
        <v>580041000</v>
      </c>
      <c r="H21" s="235">
        <v>240906523</v>
      </c>
      <c r="I21" s="235">
        <v>451546000</v>
      </c>
      <c r="J21" s="235">
        <v>466364522</v>
      </c>
      <c r="K21" s="235">
        <v>211001575</v>
      </c>
      <c r="L21" s="235">
        <f>712294530+43226455</f>
        <v>755520985</v>
      </c>
      <c r="M21" s="235">
        <f>797001402+43226455</f>
        <v>840227857</v>
      </c>
      <c r="N21" s="235">
        <f>415696120+6521980</f>
        <v>422218100</v>
      </c>
      <c r="O21" s="235">
        <v>1653149499</v>
      </c>
      <c r="P21" s="235">
        <f>2216508293+187233054</f>
        <v>2403741347</v>
      </c>
      <c r="Q21" s="235">
        <f>2216508293+187233054</f>
        <v>2403741347</v>
      </c>
      <c r="R21" s="235">
        <v>589916437</v>
      </c>
      <c r="S21" s="235">
        <v>571272129</v>
      </c>
      <c r="T21" s="235">
        <v>287535233</v>
      </c>
      <c r="U21" s="236"/>
      <c r="V21" s="236"/>
      <c r="W21" s="236"/>
      <c r="X21" s="235">
        <f>36111925+37184000</f>
        <v>73295925</v>
      </c>
      <c r="Y21" s="235">
        <f>121843391+37184000</f>
        <v>159027391</v>
      </c>
      <c r="Z21" s="235">
        <f>66662128+5829608</f>
        <v>72491736</v>
      </c>
      <c r="AA21" s="235">
        <v>40500000</v>
      </c>
      <c r="AB21" s="235">
        <v>40500000</v>
      </c>
      <c r="AC21" s="235">
        <v>1655969</v>
      </c>
      <c r="AJ21" s="236"/>
      <c r="AK21" s="236"/>
      <c r="AL21" s="236"/>
      <c r="AM21" s="235">
        <f>3248130948+2243065936</f>
        <v>5491196884</v>
      </c>
      <c r="AN21" s="235">
        <f>3469907983+2975013476</f>
        <v>6444921459</v>
      </c>
      <c r="AO21" s="235">
        <f>1705155371+2691276580</f>
        <v>4396431951</v>
      </c>
    </row>
    <row r="22" spans="3:41" s="235" customFormat="1" ht="15">
      <c r="C22" s="235">
        <f aca="true" t="shared" si="13" ref="C22:J22">C18-C21</f>
        <v>0</v>
      </c>
      <c r="D22" s="235">
        <f t="shared" si="13"/>
        <v>0</v>
      </c>
      <c r="E22" s="235">
        <f t="shared" si="13"/>
        <v>0</v>
      </c>
      <c r="F22" s="235">
        <f t="shared" si="13"/>
        <v>0</v>
      </c>
      <c r="G22" s="235">
        <f t="shared" si="13"/>
        <v>0</v>
      </c>
      <c r="H22" s="235">
        <f t="shared" si="13"/>
        <v>0</v>
      </c>
      <c r="I22" s="235">
        <f t="shared" si="13"/>
        <v>0</v>
      </c>
      <c r="J22" s="235">
        <f t="shared" si="13"/>
        <v>0</v>
      </c>
      <c r="K22" s="235">
        <f>K18-K21</f>
        <v>0</v>
      </c>
      <c r="L22" s="235">
        <f>L18-L21</f>
        <v>0</v>
      </c>
      <c r="M22" s="235">
        <f>M18-M21</f>
        <v>0</v>
      </c>
      <c r="N22" s="235">
        <f>N18-N21</f>
        <v>0</v>
      </c>
      <c r="O22" s="235">
        <f>O18-O21+AG17</f>
        <v>0</v>
      </c>
      <c r="P22" s="235">
        <f>P18-P21+AH17</f>
        <v>0</v>
      </c>
      <c r="Q22" s="235">
        <f>Q18-Q21+AI17</f>
        <v>0</v>
      </c>
      <c r="R22" s="235">
        <f>R18-R21-R17</f>
        <v>0</v>
      </c>
      <c r="S22" s="235">
        <f>S18-S21-S17</f>
        <v>0</v>
      </c>
      <c r="T22" s="235">
        <f>T18-T21-T17</f>
        <v>0</v>
      </c>
      <c r="U22" s="236"/>
      <c r="V22" s="236"/>
      <c r="W22" s="236"/>
      <c r="X22" s="235">
        <f aca="true" t="shared" si="14" ref="X22:AF22">X21-X18</f>
        <v>0</v>
      </c>
      <c r="Y22" s="235">
        <f t="shared" si="14"/>
        <v>0</v>
      </c>
      <c r="Z22" s="235">
        <f t="shared" si="14"/>
        <v>0</v>
      </c>
      <c r="AA22" s="235">
        <f t="shared" si="14"/>
        <v>0</v>
      </c>
      <c r="AB22" s="235">
        <f t="shared" si="14"/>
        <v>0</v>
      </c>
      <c r="AC22" s="235">
        <f t="shared" si="14"/>
        <v>0</v>
      </c>
      <c r="AD22" s="235">
        <f t="shared" si="14"/>
        <v>0</v>
      </c>
      <c r="AE22" s="235">
        <f t="shared" si="14"/>
        <v>0</v>
      </c>
      <c r="AF22" s="235">
        <f t="shared" si="14"/>
        <v>0</v>
      </c>
      <c r="AJ22" s="236"/>
      <c r="AK22" s="236"/>
      <c r="AL22" s="236"/>
      <c r="AM22" s="235">
        <f>AM21-AM18</f>
        <v>589916437</v>
      </c>
      <c r="AN22" s="235">
        <f>AN21-AN18</f>
        <v>571272129</v>
      </c>
      <c r="AO22" s="235">
        <f>AO21-AO18</f>
        <v>287535233</v>
      </c>
    </row>
    <row r="23" spans="21:51" s="90" customFormat="1" ht="16.5" thickBot="1">
      <c r="U23" s="237"/>
      <c r="V23" s="237"/>
      <c r="W23" s="237"/>
      <c r="AJ23" s="237"/>
      <c r="AK23" s="237"/>
      <c r="AL23" s="237"/>
      <c r="AW23" s="235">
        <v>5606225399</v>
      </c>
      <c r="AX23" s="235">
        <v>6376129792</v>
      </c>
      <c r="AY23" s="235">
        <v>3154180985</v>
      </c>
    </row>
    <row r="24" spans="1:51" s="90" customFormat="1" ht="25.5" customHeight="1">
      <c r="A24" s="585" t="s">
        <v>10</v>
      </c>
      <c r="B24" s="588" t="s">
        <v>11</v>
      </c>
      <c r="C24" s="590" t="s">
        <v>12</v>
      </c>
      <c r="D24" s="591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2" t="s">
        <v>146</v>
      </c>
      <c r="V24" s="593"/>
      <c r="W24" s="594"/>
      <c r="X24" s="591" t="s">
        <v>13</v>
      </c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2" t="s">
        <v>182</v>
      </c>
      <c r="AK24" s="593"/>
      <c r="AL24" s="594" t="s">
        <v>182</v>
      </c>
      <c r="AM24" s="568" t="s">
        <v>14</v>
      </c>
      <c r="AN24" s="569"/>
      <c r="AO24" s="570" t="s">
        <v>14</v>
      </c>
      <c r="AP24" s="205"/>
      <c r="AQ24" s="205"/>
      <c r="AW24" s="235">
        <f>AW23-AM21</f>
        <v>115028515</v>
      </c>
      <c r="AX24" s="235">
        <f>AX23-AN21</f>
        <v>-68791667</v>
      </c>
      <c r="AY24" s="235">
        <f>AY23-AO21</f>
        <v>-1242250966</v>
      </c>
    </row>
    <row r="25" spans="1:43" s="90" customFormat="1" ht="15.75">
      <c r="A25" s="586"/>
      <c r="B25" s="589"/>
      <c r="C25" s="574" t="s">
        <v>207</v>
      </c>
      <c r="D25" s="575"/>
      <c r="E25" s="576"/>
      <c r="F25" s="574" t="s">
        <v>208</v>
      </c>
      <c r="G25" s="575"/>
      <c r="H25" s="576"/>
      <c r="I25" s="574" t="s">
        <v>209</v>
      </c>
      <c r="J25" s="575"/>
      <c r="K25" s="576"/>
      <c r="L25" s="574" t="s">
        <v>316</v>
      </c>
      <c r="M25" s="575"/>
      <c r="N25" s="576"/>
      <c r="O25" s="580"/>
      <c r="P25" s="580"/>
      <c r="Q25" s="580"/>
      <c r="R25" s="580"/>
      <c r="S25" s="580"/>
      <c r="T25" s="580"/>
      <c r="U25" s="595"/>
      <c r="V25" s="596"/>
      <c r="W25" s="597"/>
      <c r="X25" s="575" t="s">
        <v>317</v>
      </c>
      <c r="Y25" s="575"/>
      <c r="Z25" s="576"/>
      <c r="AA25" s="574" t="s">
        <v>212</v>
      </c>
      <c r="AB25" s="575"/>
      <c r="AC25" s="576"/>
      <c r="AD25" s="584" t="s">
        <v>210</v>
      </c>
      <c r="AE25" s="580"/>
      <c r="AF25" s="580"/>
      <c r="AG25" s="580"/>
      <c r="AH25" s="580"/>
      <c r="AI25" s="580"/>
      <c r="AJ25" s="595"/>
      <c r="AK25" s="596"/>
      <c r="AL25" s="597"/>
      <c r="AM25" s="571"/>
      <c r="AN25" s="572"/>
      <c r="AO25" s="573"/>
      <c r="AP25" s="205"/>
      <c r="AQ25" s="205"/>
    </row>
    <row r="26" spans="1:43" s="90" customFormat="1" ht="15.75" customHeight="1">
      <c r="A26" s="586"/>
      <c r="B26" s="589"/>
      <c r="C26" s="577"/>
      <c r="D26" s="578"/>
      <c r="E26" s="579"/>
      <c r="F26" s="577"/>
      <c r="G26" s="578"/>
      <c r="H26" s="579"/>
      <c r="I26" s="577"/>
      <c r="J26" s="578"/>
      <c r="K26" s="579"/>
      <c r="L26" s="577"/>
      <c r="M26" s="578"/>
      <c r="N26" s="579"/>
      <c r="O26" s="584" t="s">
        <v>327</v>
      </c>
      <c r="P26" s="580"/>
      <c r="Q26" s="571"/>
      <c r="R26" s="584" t="s">
        <v>211</v>
      </c>
      <c r="S26" s="580"/>
      <c r="T26" s="580"/>
      <c r="U26" s="595"/>
      <c r="V26" s="596"/>
      <c r="W26" s="597"/>
      <c r="X26" s="581"/>
      <c r="Y26" s="581"/>
      <c r="Z26" s="582"/>
      <c r="AA26" s="583"/>
      <c r="AB26" s="581"/>
      <c r="AC26" s="582"/>
      <c r="AD26" s="584" t="s">
        <v>321</v>
      </c>
      <c r="AE26" s="580"/>
      <c r="AF26" s="571"/>
      <c r="AG26" s="584" t="s">
        <v>322</v>
      </c>
      <c r="AH26" s="580"/>
      <c r="AI26" s="580"/>
      <c r="AJ26" s="595"/>
      <c r="AK26" s="596"/>
      <c r="AL26" s="597"/>
      <c r="AM26" s="571"/>
      <c r="AN26" s="572"/>
      <c r="AO26" s="573"/>
      <c r="AP26" s="205"/>
      <c r="AQ26" s="205"/>
    </row>
    <row r="27" spans="1:43" s="90" customFormat="1" ht="28.5">
      <c r="A27" s="587"/>
      <c r="B27" s="589"/>
      <c r="C27" s="213"/>
      <c r="D27" s="213"/>
      <c r="E27" s="213" t="s">
        <v>94</v>
      </c>
      <c r="F27" s="213"/>
      <c r="G27" s="213"/>
      <c r="H27" s="213" t="s">
        <v>94</v>
      </c>
      <c r="I27" s="213"/>
      <c r="J27" s="213"/>
      <c r="K27" s="213" t="s">
        <v>94</v>
      </c>
      <c r="L27" s="213"/>
      <c r="M27" s="213"/>
      <c r="N27" s="213" t="s">
        <v>94</v>
      </c>
      <c r="O27" s="213"/>
      <c r="P27" s="213"/>
      <c r="Q27" s="213" t="s">
        <v>94</v>
      </c>
      <c r="R27" s="213"/>
      <c r="S27" s="213"/>
      <c r="T27" s="217" t="s">
        <v>94</v>
      </c>
      <c r="U27" s="218"/>
      <c r="V27" s="214"/>
      <c r="W27" s="215" t="s">
        <v>94</v>
      </c>
      <c r="X27" s="216"/>
      <c r="Y27" s="213"/>
      <c r="Z27" s="213" t="s">
        <v>94</v>
      </c>
      <c r="AA27" s="213"/>
      <c r="AB27" s="213"/>
      <c r="AC27" s="213" t="s">
        <v>94</v>
      </c>
      <c r="AD27" s="213"/>
      <c r="AE27" s="213"/>
      <c r="AF27" s="213" t="s">
        <v>94</v>
      </c>
      <c r="AG27" s="213"/>
      <c r="AH27" s="213"/>
      <c r="AI27" s="217" t="s">
        <v>94</v>
      </c>
      <c r="AJ27" s="218"/>
      <c r="AK27" s="214"/>
      <c r="AL27" s="215" t="s">
        <v>94</v>
      </c>
      <c r="AM27" s="216" t="s">
        <v>142</v>
      </c>
      <c r="AN27" s="213" t="s">
        <v>323</v>
      </c>
      <c r="AO27" s="220" t="s">
        <v>94</v>
      </c>
      <c r="AP27" s="238"/>
      <c r="AQ27" s="238"/>
    </row>
    <row r="28" spans="1:43" s="90" customFormat="1" ht="71.25" customHeight="1">
      <c r="A28" s="53" t="s">
        <v>15</v>
      </c>
      <c r="B28" s="111" t="s">
        <v>183</v>
      </c>
      <c r="C28" s="239"/>
      <c r="D28" s="239"/>
      <c r="E28" s="239"/>
      <c r="F28" s="239"/>
      <c r="G28" s="239"/>
      <c r="H28" s="239"/>
      <c r="I28" s="239"/>
      <c r="J28" s="239"/>
      <c r="K28" s="240">
        <f aca="true" t="shared" si="15" ref="K28:K35">K11/J11</f>
        <v>0.33398762210769195</v>
      </c>
      <c r="L28" s="239"/>
      <c r="M28" s="239"/>
      <c r="N28" s="240">
        <f>N11/M11</f>
        <v>0.5316090688017772</v>
      </c>
      <c r="O28" s="239"/>
      <c r="P28" s="239"/>
      <c r="Q28" s="240">
        <f>Q11/P11</f>
        <v>1</v>
      </c>
      <c r="R28" s="239"/>
      <c r="S28" s="239"/>
      <c r="T28" s="240">
        <f>T11/S11</f>
        <v>0.5275252793344403</v>
      </c>
      <c r="U28" s="241"/>
      <c r="V28" s="242"/>
      <c r="W28" s="243">
        <f>W11/V11</f>
        <v>0.5656373624040517</v>
      </c>
      <c r="X28" s="244"/>
      <c r="Y28" s="239"/>
      <c r="Z28" s="240"/>
      <c r="AA28" s="239"/>
      <c r="AB28" s="239"/>
      <c r="AC28" s="240"/>
      <c r="AD28" s="239"/>
      <c r="AE28" s="239"/>
      <c r="AF28" s="240"/>
      <c r="AG28" s="239"/>
      <c r="AH28" s="239"/>
      <c r="AI28" s="240"/>
      <c r="AJ28" s="245"/>
      <c r="AK28" s="246"/>
      <c r="AL28" s="247"/>
      <c r="AM28" s="248"/>
      <c r="AN28" s="249"/>
      <c r="AO28" s="250">
        <f aca="true" t="shared" si="16" ref="AO28:AO35">AO11/AN11</f>
        <v>0.5656373624040517</v>
      </c>
      <c r="AP28" s="251"/>
      <c r="AQ28" s="251"/>
    </row>
    <row r="29" spans="1:43" s="90" customFormat="1" ht="56.25" customHeight="1">
      <c r="A29" s="53" t="s">
        <v>21</v>
      </c>
      <c r="B29" s="111" t="s">
        <v>24</v>
      </c>
      <c r="C29" s="239"/>
      <c r="D29" s="239"/>
      <c r="E29" s="239"/>
      <c r="F29" s="239"/>
      <c r="G29" s="239"/>
      <c r="H29" s="239"/>
      <c r="I29" s="239"/>
      <c r="J29" s="239"/>
      <c r="K29" s="240">
        <f t="shared" si="15"/>
        <v>0.22515349199288257</v>
      </c>
      <c r="L29" s="239"/>
      <c r="M29" s="239"/>
      <c r="N29" s="240">
        <f aca="true" t="shared" si="17" ref="N29:N34">N12/M12</f>
        <v>1</v>
      </c>
      <c r="O29" s="239"/>
      <c r="P29" s="239"/>
      <c r="Q29" s="240">
        <f aca="true" t="shared" si="18" ref="Q29:Q34">Q12/P12</f>
        <v>1</v>
      </c>
      <c r="R29" s="239"/>
      <c r="S29" s="239"/>
      <c r="T29" s="240">
        <f aca="true" t="shared" si="19" ref="T29:T34">T12/S12</f>
        <v>0.6040870360745592</v>
      </c>
      <c r="U29" s="241"/>
      <c r="V29" s="242"/>
      <c r="W29" s="243">
        <f aca="true" t="shared" si="20" ref="W29:W34">W12/V12</f>
        <v>0.5935323213919752</v>
      </c>
      <c r="X29" s="244"/>
      <c r="Y29" s="239"/>
      <c r="Z29" s="240"/>
      <c r="AA29" s="239"/>
      <c r="AB29" s="239"/>
      <c r="AC29" s="240"/>
      <c r="AD29" s="239"/>
      <c r="AE29" s="239"/>
      <c r="AF29" s="240"/>
      <c r="AG29" s="239"/>
      <c r="AH29" s="239"/>
      <c r="AI29" s="240"/>
      <c r="AJ29" s="245"/>
      <c r="AK29" s="246"/>
      <c r="AL29" s="247"/>
      <c r="AM29" s="248"/>
      <c r="AN29" s="249"/>
      <c r="AO29" s="250">
        <f t="shared" si="16"/>
        <v>0.5935323213919752</v>
      </c>
      <c r="AP29" s="251"/>
      <c r="AQ29" s="251"/>
    </row>
    <row r="30" spans="1:43" s="90" customFormat="1" ht="18.75">
      <c r="A30" s="53" t="s">
        <v>22</v>
      </c>
      <c r="B30" s="111" t="s">
        <v>28</v>
      </c>
      <c r="C30" s="239"/>
      <c r="D30" s="239"/>
      <c r="E30" s="239"/>
      <c r="F30" s="239"/>
      <c r="G30" s="239"/>
      <c r="H30" s="239"/>
      <c r="I30" s="239"/>
      <c r="J30" s="239"/>
      <c r="K30" s="240">
        <f t="shared" si="15"/>
        <v>0.5770700315457413</v>
      </c>
      <c r="L30" s="239"/>
      <c r="M30" s="239"/>
      <c r="N30" s="240">
        <f t="shared" si="17"/>
        <v>1</v>
      </c>
      <c r="O30" s="239"/>
      <c r="P30" s="239"/>
      <c r="Q30" s="240">
        <f t="shared" si="18"/>
        <v>1</v>
      </c>
      <c r="R30" s="239"/>
      <c r="S30" s="239"/>
      <c r="T30" s="240">
        <f t="shared" si="19"/>
        <v>0.4753843570445034</v>
      </c>
      <c r="U30" s="241"/>
      <c r="V30" s="242"/>
      <c r="W30" s="243">
        <f t="shared" si="20"/>
        <v>0.6036756385386356</v>
      </c>
      <c r="X30" s="244"/>
      <c r="Y30" s="239"/>
      <c r="Z30" s="240"/>
      <c r="AA30" s="239"/>
      <c r="AB30" s="239"/>
      <c r="AC30" s="240"/>
      <c r="AD30" s="239"/>
      <c r="AE30" s="239"/>
      <c r="AF30" s="240"/>
      <c r="AG30" s="239"/>
      <c r="AH30" s="239"/>
      <c r="AI30" s="240"/>
      <c r="AJ30" s="245"/>
      <c r="AK30" s="246"/>
      <c r="AL30" s="247"/>
      <c r="AM30" s="248"/>
      <c r="AN30" s="249"/>
      <c r="AO30" s="250">
        <f t="shared" si="16"/>
        <v>0.6036756385386356</v>
      </c>
      <c r="AP30" s="251"/>
      <c r="AQ30" s="251"/>
    </row>
    <row r="31" spans="1:43" s="90" customFormat="1" ht="19.5" thickBot="1">
      <c r="A31" s="223" t="s">
        <v>51</v>
      </c>
      <c r="B31" s="224" t="s">
        <v>26</v>
      </c>
      <c r="C31" s="252"/>
      <c r="D31" s="252"/>
      <c r="E31" s="252"/>
      <c r="F31" s="252"/>
      <c r="G31" s="252"/>
      <c r="H31" s="252"/>
      <c r="I31" s="252"/>
      <c r="J31" s="252"/>
      <c r="K31" s="240">
        <f t="shared" si="15"/>
        <v>0.8988205714285714</v>
      </c>
      <c r="L31" s="252"/>
      <c r="M31" s="252"/>
      <c r="N31" s="240">
        <f t="shared" si="17"/>
        <v>1</v>
      </c>
      <c r="O31" s="252"/>
      <c r="P31" s="252"/>
      <c r="Q31" s="240">
        <f t="shared" si="18"/>
        <v>1</v>
      </c>
      <c r="R31" s="252"/>
      <c r="S31" s="252"/>
      <c r="T31" s="240">
        <f t="shared" si="19"/>
        <v>0.47958318893446966</v>
      </c>
      <c r="U31" s="253"/>
      <c r="V31" s="254"/>
      <c r="W31" s="243">
        <f t="shared" si="20"/>
        <v>0.5975213083486257</v>
      </c>
      <c r="X31" s="255"/>
      <c r="Y31" s="252"/>
      <c r="Z31" s="240"/>
      <c r="AA31" s="252"/>
      <c r="AB31" s="252"/>
      <c r="AC31" s="240"/>
      <c r="AD31" s="252"/>
      <c r="AE31" s="252"/>
      <c r="AF31" s="240"/>
      <c r="AG31" s="252"/>
      <c r="AH31" s="252"/>
      <c r="AI31" s="240"/>
      <c r="AJ31" s="256"/>
      <c r="AK31" s="257"/>
      <c r="AL31" s="247"/>
      <c r="AM31" s="258"/>
      <c r="AN31" s="259"/>
      <c r="AO31" s="250">
        <f t="shared" si="16"/>
        <v>0.5975213083486257</v>
      </c>
      <c r="AP31" s="251"/>
      <c r="AQ31" s="251"/>
    </row>
    <row r="32" spans="1:43" s="90" customFormat="1" ht="32.25" thickBot="1">
      <c r="A32" s="225" t="s">
        <v>53</v>
      </c>
      <c r="B32" s="226" t="s">
        <v>29</v>
      </c>
      <c r="C32" s="260"/>
      <c r="D32" s="260"/>
      <c r="E32" s="260"/>
      <c r="F32" s="260"/>
      <c r="G32" s="260"/>
      <c r="H32" s="260"/>
      <c r="I32" s="260"/>
      <c r="J32" s="260"/>
      <c r="K32" s="227">
        <f t="shared" si="15"/>
        <v>0.30903431626264705</v>
      </c>
      <c r="L32" s="260"/>
      <c r="M32" s="260"/>
      <c r="N32" s="227">
        <f t="shared" si="17"/>
        <v>0.5519197456174175</v>
      </c>
      <c r="O32" s="260"/>
      <c r="P32" s="260"/>
      <c r="Q32" s="227">
        <f t="shared" si="18"/>
        <v>1</v>
      </c>
      <c r="R32" s="260"/>
      <c r="S32" s="260"/>
      <c r="T32" s="227">
        <f t="shared" si="19"/>
        <v>0.5374298780563673</v>
      </c>
      <c r="U32" s="261"/>
      <c r="V32" s="262"/>
      <c r="W32" s="263">
        <f t="shared" si="20"/>
        <v>0.5719922836685845</v>
      </c>
      <c r="X32" s="264"/>
      <c r="Y32" s="260"/>
      <c r="Z32" s="227"/>
      <c r="AA32" s="260"/>
      <c r="AB32" s="260"/>
      <c r="AC32" s="227"/>
      <c r="AD32" s="260"/>
      <c r="AE32" s="260"/>
      <c r="AF32" s="227"/>
      <c r="AG32" s="260"/>
      <c r="AH32" s="260"/>
      <c r="AI32" s="227"/>
      <c r="AJ32" s="265"/>
      <c r="AK32" s="266"/>
      <c r="AL32" s="267"/>
      <c r="AM32" s="268"/>
      <c r="AN32" s="269"/>
      <c r="AO32" s="228">
        <f t="shared" si="16"/>
        <v>0.5719922836685845</v>
      </c>
      <c r="AP32" s="270"/>
      <c r="AQ32" s="270"/>
    </row>
    <row r="33" spans="1:43" s="90" customFormat="1" ht="36" customHeight="1">
      <c r="A33" s="229" t="s">
        <v>47</v>
      </c>
      <c r="B33" s="230" t="s">
        <v>31</v>
      </c>
      <c r="C33" s="271"/>
      <c r="D33" s="271"/>
      <c r="E33" s="271"/>
      <c r="F33" s="271"/>
      <c r="G33" s="271"/>
      <c r="H33" s="271"/>
      <c r="I33" s="271"/>
      <c r="J33" s="271"/>
      <c r="K33" s="240">
        <f t="shared" si="15"/>
        <v>0.3856038474943553</v>
      </c>
      <c r="L33" s="271"/>
      <c r="M33" s="271"/>
      <c r="N33" s="240"/>
      <c r="O33" s="271"/>
      <c r="P33" s="271"/>
      <c r="Q33" s="240">
        <f t="shared" si="18"/>
        <v>1</v>
      </c>
      <c r="R33" s="271"/>
      <c r="S33" s="271"/>
      <c r="T33" s="240">
        <f t="shared" si="19"/>
        <v>0.48742562441001885</v>
      </c>
      <c r="U33" s="272"/>
      <c r="V33" s="273"/>
      <c r="W33" s="243">
        <f t="shared" si="20"/>
        <v>0.46815009940084484</v>
      </c>
      <c r="X33" s="274"/>
      <c r="Y33" s="271"/>
      <c r="Z33" s="240"/>
      <c r="AA33" s="271"/>
      <c r="AB33" s="271"/>
      <c r="AC33" s="240"/>
      <c r="AD33" s="271"/>
      <c r="AE33" s="271"/>
      <c r="AF33" s="240"/>
      <c r="AG33" s="275"/>
      <c r="AH33" s="275"/>
      <c r="AI33" s="240"/>
      <c r="AJ33" s="276"/>
      <c r="AK33" s="277"/>
      <c r="AL33" s="247"/>
      <c r="AM33" s="278"/>
      <c r="AN33" s="275"/>
      <c r="AO33" s="250">
        <f t="shared" si="16"/>
        <v>0.46923713953059726</v>
      </c>
      <c r="AP33" s="251"/>
      <c r="AQ33" s="251"/>
    </row>
    <row r="34" spans="1:43" s="90" customFormat="1" ht="27" customHeight="1" thickBot="1">
      <c r="A34" s="223" t="s">
        <v>23</v>
      </c>
      <c r="B34" s="224" t="s">
        <v>33</v>
      </c>
      <c r="C34" s="252"/>
      <c r="D34" s="252"/>
      <c r="E34" s="240">
        <f>E17/D17</f>
        <v>0.5469795789933779</v>
      </c>
      <c r="F34" s="252"/>
      <c r="G34" s="252"/>
      <c r="H34" s="240">
        <f>H17/G17</f>
        <v>0.4153267148356754</v>
      </c>
      <c r="I34" s="252"/>
      <c r="J34" s="252"/>
      <c r="K34" s="240">
        <f t="shared" si="15"/>
        <v>0.6026760201049829</v>
      </c>
      <c r="L34" s="252"/>
      <c r="M34" s="252"/>
      <c r="N34" s="240">
        <f t="shared" si="17"/>
        <v>0.3835386880691678</v>
      </c>
      <c r="O34" s="252"/>
      <c r="P34" s="252"/>
      <c r="Q34" s="240">
        <f t="shared" si="18"/>
        <v>1</v>
      </c>
      <c r="R34" s="252"/>
      <c r="S34" s="252"/>
      <c r="T34" s="240">
        <f t="shared" si="19"/>
        <v>0.5033244550251812</v>
      </c>
      <c r="U34" s="253"/>
      <c r="V34" s="254"/>
      <c r="W34" s="243">
        <f t="shared" si="20"/>
        <v>0.6453653424415072</v>
      </c>
      <c r="X34" s="279"/>
      <c r="Y34" s="280"/>
      <c r="Z34" s="240">
        <f>Z17/Y17</f>
        <v>0.45226005122601803</v>
      </c>
      <c r="AA34" s="280"/>
      <c r="AB34" s="280"/>
      <c r="AC34" s="240">
        <f>AC17/AB17</f>
        <v>0.04079091358024691</v>
      </c>
      <c r="AD34" s="252"/>
      <c r="AE34" s="252"/>
      <c r="AF34" s="240" t="e">
        <f>AF17/AE17</f>
        <v>#DIV/0!</v>
      </c>
      <c r="AG34" s="259"/>
      <c r="AH34" s="259"/>
      <c r="AI34" s="240">
        <f>AI17/AH17</f>
        <v>1</v>
      </c>
      <c r="AJ34" s="256"/>
      <c r="AK34" s="257"/>
      <c r="AL34" s="247">
        <f>AL17/AK17</f>
        <v>0.9272401127386847</v>
      </c>
      <c r="AM34" s="258"/>
      <c r="AN34" s="259"/>
      <c r="AO34" s="250">
        <f t="shared" si="16"/>
        <v>0.7588369978551703</v>
      </c>
      <c r="AP34" s="251"/>
      <c r="AQ34" s="251"/>
    </row>
    <row r="35" spans="1:43" s="90" customFormat="1" ht="36" customHeight="1" thickBot="1">
      <c r="A35" s="225" t="s">
        <v>25</v>
      </c>
      <c r="B35" s="226" t="s">
        <v>35</v>
      </c>
      <c r="C35" s="260"/>
      <c r="D35" s="260"/>
      <c r="E35" s="227">
        <f>E18/D18</f>
        <v>0.5469795789933779</v>
      </c>
      <c r="F35" s="260"/>
      <c r="G35" s="260"/>
      <c r="H35" s="227">
        <f>H18/G18</f>
        <v>0.4153267148356754</v>
      </c>
      <c r="I35" s="260"/>
      <c r="J35" s="260"/>
      <c r="K35" s="227">
        <f t="shared" si="15"/>
        <v>0.45243916517303173</v>
      </c>
      <c r="L35" s="260"/>
      <c r="M35" s="260"/>
      <c r="N35" s="227">
        <f>N18/M18</f>
        <v>0.5025042867627751</v>
      </c>
      <c r="O35" s="260"/>
      <c r="P35" s="260"/>
      <c r="Q35" s="227">
        <f>Q18/P18</f>
        <v>1</v>
      </c>
      <c r="R35" s="260"/>
      <c r="S35" s="260"/>
      <c r="T35" s="227"/>
      <c r="U35" s="261"/>
      <c r="V35" s="262"/>
      <c r="W35" s="263">
        <f>W18/V18</f>
        <v>0.6042612267431222</v>
      </c>
      <c r="X35" s="264"/>
      <c r="Y35" s="260"/>
      <c r="Z35" s="227">
        <f>Z18/Y18</f>
        <v>0.4558443394194903</v>
      </c>
      <c r="AA35" s="260"/>
      <c r="AB35" s="260"/>
      <c r="AC35" s="227">
        <f>AC18/AB18</f>
        <v>0.040888123456790125</v>
      </c>
      <c r="AD35" s="260"/>
      <c r="AE35" s="260"/>
      <c r="AF35" s="227" t="e">
        <f>AF18/AE18</f>
        <v>#DIV/0!</v>
      </c>
      <c r="AG35" s="260"/>
      <c r="AH35" s="260"/>
      <c r="AI35" s="227">
        <f>AI18/AH18</f>
        <v>1</v>
      </c>
      <c r="AJ35" s="265"/>
      <c r="AK35" s="266"/>
      <c r="AL35" s="267">
        <f>AL18/AK18</f>
        <v>0.9275716601004871</v>
      </c>
      <c r="AM35" s="268"/>
      <c r="AN35" s="269"/>
      <c r="AO35" s="228">
        <f t="shared" si="16"/>
        <v>0.6995475022680661</v>
      </c>
      <c r="AP35" s="270"/>
      <c r="AQ35" s="270"/>
    </row>
    <row r="36" spans="21:38" s="90" customFormat="1" ht="15.75">
      <c r="U36" s="237"/>
      <c r="V36" s="237"/>
      <c r="W36" s="237"/>
      <c r="AJ36" s="237"/>
      <c r="AK36" s="237"/>
      <c r="AL36" s="237"/>
    </row>
    <row r="37" spans="2:38" s="90" customFormat="1" ht="15.75">
      <c r="B37" s="281" t="s">
        <v>328</v>
      </c>
      <c r="U37" s="237"/>
      <c r="V37" s="237"/>
      <c r="W37" s="237"/>
      <c r="AJ37" s="237"/>
      <c r="AK37" s="237"/>
      <c r="AL37" s="237"/>
    </row>
    <row r="38" spans="2:38" s="232" customFormat="1" ht="15.75">
      <c r="B38" s="232" t="s">
        <v>310</v>
      </c>
      <c r="E38" s="282"/>
      <c r="K38" s="233">
        <f>(50-22.35)/100*J17</f>
        <v>53458930.833</v>
      </c>
      <c r="U38" s="283"/>
      <c r="V38" s="283"/>
      <c r="W38" s="283"/>
      <c r="AJ38" s="283"/>
      <c r="AK38" s="283"/>
      <c r="AL38" s="283"/>
    </row>
    <row r="39" spans="3:4" ht="15.75">
      <c r="C39" s="172"/>
      <c r="D39" s="172"/>
    </row>
    <row r="41" spans="2:11" ht="22.5" customHeight="1">
      <c r="B41" s="76" t="s">
        <v>511</v>
      </c>
      <c r="H41" s="233">
        <f>G18*0.5-H18</f>
        <v>49113977</v>
      </c>
      <c r="K41" s="233">
        <f>J18*0.5-K18</f>
        <v>22180686</v>
      </c>
    </row>
  </sheetData>
  <sheetProtection/>
  <mergeCells count="47">
    <mergeCell ref="AW18:AY18"/>
    <mergeCell ref="AJ7:AL9"/>
    <mergeCell ref="I2:L2"/>
    <mergeCell ref="AD8:AI8"/>
    <mergeCell ref="X8:Z9"/>
    <mergeCell ref="AP8:AP10"/>
    <mergeCell ref="AQ8:AQ10"/>
    <mergeCell ref="AP7:AR7"/>
    <mergeCell ref="AA8:AC9"/>
    <mergeCell ref="C3:N3"/>
    <mergeCell ref="A7:A10"/>
    <mergeCell ref="B7:B10"/>
    <mergeCell ref="C7:T7"/>
    <mergeCell ref="U7:W9"/>
    <mergeCell ref="X7:AI7"/>
    <mergeCell ref="C8:E9"/>
    <mergeCell ref="F8:H9"/>
    <mergeCell ref="I8:K9"/>
    <mergeCell ref="L8:N9"/>
    <mergeCell ref="O8:T8"/>
    <mergeCell ref="AJ24:AL26"/>
    <mergeCell ref="R26:T26"/>
    <mergeCell ref="AD26:AF26"/>
    <mergeCell ref="AG26:AI26"/>
    <mergeCell ref="AR8:AR10"/>
    <mergeCell ref="O9:Q9"/>
    <mergeCell ref="R9:T9"/>
    <mergeCell ref="AD9:AF9"/>
    <mergeCell ref="AG9:AI9"/>
    <mergeCell ref="AM7:AO9"/>
    <mergeCell ref="AD25:AI25"/>
    <mergeCell ref="O26:Q26"/>
    <mergeCell ref="A24:A27"/>
    <mergeCell ref="B24:B27"/>
    <mergeCell ref="C24:T24"/>
    <mergeCell ref="U24:W26"/>
    <mergeCell ref="X24:AI24"/>
    <mergeCell ref="O3:W3"/>
    <mergeCell ref="X3:AR3"/>
    <mergeCell ref="AM24:AO26"/>
    <mergeCell ref="C25:E26"/>
    <mergeCell ref="F25:H26"/>
    <mergeCell ref="I25:K26"/>
    <mergeCell ref="L25:N26"/>
    <mergeCell ref="O25:T25"/>
    <mergeCell ref="X25:Z26"/>
    <mergeCell ref="AA25:AC26"/>
  </mergeCells>
  <printOptions/>
  <pageMargins left="0.31496062992125984" right="0.31496062992125984" top="0.5905511811023623" bottom="0.1968503937007874" header="0.5118110236220472" footer="0.31496062992125984"/>
  <pageSetup horizontalDpi="600" verticalDpi="600" orientation="landscape" paperSize="9" scale="50" r:id="rId1"/>
  <colBreaks count="2" manualBreakCount="2">
    <brk id="14" max="17" man="1"/>
    <brk id="23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Q25"/>
  <sheetViews>
    <sheetView zoomScale="90" zoomScaleNormal="90" zoomScalePageLayoutView="0" workbookViewId="0" topLeftCell="B1">
      <selection activeCell="J14" sqref="J13:J14"/>
    </sheetView>
  </sheetViews>
  <sheetFormatPr defaultColWidth="9.140625" defaultRowHeight="12.75"/>
  <cols>
    <col min="1" max="1" width="6.00390625" style="1" customWidth="1"/>
    <col min="2" max="2" width="23.140625" style="1" customWidth="1"/>
    <col min="3" max="3" width="12.7109375" style="1" bestFit="1" customWidth="1"/>
    <col min="4" max="15" width="12.140625" style="1" customWidth="1"/>
    <col min="16" max="16" width="11.28125" style="1" hidden="1" customWidth="1"/>
    <col min="17" max="17" width="13.57421875" style="1" customWidth="1"/>
    <col min="18" max="16384" width="9.140625" style="1" customWidth="1"/>
  </cols>
  <sheetData>
    <row r="2" spans="1:15" ht="15.75">
      <c r="A2" s="5"/>
      <c r="B2" s="711"/>
      <c r="C2" s="711"/>
      <c r="D2" s="712"/>
      <c r="E2" s="712"/>
      <c r="F2" s="712"/>
      <c r="I2" s="713" t="s">
        <v>504</v>
      </c>
      <c r="J2" s="713"/>
      <c r="K2" s="713"/>
      <c r="L2" s="713"/>
      <c r="M2" s="713"/>
      <c r="N2" s="713"/>
      <c r="O2" s="713"/>
    </row>
    <row r="3" ht="12.75">
      <c r="A3" s="5"/>
    </row>
    <row r="4" ht="12.75">
      <c r="A4" s="5"/>
    </row>
    <row r="5" spans="1:15" ht="20.25">
      <c r="A5" s="5"/>
      <c r="B5" s="708" t="s">
        <v>497</v>
      </c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</row>
    <row r="6" spans="1:15" ht="20.25">
      <c r="A6" s="5"/>
      <c r="B6" s="708" t="s">
        <v>133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</row>
    <row r="7" spans="1:15" ht="19.5" customHeight="1">
      <c r="A7" s="5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</row>
    <row r="8" spans="1:15" ht="12.75" customHeight="1">
      <c r="A8" s="5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69"/>
      <c r="N8" s="169"/>
      <c r="O8" s="156" t="s">
        <v>193</v>
      </c>
    </row>
    <row r="9" spans="1:15" ht="12.75" customHeight="1">
      <c r="A9" s="5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7" ht="12.75">
      <c r="A10" s="6"/>
      <c r="B10" s="37" t="s">
        <v>0</v>
      </c>
      <c r="C10" s="37" t="s">
        <v>1</v>
      </c>
      <c r="D10" s="37" t="s">
        <v>2</v>
      </c>
      <c r="E10" s="37" t="s">
        <v>3</v>
      </c>
      <c r="F10" s="37" t="s">
        <v>4</v>
      </c>
      <c r="G10" s="37" t="s">
        <v>5</v>
      </c>
      <c r="H10" s="37" t="s">
        <v>80</v>
      </c>
      <c r="I10" s="37" t="s">
        <v>6</v>
      </c>
      <c r="J10" s="37" t="s">
        <v>7</v>
      </c>
      <c r="K10" s="37" t="s">
        <v>38</v>
      </c>
      <c r="L10" s="37" t="s">
        <v>8</v>
      </c>
      <c r="M10" s="37" t="s">
        <v>91</v>
      </c>
      <c r="N10" s="37" t="s">
        <v>39</v>
      </c>
      <c r="O10" s="37" t="s">
        <v>9</v>
      </c>
      <c r="Q10" s="130"/>
    </row>
    <row r="11" spans="1:17" ht="25.5">
      <c r="A11" s="124" t="s">
        <v>10</v>
      </c>
      <c r="B11" s="125" t="s">
        <v>134</v>
      </c>
      <c r="C11" s="125" t="s">
        <v>119</v>
      </c>
      <c r="D11" s="126" t="s">
        <v>120</v>
      </c>
      <c r="E11" s="126" t="s">
        <v>121</v>
      </c>
      <c r="F11" s="126" t="s">
        <v>122</v>
      </c>
      <c r="G11" s="126" t="s">
        <v>123</v>
      </c>
      <c r="H11" s="126" t="s">
        <v>124</v>
      </c>
      <c r="I11" s="126" t="s">
        <v>125</v>
      </c>
      <c r="J11" s="126" t="s">
        <v>126</v>
      </c>
      <c r="K11" s="126" t="s">
        <v>127</v>
      </c>
      <c r="L11" s="126" t="s">
        <v>128</v>
      </c>
      <c r="M11" s="126" t="s">
        <v>129</v>
      </c>
      <c r="N11" s="126" t="s">
        <v>130</v>
      </c>
      <c r="O11" s="126" t="s">
        <v>131</v>
      </c>
      <c r="Q11" s="130"/>
    </row>
    <row r="12" spans="1:17" ht="27" customHeight="1">
      <c r="A12" s="124" t="s">
        <v>15</v>
      </c>
      <c r="B12" s="127" t="s">
        <v>41</v>
      </c>
      <c r="C12" s="128">
        <f>2!D18</f>
        <v>1214627037</v>
      </c>
      <c r="D12" s="129">
        <f aca="true" t="shared" si="0" ref="D12:D19">C12/12</f>
        <v>101218919.75</v>
      </c>
      <c r="E12" s="129">
        <f aca="true" t="shared" si="1" ref="E12:E19">D12</f>
        <v>101218919.75</v>
      </c>
      <c r="F12" s="129">
        <f aca="true" t="shared" si="2" ref="F12:N12">E12</f>
        <v>101218919.75</v>
      </c>
      <c r="G12" s="129">
        <f t="shared" si="2"/>
        <v>101218919.75</v>
      </c>
      <c r="H12" s="129">
        <f t="shared" si="2"/>
        <v>101218919.75</v>
      </c>
      <c r="I12" s="129">
        <f t="shared" si="2"/>
        <v>101218919.75</v>
      </c>
      <c r="J12" s="129">
        <f t="shared" si="2"/>
        <v>101218919.75</v>
      </c>
      <c r="K12" s="129">
        <f t="shared" si="2"/>
        <v>101218919.75</v>
      </c>
      <c r="L12" s="129">
        <f t="shared" si="2"/>
        <v>101218919.75</v>
      </c>
      <c r="M12" s="129">
        <f t="shared" si="2"/>
        <v>101218919.75</v>
      </c>
      <c r="N12" s="129">
        <f t="shared" si="2"/>
        <v>101218919.75</v>
      </c>
      <c r="O12" s="129">
        <f>N12-4</f>
        <v>101218915.75</v>
      </c>
      <c r="P12" s="130">
        <f>SUM(D12:O12)-C12</f>
        <v>-4</v>
      </c>
      <c r="Q12" s="130"/>
    </row>
    <row r="13" spans="1:17" ht="27" customHeight="1">
      <c r="A13" s="124" t="s">
        <v>21</v>
      </c>
      <c r="B13" s="127" t="s">
        <v>135</v>
      </c>
      <c r="C13" s="128">
        <f>2!G18</f>
        <v>190243342</v>
      </c>
      <c r="D13" s="129">
        <f t="shared" si="0"/>
        <v>15853611.833333334</v>
      </c>
      <c r="E13" s="129">
        <f t="shared" si="1"/>
        <v>15853611.833333334</v>
      </c>
      <c r="F13" s="129">
        <f aca="true" t="shared" si="3" ref="F13:O13">E13</f>
        <v>15853611.833333334</v>
      </c>
      <c r="G13" s="129">
        <f t="shared" si="3"/>
        <v>15853611.833333334</v>
      </c>
      <c r="H13" s="129">
        <f t="shared" si="3"/>
        <v>15853611.833333334</v>
      </c>
      <c r="I13" s="129">
        <f t="shared" si="3"/>
        <v>15853611.833333334</v>
      </c>
      <c r="J13" s="129">
        <f t="shared" si="3"/>
        <v>15853611.833333334</v>
      </c>
      <c r="K13" s="129">
        <f t="shared" si="3"/>
        <v>15853611.833333334</v>
      </c>
      <c r="L13" s="129">
        <f t="shared" si="3"/>
        <v>15853611.833333334</v>
      </c>
      <c r="M13" s="129">
        <f t="shared" si="3"/>
        <v>15853611.833333334</v>
      </c>
      <c r="N13" s="129">
        <f t="shared" si="3"/>
        <v>15853611.833333334</v>
      </c>
      <c r="O13" s="129">
        <f t="shared" si="3"/>
        <v>15853611.833333334</v>
      </c>
      <c r="P13" s="130">
        <f aca="true" t="shared" si="4" ref="P13:P21">SUM(D13:O13)-C13</f>
        <v>0</v>
      </c>
      <c r="Q13" s="130"/>
    </row>
    <row r="14" spans="1:17" s="5" customFormat="1" ht="27" customHeight="1">
      <c r="A14" s="124" t="s">
        <v>22</v>
      </c>
      <c r="B14" s="131" t="s">
        <v>144</v>
      </c>
      <c r="C14" s="132">
        <f>2!J18</f>
        <v>948436769</v>
      </c>
      <c r="D14" s="129">
        <f t="shared" si="0"/>
        <v>79036397.41666667</v>
      </c>
      <c r="E14" s="129">
        <f t="shared" si="1"/>
        <v>79036397.41666667</v>
      </c>
      <c r="F14" s="129">
        <f aca="true" t="shared" si="5" ref="F14:O14">E14</f>
        <v>79036397.41666667</v>
      </c>
      <c r="G14" s="129">
        <f t="shared" si="5"/>
        <v>79036397.41666667</v>
      </c>
      <c r="H14" s="129">
        <f t="shared" si="5"/>
        <v>79036397.41666667</v>
      </c>
      <c r="I14" s="129">
        <f t="shared" si="5"/>
        <v>79036397.41666667</v>
      </c>
      <c r="J14" s="129">
        <f t="shared" si="5"/>
        <v>79036397.41666667</v>
      </c>
      <c r="K14" s="129">
        <f t="shared" si="5"/>
        <v>79036397.41666667</v>
      </c>
      <c r="L14" s="129">
        <f t="shared" si="5"/>
        <v>79036397.41666667</v>
      </c>
      <c r="M14" s="129">
        <f t="shared" si="5"/>
        <v>79036397.41666667</v>
      </c>
      <c r="N14" s="129">
        <f t="shared" si="5"/>
        <v>79036397.41666667</v>
      </c>
      <c r="O14" s="129">
        <f t="shared" si="5"/>
        <v>79036397.41666667</v>
      </c>
      <c r="P14" s="130">
        <f t="shared" si="4"/>
        <v>0</v>
      </c>
      <c r="Q14" s="130"/>
    </row>
    <row r="15" spans="1:17" ht="27" customHeight="1">
      <c r="A15" s="124" t="s">
        <v>53</v>
      </c>
      <c r="B15" s="127" t="s">
        <v>162</v>
      </c>
      <c r="C15" s="128">
        <f>2!M18</f>
        <v>116380000</v>
      </c>
      <c r="D15" s="129">
        <f t="shared" si="0"/>
        <v>9698333.333333334</v>
      </c>
      <c r="E15" s="129">
        <f t="shared" si="1"/>
        <v>9698333.333333334</v>
      </c>
      <c r="F15" s="129">
        <f aca="true" t="shared" si="6" ref="F15:O15">E15</f>
        <v>9698333.333333334</v>
      </c>
      <c r="G15" s="129">
        <f t="shared" si="6"/>
        <v>9698333.333333334</v>
      </c>
      <c r="H15" s="129">
        <f t="shared" si="6"/>
        <v>9698333.333333334</v>
      </c>
      <c r="I15" s="129">
        <f t="shared" si="6"/>
        <v>9698333.333333334</v>
      </c>
      <c r="J15" s="129">
        <f t="shared" si="6"/>
        <v>9698333.333333334</v>
      </c>
      <c r="K15" s="129">
        <f t="shared" si="6"/>
        <v>9698333.333333334</v>
      </c>
      <c r="L15" s="129">
        <f t="shared" si="6"/>
        <v>9698333.333333334</v>
      </c>
      <c r="M15" s="129">
        <f t="shared" si="6"/>
        <v>9698333.333333334</v>
      </c>
      <c r="N15" s="129">
        <f t="shared" si="6"/>
        <v>9698333.333333334</v>
      </c>
      <c r="O15" s="129">
        <f t="shared" si="6"/>
        <v>9698333.333333334</v>
      </c>
      <c r="P15" s="130">
        <f t="shared" si="4"/>
        <v>0</v>
      </c>
      <c r="Q15" s="130"/>
    </row>
    <row r="16" spans="1:17" ht="31.5" customHeight="1">
      <c r="A16" s="124" t="s">
        <v>51</v>
      </c>
      <c r="B16" s="127" t="s">
        <v>136</v>
      </c>
      <c r="C16" s="128">
        <f>2!P18</f>
        <v>1029353306</v>
      </c>
      <c r="D16" s="129">
        <f t="shared" si="0"/>
        <v>85779442.16666667</v>
      </c>
      <c r="E16" s="129">
        <f t="shared" si="1"/>
        <v>85779442.16666667</v>
      </c>
      <c r="F16" s="129">
        <f aca="true" t="shared" si="7" ref="F16:O16">E16</f>
        <v>85779442.16666667</v>
      </c>
      <c r="G16" s="129">
        <f t="shared" si="7"/>
        <v>85779442.16666667</v>
      </c>
      <c r="H16" s="129">
        <f t="shared" si="7"/>
        <v>85779442.16666667</v>
      </c>
      <c r="I16" s="129">
        <f t="shared" si="7"/>
        <v>85779442.16666667</v>
      </c>
      <c r="J16" s="129">
        <f t="shared" si="7"/>
        <v>85779442.16666667</v>
      </c>
      <c r="K16" s="129">
        <f t="shared" si="7"/>
        <v>85779442.16666667</v>
      </c>
      <c r="L16" s="129">
        <f t="shared" si="7"/>
        <v>85779442.16666667</v>
      </c>
      <c r="M16" s="129">
        <f t="shared" si="7"/>
        <v>85779442.16666667</v>
      </c>
      <c r="N16" s="129">
        <f t="shared" si="7"/>
        <v>85779442.16666667</v>
      </c>
      <c r="O16" s="129">
        <f t="shared" si="7"/>
        <v>85779442.16666667</v>
      </c>
      <c r="P16" s="130">
        <f t="shared" si="4"/>
        <v>0</v>
      </c>
      <c r="Q16" s="130"/>
    </row>
    <row r="17" spans="1:17" ht="27" customHeight="1">
      <c r="A17" s="124" t="s">
        <v>47</v>
      </c>
      <c r="B17" s="127" t="s">
        <v>153</v>
      </c>
      <c r="C17" s="128">
        <f>2!V18</f>
        <v>241122136</v>
      </c>
      <c r="D17" s="129">
        <f t="shared" si="0"/>
        <v>20093511.333333332</v>
      </c>
      <c r="E17" s="129">
        <f t="shared" si="1"/>
        <v>20093511.333333332</v>
      </c>
      <c r="F17" s="129">
        <f aca="true" t="shared" si="8" ref="F17:O17">E17</f>
        <v>20093511.333333332</v>
      </c>
      <c r="G17" s="129">
        <f t="shared" si="8"/>
        <v>20093511.333333332</v>
      </c>
      <c r="H17" s="129">
        <f t="shared" si="8"/>
        <v>20093511.333333332</v>
      </c>
      <c r="I17" s="129">
        <f t="shared" si="8"/>
        <v>20093511.333333332</v>
      </c>
      <c r="J17" s="129">
        <f t="shared" si="8"/>
        <v>20093511.333333332</v>
      </c>
      <c r="K17" s="129">
        <f t="shared" si="8"/>
        <v>20093511.333333332</v>
      </c>
      <c r="L17" s="129">
        <f t="shared" si="8"/>
        <v>20093511.333333332</v>
      </c>
      <c r="M17" s="129">
        <f t="shared" si="8"/>
        <v>20093511.333333332</v>
      </c>
      <c r="N17" s="129">
        <f t="shared" si="8"/>
        <v>20093511.333333332</v>
      </c>
      <c r="O17" s="129">
        <f t="shared" si="8"/>
        <v>20093511.333333332</v>
      </c>
      <c r="P17" s="130">
        <f t="shared" si="4"/>
        <v>0</v>
      </c>
      <c r="Q17" s="130"/>
    </row>
    <row r="18" spans="1:17" ht="36" customHeight="1">
      <c r="A18" s="124" t="s">
        <v>23</v>
      </c>
      <c r="B18" s="127" t="s">
        <v>137</v>
      </c>
      <c r="C18" s="128">
        <f>2!AB18+2!AE18</f>
        <v>1501966820</v>
      </c>
      <c r="D18" s="129">
        <f t="shared" si="0"/>
        <v>125163901.66666667</v>
      </c>
      <c r="E18" s="129">
        <f t="shared" si="1"/>
        <v>125163901.66666667</v>
      </c>
      <c r="F18" s="129">
        <f aca="true" t="shared" si="9" ref="F18:O18">E18</f>
        <v>125163901.66666667</v>
      </c>
      <c r="G18" s="129">
        <f t="shared" si="9"/>
        <v>125163901.66666667</v>
      </c>
      <c r="H18" s="129">
        <f t="shared" si="9"/>
        <v>125163901.66666667</v>
      </c>
      <c r="I18" s="129">
        <f t="shared" si="9"/>
        <v>125163901.66666667</v>
      </c>
      <c r="J18" s="129">
        <f t="shared" si="9"/>
        <v>125163901.66666667</v>
      </c>
      <c r="K18" s="129">
        <f t="shared" si="9"/>
        <v>125163901.66666667</v>
      </c>
      <c r="L18" s="129">
        <f t="shared" si="9"/>
        <v>125163901.66666667</v>
      </c>
      <c r="M18" s="129">
        <f t="shared" si="9"/>
        <v>125163901.66666667</v>
      </c>
      <c r="N18" s="129">
        <f t="shared" si="9"/>
        <v>125163901.66666667</v>
      </c>
      <c r="O18" s="129">
        <f t="shared" si="9"/>
        <v>125163901.66666667</v>
      </c>
      <c r="P18" s="130">
        <f t="shared" si="4"/>
        <v>0</v>
      </c>
      <c r="Q18" s="130"/>
    </row>
    <row r="19" spans="1:17" ht="27" customHeight="1">
      <c r="A19" s="124" t="s">
        <v>25</v>
      </c>
      <c r="B19" s="127" t="s">
        <v>138</v>
      </c>
      <c r="C19" s="128">
        <f>2!AH18+2!S18</f>
        <v>603741920</v>
      </c>
      <c r="D19" s="129">
        <f t="shared" si="0"/>
        <v>50311826.666666664</v>
      </c>
      <c r="E19" s="129">
        <f t="shared" si="1"/>
        <v>50311826.666666664</v>
      </c>
      <c r="F19" s="129">
        <f aca="true" t="shared" si="10" ref="F19:O19">E19</f>
        <v>50311826.666666664</v>
      </c>
      <c r="G19" s="129">
        <f t="shared" si="10"/>
        <v>50311826.666666664</v>
      </c>
      <c r="H19" s="129">
        <f t="shared" si="10"/>
        <v>50311826.666666664</v>
      </c>
      <c r="I19" s="129">
        <f t="shared" si="10"/>
        <v>50311826.666666664</v>
      </c>
      <c r="J19" s="129">
        <f t="shared" si="10"/>
        <v>50311826.666666664</v>
      </c>
      <c r="K19" s="129">
        <f t="shared" si="10"/>
        <v>50311826.666666664</v>
      </c>
      <c r="L19" s="129">
        <f t="shared" si="10"/>
        <v>50311826.666666664</v>
      </c>
      <c r="M19" s="129">
        <f t="shared" si="10"/>
        <v>50311826.666666664</v>
      </c>
      <c r="N19" s="129">
        <f t="shared" si="10"/>
        <v>50311826.666666664</v>
      </c>
      <c r="O19" s="129">
        <f t="shared" si="10"/>
        <v>50311826.666666664</v>
      </c>
      <c r="P19" s="130">
        <f t="shared" si="4"/>
        <v>0</v>
      </c>
      <c r="Q19" s="130"/>
    </row>
    <row r="20" spans="1:17" ht="27" customHeight="1">
      <c r="A20" s="124"/>
      <c r="B20" s="127" t="s">
        <v>271</v>
      </c>
      <c r="C20" s="128">
        <f>2!AK18</f>
        <v>27778000</v>
      </c>
      <c r="D20" s="129"/>
      <c r="E20" s="129"/>
      <c r="F20" s="129">
        <v>6944500</v>
      </c>
      <c r="G20" s="129"/>
      <c r="H20" s="129"/>
      <c r="I20" s="129">
        <v>6944500</v>
      </c>
      <c r="J20" s="129"/>
      <c r="K20" s="129"/>
      <c r="L20" s="129">
        <v>6944500</v>
      </c>
      <c r="M20" s="129"/>
      <c r="N20" s="129"/>
      <c r="O20" s="129">
        <v>6944500</v>
      </c>
      <c r="P20" s="130">
        <f t="shared" si="4"/>
        <v>0</v>
      </c>
      <c r="Q20" s="130"/>
    </row>
    <row r="21" spans="1:17" ht="24.75" customHeight="1">
      <c r="A21" s="124" t="s">
        <v>27</v>
      </c>
      <c r="B21" s="133" t="s">
        <v>139</v>
      </c>
      <c r="C21" s="128">
        <f>SUM(C12:C20)</f>
        <v>5873649330</v>
      </c>
      <c r="D21" s="128">
        <f>SUM(D12:D20)</f>
        <v>487155944.1666667</v>
      </c>
      <c r="E21" s="128">
        <f aca="true" t="shared" si="11" ref="E21:O21">SUM(E12:E20)</f>
        <v>487155944.1666667</v>
      </c>
      <c r="F21" s="128">
        <f t="shared" si="11"/>
        <v>494100444.1666667</v>
      </c>
      <c r="G21" s="128">
        <f t="shared" si="11"/>
        <v>487155944.1666667</v>
      </c>
      <c r="H21" s="128">
        <f t="shared" si="11"/>
        <v>487155944.1666667</v>
      </c>
      <c r="I21" s="128">
        <f t="shared" si="11"/>
        <v>494100444.1666667</v>
      </c>
      <c r="J21" s="128">
        <f t="shared" si="11"/>
        <v>487155944.1666667</v>
      </c>
      <c r="K21" s="128">
        <f t="shared" si="11"/>
        <v>487155944.1666667</v>
      </c>
      <c r="L21" s="128">
        <f t="shared" si="11"/>
        <v>494100444.1666667</v>
      </c>
      <c r="M21" s="128">
        <f t="shared" si="11"/>
        <v>487155944.1666667</v>
      </c>
      <c r="N21" s="128">
        <f t="shared" si="11"/>
        <v>487155944.1666667</v>
      </c>
      <c r="O21" s="128">
        <f t="shared" si="11"/>
        <v>494100440.1666667</v>
      </c>
      <c r="P21" s="130">
        <f t="shared" si="4"/>
        <v>-3.9999990463256836</v>
      </c>
      <c r="Q21" s="130"/>
    </row>
    <row r="22" ht="12.75" hidden="1">
      <c r="C22" s="130">
        <f>2!AQ18</f>
        <v>5873649330</v>
      </c>
    </row>
    <row r="23" ht="12.75" hidden="1">
      <c r="C23" s="130">
        <f>C22-C21</f>
        <v>0</v>
      </c>
    </row>
    <row r="24" ht="12.75" hidden="1"/>
    <row r="25" spans="4:15" ht="23.25" customHeight="1" hidden="1">
      <c r="D25" s="130">
        <f>'10.'!D21</f>
        <v>0.3333333134651184</v>
      </c>
      <c r="E25" s="130">
        <f>'10.'!E21</f>
        <v>0.3333333134651184</v>
      </c>
      <c r="F25" s="130">
        <f>'10.'!F21</f>
        <v>0.3333333134651184</v>
      </c>
      <c r="G25" s="130">
        <f>'10.'!G21</f>
        <v>0.3333333134651184</v>
      </c>
      <c r="H25" s="130">
        <f>'10.'!H21</f>
        <v>0.3333333134651184</v>
      </c>
      <c r="I25" s="130">
        <f>'10.'!I21</f>
        <v>0.3333333134651184</v>
      </c>
      <c r="J25" s="130">
        <f>'10.'!J21</f>
        <v>0.3333333134651184</v>
      </c>
      <c r="K25" s="130">
        <f>'10.'!K21</f>
        <v>0.3333333134651184</v>
      </c>
      <c r="L25" s="130">
        <f>'10.'!L21</f>
        <v>0.3333333134651184</v>
      </c>
      <c r="M25" s="130">
        <f>'10.'!M21</f>
        <v>0.3333333134651184</v>
      </c>
      <c r="N25" s="130">
        <f>'10.'!N21</f>
        <v>0.3333333134651184</v>
      </c>
      <c r="O25" s="130">
        <f>'10.'!O21</f>
        <v>0.3333333134651184</v>
      </c>
    </row>
    <row r="26" ht="12.75" hidden="1"/>
  </sheetData>
  <sheetProtection/>
  <mergeCells count="5">
    <mergeCell ref="B7:O7"/>
    <mergeCell ref="B2:F2"/>
    <mergeCell ref="I2:O2"/>
    <mergeCell ref="B5:O5"/>
    <mergeCell ref="B6:O6"/>
  </mergeCells>
  <printOptions/>
  <pageMargins left="0.4330708661417323" right="0.4330708661417323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00"/>
  <sheetViews>
    <sheetView tabSelected="1" zoomScalePageLayoutView="0" workbookViewId="0" topLeftCell="A1">
      <pane xSplit="6" ySplit="6" topLeftCell="G124" activePane="bottomRight" state="frozen"/>
      <selection pane="topLeft" activeCell="J14" sqref="J13:J14"/>
      <selection pane="topRight" activeCell="J14" sqref="J13:J14"/>
      <selection pane="bottomLeft" activeCell="J14" sqref="J13:J14"/>
      <selection pane="bottomRight" activeCell="E153" sqref="E153"/>
    </sheetView>
  </sheetViews>
  <sheetFormatPr defaultColWidth="9.140625" defaultRowHeight="12.75"/>
  <cols>
    <col min="1" max="1" width="4.7109375" style="328" customWidth="1"/>
    <col min="2" max="2" width="3.140625" style="328" customWidth="1"/>
    <col min="3" max="3" width="3.421875" style="328" customWidth="1"/>
    <col min="4" max="4" width="3.140625" style="328" customWidth="1"/>
    <col min="5" max="5" width="72.00390625" style="328" customWidth="1"/>
    <col min="6" max="6" width="15.8515625" style="330" customWidth="1"/>
    <col min="7" max="7" width="15.7109375" style="400" customWidth="1"/>
    <col min="8" max="8" width="18.8515625" style="328" hidden="1" customWidth="1"/>
    <col min="9" max="10" width="16.7109375" style="481" hidden="1" customWidth="1"/>
    <col min="11" max="11" width="16.00390625" style="328" hidden="1" customWidth="1"/>
    <col min="12" max="12" width="6.7109375" style="328" hidden="1" customWidth="1"/>
    <col min="13" max="13" width="14.7109375" style="328" hidden="1" customWidth="1"/>
    <col min="14" max="14" width="12.00390625" style="328" hidden="1" customWidth="1"/>
    <col min="15" max="16384" width="9.140625" style="328" customWidth="1"/>
  </cols>
  <sheetData>
    <row r="1" spans="2:7" ht="17.25" customHeight="1">
      <c r="B1" s="480"/>
      <c r="C1" s="480"/>
      <c r="D1" s="480"/>
      <c r="E1" s="480"/>
      <c r="F1" s="480"/>
      <c r="G1" s="459" t="s">
        <v>496</v>
      </c>
    </row>
    <row r="2" spans="1:7" ht="18.75" customHeight="1">
      <c r="A2" s="752" t="s">
        <v>498</v>
      </c>
      <c r="B2" s="753"/>
      <c r="C2" s="753"/>
      <c r="D2" s="753"/>
      <c r="E2" s="753"/>
      <c r="F2" s="753"/>
      <c r="G2" s="753"/>
    </row>
    <row r="3" spans="1:7" ht="18.75" customHeight="1">
      <c r="A3" s="754">
        <v>44012</v>
      </c>
      <c r="B3" s="753"/>
      <c r="C3" s="753"/>
      <c r="D3" s="753"/>
      <c r="E3" s="753"/>
      <c r="F3" s="753"/>
      <c r="G3" s="753"/>
    </row>
    <row r="4" spans="1:10" ht="17.25" customHeight="1">
      <c r="A4" s="329"/>
      <c r="G4" s="156" t="s">
        <v>193</v>
      </c>
      <c r="I4" s="762" t="s">
        <v>505</v>
      </c>
      <c r="J4" s="762"/>
    </row>
    <row r="5" spans="1:10" ht="17.25" customHeight="1">
      <c r="A5" s="331"/>
      <c r="B5" s="332" t="s">
        <v>0</v>
      </c>
      <c r="C5" s="332" t="s">
        <v>340</v>
      </c>
      <c r="D5" s="332" t="s">
        <v>2</v>
      </c>
      <c r="E5" s="332" t="s">
        <v>3</v>
      </c>
      <c r="F5" s="333" t="s">
        <v>4</v>
      </c>
      <c r="G5" s="333" t="s">
        <v>5</v>
      </c>
      <c r="I5" s="489" t="s">
        <v>509</v>
      </c>
      <c r="J5" s="489" t="s">
        <v>510</v>
      </c>
    </row>
    <row r="6" spans="1:10" ht="17.25" customHeight="1">
      <c r="A6" s="334">
        <v>1</v>
      </c>
      <c r="B6" s="755" t="s">
        <v>341</v>
      </c>
      <c r="C6" s="756"/>
      <c r="D6" s="756"/>
      <c r="E6" s="756"/>
      <c r="F6" s="336"/>
      <c r="G6" s="337">
        <f>1!AM18</f>
        <v>4901280447</v>
      </c>
      <c r="I6" s="484">
        <v>4901280447</v>
      </c>
      <c r="J6" s="484">
        <v>4901280447</v>
      </c>
    </row>
    <row r="7" spans="1:11" ht="18" customHeight="1">
      <c r="A7" s="334">
        <v>2</v>
      </c>
      <c r="B7" s="757" t="s">
        <v>437</v>
      </c>
      <c r="C7" s="758"/>
      <c r="D7" s="758"/>
      <c r="E7" s="759"/>
      <c r="G7" s="102"/>
      <c r="K7" s="341"/>
    </row>
    <row r="8" spans="1:11" ht="17.25" customHeight="1">
      <c r="A8" s="334">
        <v>3</v>
      </c>
      <c r="B8" s="342" t="s">
        <v>342</v>
      </c>
      <c r="C8" s="755" t="s">
        <v>343</v>
      </c>
      <c r="D8" s="755"/>
      <c r="E8" s="755"/>
      <c r="F8" s="337"/>
      <c r="G8" s="95"/>
      <c r="H8" s="341"/>
      <c r="K8" s="341"/>
    </row>
    <row r="9" spans="1:11" s="346" customFormat="1" ht="17.25" customHeight="1">
      <c r="A9" s="334">
        <v>4</v>
      </c>
      <c r="B9" s="343"/>
      <c r="C9" s="747" t="s">
        <v>344</v>
      </c>
      <c r="D9" s="760"/>
      <c r="E9" s="760"/>
      <c r="F9" s="344"/>
      <c r="G9" s="95">
        <f>SUM(F10:F13)</f>
        <v>36520175</v>
      </c>
      <c r="H9" s="349">
        <f>G9+G14+G18+G20+G23</f>
        <v>610130748</v>
      </c>
      <c r="I9" s="481"/>
      <c r="J9" s="481"/>
      <c r="K9" s="341"/>
    </row>
    <row r="10" spans="1:11" ht="17.25" customHeight="1">
      <c r="A10" s="334">
        <v>5</v>
      </c>
      <c r="B10" s="347"/>
      <c r="C10" s="348" t="s">
        <v>345</v>
      </c>
      <c r="D10" s="761" t="s">
        <v>430</v>
      </c>
      <c r="E10" s="761"/>
      <c r="F10" s="92">
        <v>25417401</v>
      </c>
      <c r="G10" s="92"/>
      <c r="H10" s="341"/>
      <c r="I10" s="483"/>
      <c r="J10" s="483"/>
      <c r="K10" s="341"/>
    </row>
    <row r="11" spans="1:11" ht="17.25" customHeight="1">
      <c r="A11" s="334">
        <v>6</v>
      </c>
      <c r="B11" s="347"/>
      <c r="C11" s="348"/>
      <c r="D11" s="761" t="s">
        <v>431</v>
      </c>
      <c r="E11" s="761"/>
      <c r="F11" s="92">
        <v>4864532</v>
      </c>
      <c r="G11" s="92"/>
      <c r="H11" s="341"/>
      <c r="I11" s="483"/>
      <c r="J11" s="483"/>
      <c r="K11" s="341"/>
    </row>
    <row r="12" spans="1:11" ht="17.25" customHeight="1">
      <c r="A12" s="334">
        <v>7</v>
      </c>
      <c r="B12" s="347"/>
      <c r="C12" s="348"/>
      <c r="D12" s="761" t="s">
        <v>432</v>
      </c>
      <c r="E12" s="761"/>
      <c r="F12" s="92">
        <v>2476683</v>
      </c>
      <c r="G12" s="92"/>
      <c r="H12" s="341"/>
      <c r="I12" s="483"/>
      <c r="J12" s="483"/>
      <c r="K12" s="341"/>
    </row>
    <row r="13" spans="1:11" ht="31.5" customHeight="1">
      <c r="A13" s="334">
        <v>8</v>
      </c>
      <c r="B13" s="347"/>
      <c r="C13" s="348" t="s">
        <v>345</v>
      </c>
      <c r="D13" s="761" t="s">
        <v>433</v>
      </c>
      <c r="E13" s="761"/>
      <c r="F13" s="92">
        <v>3761559</v>
      </c>
      <c r="G13" s="92"/>
      <c r="K13" s="341"/>
    </row>
    <row r="14" spans="1:11" ht="17.25" customHeight="1">
      <c r="A14" s="334">
        <v>9</v>
      </c>
      <c r="B14" s="347"/>
      <c r="C14" s="747" t="s">
        <v>346</v>
      </c>
      <c r="D14" s="760"/>
      <c r="E14" s="745"/>
      <c r="F14" s="95"/>
      <c r="G14" s="102">
        <f>SUM(F15:F17)</f>
        <v>37818522</v>
      </c>
      <c r="K14" s="341"/>
    </row>
    <row r="15" spans="1:11" ht="17.25" customHeight="1">
      <c r="A15" s="334">
        <v>10</v>
      </c>
      <c r="B15" s="347"/>
      <c r="C15" s="411" t="s">
        <v>345</v>
      </c>
      <c r="D15" s="743" t="s">
        <v>434</v>
      </c>
      <c r="E15" s="744"/>
      <c r="F15" s="92">
        <f>27985955+7556208</f>
        <v>35542163</v>
      </c>
      <c r="G15" s="102"/>
      <c r="K15" s="341"/>
    </row>
    <row r="16" spans="1:11" ht="17.25" customHeight="1">
      <c r="A16" s="334">
        <v>11</v>
      </c>
      <c r="B16" s="347"/>
      <c r="C16" s="348" t="s">
        <v>345</v>
      </c>
      <c r="D16" s="743" t="s">
        <v>435</v>
      </c>
      <c r="E16" s="744"/>
      <c r="F16" s="92">
        <f>902330+243629</f>
        <v>1145959</v>
      </c>
      <c r="G16" s="102"/>
      <c r="K16" s="341"/>
    </row>
    <row r="17" spans="1:11" ht="17.25" customHeight="1">
      <c r="A17" s="334">
        <v>12</v>
      </c>
      <c r="B17" s="347"/>
      <c r="C17" s="348" t="s">
        <v>345</v>
      </c>
      <c r="D17" s="743" t="s">
        <v>436</v>
      </c>
      <c r="E17" s="744"/>
      <c r="F17" s="92">
        <v>1130400</v>
      </c>
      <c r="G17" s="102"/>
      <c r="K17" s="341"/>
    </row>
    <row r="18" spans="1:11" ht="17.25" customHeight="1">
      <c r="A18" s="334">
        <v>13</v>
      </c>
      <c r="B18" s="347"/>
      <c r="C18" s="745" t="s">
        <v>347</v>
      </c>
      <c r="D18" s="746"/>
      <c r="E18" s="747"/>
      <c r="F18" s="92"/>
      <c r="G18" s="102">
        <f>SUM(F19:F20)</f>
        <v>447710621</v>
      </c>
      <c r="K18" s="341"/>
    </row>
    <row r="19" spans="1:11" ht="32.25" customHeight="1">
      <c r="A19" s="334">
        <v>14</v>
      </c>
      <c r="B19" s="347"/>
      <c r="C19" s="348" t="s">
        <v>345</v>
      </c>
      <c r="D19" s="715" t="s">
        <v>438</v>
      </c>
      <c r="E19" s="715"/>
      <c r="F19" s="92">
        <v>447710621</v>
      </c>
      <c r="G19" s="102"/>
      <c r="K19" s="341"/>
    </row>
    <row r="20" spans="1:11" ht="31.5" customHeight="1">
      <c r="A20" s="334">
        <v>15</v>
      </c>
      <c r="B20" s="347"/>
      <c r="C20" s="745" t="s">
        <v>348</v>
      </c>
      <c r="D20" s="746"/>
      <c r="E20" s="747"/>
      <c r="F20" s="92"/>
      <c r="G20" s="102">
        <f>SUM(F21:F22)</f>
        <v>2349964</v>
      </c>
      <c r="K20" s="341"/>
    </row>
    <row r="21" spans="1:11" ht="17.25" customHeight="1">
      <c r="A21" s="334">
        <v>16</v>
      </c>
      <c r="B21" s="347"/>
      <c r="C21" s="348" t="s">
        <v>345</v>
      </c>
      <c r="D21" s="748" t="s">
        <v>439</v>
      </c>
      <c r="E21" s="748"/>
      <c r="F21" s="92">
        <v>1125000</v>
      </c>
      <c r="G21" s="102"/>
      <c r="H21" s="341"/>
      <c r="K21" s="341"/>
    </row>
    <row r="22" spans="1:11" ht="17.25" customHeight="1">
      <c r="A22" s="334">
        <v>17</v>
      </c>
      <c r="B22" s="347"/>
      <c r="C22" s="348" t="s">
        <v>345</v>
      </c>
      <c r="D22" s="748" t="s">
        <v>440</v>
      </c>
      <c r="E22" s="748"/>
      <c r="F22" s="92">
        <v>1224964</v>
      </c>
      <c r="G22" s="102"/>
      <c r="H22" s="341"/>
      <c r="K22" s="341"/>
    </row>
    <row r="23" spans="1:11" ht="29.25" customHeight="1">
      <c r="A23" s="334">
        <v>18</v>
      </c>
      <c r="B23" s="347"/>
      <c r="C23" s="745" t="s">
        <v>349</v>
      </c>
      <c r="D23" s="746"/>
      <c r="E23" s="747"/>
      <c r="F23" s="92"/>
      <c r="G23" s="102">
        <f>SUM(F24:F26)</f>
        <v>85731466</v>
      </c>
      <c r="K23" s="341"/>
    </row>
    <row r="24" spans="1:11" s="346" customFormat="1" ht="17.25" customHeight="1">
      <c r="A24" s="334">
        <v>19</v>
      </c>
      <c r="B24" s="343"/>
      <c r="C24" s="348" t="s">
        <v>345</v>
      </c>
      <c r="D24" s="748" t="s">
        <v>441</v>
      </c>
      <c r="E24" s="748"/>
      <c r="F24" s="92">
        <v>10003964</v>
      </c>
      <c r="G24" s="102"/>
      <c r="H24" s="349"/>
      <c r="I24" s="481"/>
      <c r="J24" s="481"/>
      <c r="K24" s="341"/>
    </row>
    <row r="25" spans="1:11" s="346" customFormat="1" ht="17.25" customHeight="1">
      <c r="A25" s="334">
        <v>20</v>
      </c>
      <c r="B25" s="343"/>
      <c r="C25" s="348" t="s">
        <v>345</v>
      </c>
      <c r="D25" s="748" t="s">
        <v>442</v>
      </c>
      <c r="E25" s="748"/>
      <c r="F25" s="92">
        <v>54991000</v>
      </c>
      <c r="G25" s="102"/>
      <c r="I25" s="481"/>
      <c r="J25" s="481"/>
      <c r="K25" s="341"/>
    </row>
    <row r="26" spans="1:11" s="346" customFormat="1" ht="17.25" customHeight="1">
      <c r="A26" s="334">
        <v>21</v>
      </c>
      <c r="B26" s="343"/>
      <c r="C26" s="348" t="s">
        <v>345</v>
      </c>
      <c r="D26" s="748" t="s">
        <v>443</v>
      </c>
      <c r="E26" s="748"/>
      <c r="F26" s="92">
        <v>20736502</v>
      </c>
      <c r="G26" s="102"/>
      <c r="I26" s="481"/>
      <c r="J26" s="481"/>
      <c r="K26" s="341"/>
    </row>
    <row r="27" spans="1:13" s="346" customFormat="1" ht="28.5" customHeight="1">
      <c r="A27" s="334">
        <v>22</v>
      </c>
      <c r="B27" s="343"/>
      <c r="C27" s="740" t="s">
        <v>350</v>
      </c>
      <c r="D27" s="741"/>
      <c r="E27" s="742"/>
      <c r="F27" s="350"/>
      <c r="G27" s="351">
        <f>SUM(F28:F32)</f>
        <v>7511692</v>
      </c>
      <c r="H27" s="328"/>
      <c r="I27" s="484">
        <f>SUM(I28:I32)</f>
        <v>-49156000</v>
      </c>
      <c r="J27" s="484">
        <f>SUM(J28:J32)</f>
        <v>23000000</v>
      </c>
      <c r="K27" s="341"/>
      <c r="M27" s="349">
        <f>SUM(I27:L27)</f>
        <v>-26156000</v>
      </c>
    </row>
    <row r="28" spans="1:11" s="346" customFormat="1" ht="18" customHeight="1">
      <c r="A28" s="334">
        <v>23</v>
      </c>
      <c r="B28" s="343"/>
      <c r="C28" s="348"/>
      <c r="D28" s="743" t="s">
        <v>183</v>
      </c>
      <c r="E28" s="744"/>
      <c r="F28" s="97">
        <f>12015301-I28-J28</f>
        <v>5015301</v>
      </c>
      <c r="G28" s="352"/>
      <c r="H28" s="328"/>
      <c r="I28" s="483">
        <v>-2000000</v>
      </c>
      <c r="J28" s="483">
        <v>9000000</v>
      </c>
      <c r="K28" s="341">
        <f>F28+I28+J28-'Hegyesiné Ancsa'!F28</f>
        <v>0</v>
      </c>
    </row>
    <row r="29" spans="1:11" s="346" customFormat="1" ht="18" customHeight="1">
      <c r="A29" s="334">
        <v>24</v>
      </c>
      <c r="B29" s="343"/>
      <c r="C29" s="353"/>
      <c r="D29" s="743" t="s">
        <v>31</v>
      </c>
      <c r="E29" s="744"/>
      <c r="F29" s="97">
        <f>-30023595-I29</f>
        <v>334405</v>
      </c>
      <c r="G29" s="352"/>
      <c r="H29" s="328"/>
      <c r="I29" s="483">
        <v>-30358000</v>
      </c>
      <c r="J29" s="483"/>
      <c r="K29" s="341">
        <f>F29+I29+J29-'Hegyesiné Ancsa'!F29</f>
        <v>0</v>
      </c>
    </row>
    <row r="30" spans="1:11" s="346" customFormat="1" ht="18" customHeight="1">
      <c r="A30" s="334">
        <v>25</v>
      </c>
      <c r="B30" s="343"/>
      <c r="C30" s="412"/>
      <c r="D30" s="743" t="s">
        <v>444</v>
      </c>
      <c r="E30" s="744"/>
      <c r="F30" s="97">
        <f>1943203-I30-J30</f>
        <v>1943203</v>
      </c>
      <c r="G30" s="352"/>
      <c r="H30" s="328"/>
      <c r="I30" s="483">
        <v>-14000000</v>
      </c>
      <c r="J30" s="483">
        <v>14000000</v>
      </c>
      <c r="K30" s="341">
        <f>F30+I30+J30-'Hegyesiné Ancsa'!F30</f>
        <v>0</v>
      </c>
    </row>
    <row r="31" spans="1:11" s="346" customFormat="1" ht="18" customHeight="1">
      <c r="A31" s="334">
        <v>26</v>
      </c>
      <c r="B31" s="343"/>
      <c r="C31" s="412"/>
      <c r="D31" s="743" t="s">
        <v>445</v>
      </c>
      <c r="E31" s="744"/>
      <c r="F31" s="97">
        <f>-805892-I31</f>
        <v>147108</v>
      </c>
      <c r="G31" s="352"/>
      <c r="H31" s="328"/>
      <c r="I31" s="483">
        <v>-953000</v>
      </c>
      <c r="J31" s="483"/>
      <c r="K31" s="341">
        <f>F31+I31+J31-'Hegyesiné Ancsa'!F31</f>
        <v>0</v>
      </c>
    </row>
    <row r="32" spans="1:11" s="346" customFormat="1" ht="18" customHeight="1">
      <c r="A32" s="334">
        <v>27</v>
      </c>
      <c r="B32" s="343"/>
      <c r="C32" s="412"/>
      <c r="D32" s="743" t="s">
        <v>446</v>
      </c>
      <c r="E32" s="744"/>
      <c r="F32" s="97">
        <f>-1773325-I32</f>
        <v>71675</v>
      </c>
      <c r="G32" s="352"/>
      <c r="H32" s="328"/>
      <c r="I32" s="483">
        <v>-1845000</v>
      </c>
      <c r="J32" s="483"/>
      <c r="K32" s="341">
        <f>F32+I32+J32-'Hegyesiné Ancsa'!F32</f>
        <v>0</v>
      </c>
    </row>
    <row r="33" spans="1:11" s="346" customFormat="1" ht="21.75" customHeight="1">
      <c r="A33" s="334">
        <v>28</v>
      </c>
      <c r="B33" s="343"/>
      <c r="C33" s="745" t="s">
        <v>351</v>
      </c>
      <c r="D33" s="746"/>
      <c r="E33" s="747"/>
      <c r="F33" s="354"/>
      <c r="G33" s="355">
        <f>F34</f>
        <v>187233054</v>
      </c>
      <c r="H33" s="345"/>
      <c r="I33" s="483"/>
      <c r="J33" s="483"/>
      <c r="K33" s="341"/>
    </row>
    <row r="34" spans="1:11" s="346" customFormat="1" ht="29.25" customHeight="1">
      <c r="A34" s="334">
        <v>29</v>
      </c>
      <c r="B34" s="343"/>
      <c r="C34" s="356" t="s">
        <v>345</v>
      </c>
      <c r="D34" s="715" t="s">
        <v>352</v>
      </c>
      <c r="E34" s="715"/>
      <c r="F34" s="94">
        <v>187233054</v>
      </c>
      <c r="G34" s="355"/>
      <c r="I34" s="483"/>
      <c r="J34" s="483"/>
      <c r="K34" s="341"/>
    </row>
    <row r="35" spans="1:11" s="346" customFormat="1" ht="19.5" customHeight="1">
      <c r="A35" s="334">
        <v>30</v>
      </c>
      <c r="B35" s="343"/>
      <c r="C35" s="745" t="s">
        <v>353</v>
      </c>
      <c r="D35" s="746"/>
      <c r="E35" s="747"/>
      <c r="F35" s="94"/>
      <c r="G35" s="355">
        <f>F36</f>
        <v>0</v>
      </c>
      <c r="I35" s="483"/>
      <c r="J35" s="483"/>
      <c r="K35" s="341"/>
    </row>
    <row r="36" spans="1:11" s="346" customFormat="1" ht="17.25" customHeight="1">
      <c r="A36" s="334">
        <v>31</v>
      </c>
      <c r="B36" s="343"/>
      <c r="C36" s="356" t="s">
        <v>345</v>
      </c>
      <c r="D36" s="715" t="s">
        <v>354</v>
      </c>
      <c r="E36" s="715"/>
      <c r="F36" s="94">
        <v>0</v>
      </c>
      <c r="G36" s="355"/>
      <c r="I36" s="483"/>
      <c r="J36" s="483"/>
      <c r="K36" s="341"/>
    </row>
    <row r="37" spans="1:14" s="346" customFormat="1" ht="15.75" customHeight="1">
      <c r="A37" s="334">
        <v>32</v>
      </c>
      <c r="B37" s="343"/>
      <c r="C37" s="722" t="s">
        <v>355</v>
      </c>
      <c r="D37" s="736"/>
      <c r="E37" s="736"/>
      <c r="F37" s="731"/>
      <c r="G37" s="102">
        <f>F39+F40+F41+F42+F45+F46+F47</f>
        <v>1596493210</v>
      </c>
      <c r="I37" s="483"/>
      <c r="J37" s="483"/>
      <c r="K37" s="341"/>
      <c r="N37" s="349">
        <f>SUM(F39:F48)</f>
        <v>0</v>
      </c>
    </row>
    <row r="38" spans="1:11" s="346" customFormat="1" ht="17.25" customHeight="1">
      <c r="A38" s="334">
        <v>33</v>
      </c>
      <c r="B38" s="343"/>
      <c r="C38" s="737"/>
      <c r="D38" s="737"/>
      <c r="E38" s="737"/>
      <c r="F38" s="732"/>
      <c r="G38" s="102">
        <f>F43+F44+F48</f>
        <v>-1596493210</v>
      </c>
      <c r="H38" s="349">
        <f>SUM(G37:G38)</f>
        <v>0</v>
      </c>
      <c r="I38" s="483">
        <f>SUM(I39:I48)</f>
        <v>49156000</v>
      </c>
      <c r="J38" s="483"/>
      <c r="K38" s="341"/>
    </row>
    <row r="39" spans="1:11" s="346" customFormat="1" ht="17.25" customHeight="1">
      <c r="A39" s="334">
        <v>34</v>
      </c>
      <c r="B39" s="343"/>
      <c r="C39" s="353" t="s">
        <v>345</v>
      </c>
      <c r="D39" s="733" t="s">
        <v>356</v>
      </c>
      <c r="E39" s="733"/>
      <c r="F39" s="358">
        <f>43259181-I39</f>
        <v>52857181</v>
      </c>
      <c r="G39" s="359"/>
      <c r="I39" s="483">
        <v>-9598000</v>
      </c>
      <c r="J39" s="483"/>
      <c r="K39" s="341">
        <f>F39+I39+J39-'Hegyesiné Ancsa'!F39</f>
        <v>0</v>
      </c>
    </row>
    <row r="40" spans="1:11" s="346" customFormat="1" ht="17.25" customHeight="1">
      <c r="A40" s="334">
        <v>35</v>
      </c>
      <c r="B40" s="343"/>
      <c r="C40" s="353" t="s">
        <v>345</v>
      </c>
      <c r="D40" s="733" t="s">
        <v>364</v>
      </c>
      <c r="E40" s="733"/>
      <c r="F40" s="101">
        <f>7602215-I40</f>
        <v>9193215</v>
      </c>
      <c r="G40" s="359"/>
      <c r="I40" s="483">
        <v>-1591000</v>
      </c>
      <c r="J40" s="483"/>
      <c r="K40" s="341">
        <f>F40+I40+J40-'Hegyesiné Ancsa'!F40</f>
        <v>0</v>
      </c>
    </row>
    <row r="41" spans="1:11" s="346" customFormat="1" ht="17.25" customHeight="1">
      <c r="A41" s="334">
        <v>36</v>
      </c>
      <c r="B41" s="343"/>
      <c r="C41" s="353" t="s">
        <v>345</v>
      </c>
      <c r="D41" s="733" t="s">
        <v>357</v>
      </c>
      <c r="E41" s="733"/>
      <c r="F41" s="101">
        <f>107021287-I41</f>
        <v>140686287</v>
      </c>
      <c r="G41" s="359"/>
      <c r="H41" s="349"/>
      <c r="I41" s="483">
        <v>-33665000</v>
      </c>
      <c r="J41" s="483"/>
      <c r="K41" s="341">
        <f>F41+I41+J41-'Hegyesiné Ancsa'!F41</f>
        <v>0</v>
      </c>
    </row>
    <row r="42" spans="1:11" s="346" customFormat="1" ht="17.25" customHeight="1">
      <c r="A42" s="334">
        <v>37</v>
      </c>
      <c r="B42" s="343"/>
      <c r="C42" s="353" t="s">
        <v>345</v>
      </c>
      <c r="D42" s="733" t="s">
        <v>358</v>
      </c>
      <c r="E42" s="733"/>
      <c r="F42" s="101">
        <v>460000</v>
      </c>
      <c r="G42" s="359"/>
      <c r="I42" s="483"/>
      <c r="J42" s="483"/>
      <c r="K42" s="341">
        <f>F42+I42+J42-'Hegyesiné Ancsa'!F42</f>
        <v>0</v>
      </c>
    </row>
    <row r="43" spans="1:11" s="346" customFormat="1" ht="36" customHeight="1">
      <c r="A43" s="334">
        <v>38</v>
      </c>
      <c r="B43" s="343"/>
      <c r="C43" s="353" t="s">
        <v>345</v>
      </c>
      <c r="D43" s="734" t="s">
        <v>448</v>
      </c>
      <c r="E43" s="735"/>
      <c r="F43" s="150">
        <f>-365824338-10-I43-J43</f>
        <v>-512013295</v>
      </c>
      <c r="G43" s="360"/>
      <c r="H43" s="478">
        <v>1478574798</v>
      </c>
      <c r="I43" s="483">
        <f>97032947+18798000+30358000</f>
        <v>146188947</v>
      </c>
      <c r="J43" s="483"/>
      <c r="K43" s="341">
        <f>F43+I43+J43-'Hegyesiné Ancsa'!F43</f>
        <v>0</v>
      </c>
    </row>
    <row r="44" spans="1:11" s="346" customFormat="1" ht="19.5" customHeight="1">
      <c r="A44" s="334">
        <v>39</v>
      </c>
      <c r="B44" s="343"/>
      <c r="C44" s="353" t="s">
        <v>345</v>
      </c>
      <c r="D44" s="734" t="s">
        <v>359</v>
      </c>
      <c r="E44" s="735"/>
      <c r="F44" s="150">
        <v>-1112750750</v>
      </c>
      <c r="G44" s="360"/>
      <c r="H44" s="479">
        <f>SUM(F43:F44)</f>
        <v>-1624764045</v>
      </c>
      <c r="I44" s="481"/>
      <c r="J44" s="481"/>
      <c r="K44" s="341"/>
    </row>
    <row r="45" spans="1:11" s="346" customFormat="1" ht="16.5" customHeight="1">
      <c r="A45" s="334">
        <v>40</v>
      </c>
      <c r="B45" s="343"/>
      <c r="C45" s="353" t="s">
        <v>345</v>
      </c>
      <c r="D45" s="738" t="s">
        <v>360</v>
      </c>
      <c r="E45" s="739"/>
      <c r="F45" s="101">
        <f>-28776619-I45</f>
        <v>23402328</v>
      </c>
      <c r="G45" s="359"/>
      <c r="I45" s="483">
        <v>-52178947</v>
      </c>
      <c r="J45" s="483"/>
      <c r="K45" s="341">
        <f>F45+I45+J45-'Hegyesiné Ancsa'!F45</f>
        <v>0</v>
      </c>
    </row>
    <row r="46" spans="1:11" s="346" customFormat="1" ht="18" customHeight="1">
      <c r="A46" s="334">
        <v>41</v>
      </c>
      <c r="B46" s="343"/>
      <c r="C46" s="353" t="s">
        <v>345</v>
      </c>
      <c r="D46" s="733" t="s">
        <v>361</v>
      </c>
      <c r="E46" s="733"/>
      <c r="F46" s="101">
        <v>1365996476</v>
      </c>
      <c r="G46" s="360"/>
      <c r="I46" s="483"/>
      <c r="J46" s="483"/>
      <c r="K46" s="341"/>
    </row>
    <row r="47" spans="1:11" s="346" customFormat="1" ht="18" customHeight="1">
      <c r="A47" s="334">
        <v>42</v>
      </c>
      <c r="B47" s="414"/>
      <c r="C47" s="353" t="s">
        <v>345</v>
      </c>
      <c r="D47" s="715" t="s">
        <v>447</v>
      </c>
      <c r="E47" s="725"/>
      <c r="F47" s="101">
        <v>3897723</v>
      </c>
      <c r="G47" s="360"/>
      <c r="I47" s="483"/>
      <c r="J47" s="483"/>
      <c r="K47" s="341"/>
    </row>
    <row r="48" spans="1:11" s="346" customFormat="1" ht="17.25" customHeight="1">
      <c r="A48" s="334">
        <v>43</v>
      </c>
      <c r="C48" s="353" t="s">
        <v>345</v>
      </c>
      <c r="D48" s="733" t="s">
        <v>362</v>
      </c>
      <c r="E48" s="733"/>
      <c r="F48" s="101">
        <f>-20885165-J48+49156000</f>
        <v>28270835</v>
      </c>
      <c r="G48" s="359"/>
      <c r="I48" s="483"/>
      <c r="J48" s="483"/>
      <c r="K48" s="341">
        <f>F48+I48+J48-'Hegyesiné Ancsa'!F48</f>
        <v>49156000</v>
      </c>
    </row>
    <row r="49" spans="1:13" s="346" customFormat="1" ht="22.5" customHeight="1">
      <c r="A49" s="334">
        <v>44</v>
      </c>
      <c r="B49" s="361" t="s">
        <v>506</v>
      </c>
      <c r="C49" s="749" t="s">
        <v>363</v>
      </c>
      <c r="D49" s="750"/>
      <c r="E49" s="751"/>
      <c r="F49" s="362"/>
      <c r="G49" s="363">
        <f>SUM(F50:F58)</f>
        <v>797363802</v>
      </c>
      <c r="H49" s="392">
        <f>G9+G14+G18+G20+G23+G33</f>
        <v>797363802</v>
      </c>
      <c r="I49" s="483">
        <f>SUM(I50:I58)</f>
        <v>0</v>
      </c>
      <c r="J49" s="483">
        <f>SUM(J50:J58)</f>
        <v>0</v>
      </c>
      <c r="K49" s="349">
        <f>G49-'Hegyesiné Ancsa'!G49</f>
        <v>0</v>
      </c>
      <c r="M49" s="345">
        <f>H49-'Hegyesiné Ancsa'!H49</f>
        <v>0</v>
      </c>
    </row>
    <row r="50" spans="1:11" ht="20.25" customHeight="1">
      <c r="A50" s="334">
        <v>45</v>
      </c>
      <c r="B50" s="364"/>
      <c r="C50" s="353" t="s">
        <v>345</v>
      </c>
      <c r="D50" s="715" t="s">
        <v>356</v>
      </c>
      <c r="E50" s="715"/>
      <c r="F50" s="101">
        <f>43337081-I50</f>
        <v>81925081</v>
      </c>
      <c r="G50" s="101"/>
      <c r="H50" s="341">
        <f>G49-H49</f>
        <v>0</v>
      </c>
      <c r="I50" s="483">
        <v>-38588000</v>
      </c>
      <c r="J50" s="483"/>
      <c r="K50" s="341">
        <f>F50+I50+J50-'Hegyesiné Ancsa'!F50</f>
        <v>0</v>
      </c>
    </row>
    <row r="51" spans="1:11" ht="16.5" customHeight="1">
      <c r="A51" s="334">
        <v>46</v>
      </c>
      <c r="B51" s="364"/>
      <c r="C51" s="353" t="s">
        <v>345</v>
      </c>
      <c r="D51" s="715" t="s">
        <v>364</v>
      </c>
      <c r="E51" s="715"/>
      <c r="F51" s="101">
        <f>7615938-I51</f>
        <v>17322938</v>
      </c>
      <c r="G51" s="101"/>
      <c r="H51" s="341"/>
      <c r="I51" s="483">
        <v>-9707000</v>
      </c>
      <c r="J51" s="483"/>
      <c r="K51" s="341">
        <f>F51+I51+J51-'Hegyesiné Ancsa'!F51</f>
        <v>0</v>
      </c>
    </row>
    <row r="52" spans="1:11" ht="17.25" customHeight="1">
      <c r="A52" s="334">
        <v>47</v>
      </c>
      <c r="B52" s="364"/>
      <c r="C52" s="353" t="s">
        <v>345</v>
      </c>
      <c r="D52" s="715" t="s">
        <v>357</v>
      </c>
      <c r="E52" s="715"/>
      <c r="F52" s="101">
        <f>144859240-I52</f>
        <v>190574240</v>
      </c>
      <c r="G52" s="101"/>
      <c r="H52" s="341"/>
      <c r="I52" s="483">
        <v>-45715000</v>
      </c>
      <c r="J52" s="483"/>
      <c r="K52" s="341">
        <f>F52+I52+J52-'Hegyesiné Ancsa'!F52</f>
        <v>0</v>
      </c>
    </row>
    <row r="53" spans="1:11" ht="17.25" customHeight="1">
      <c r="A53" s="334">
        <v>48</v>
      </c>
      <c r="B53" s="364"/>
      <c r="C53" s="353" t="s">
        <v>345</v>
      </c>
      <c r="D53" s="715" t="s">
        <v>358</v>
      </c>
      <c r="E53" s="715"/>
      <c r="F53" s="101">
        <f>680000</f>
        <v>680000</v>
      </c>
      <c r="G53" s="101"/>
      <c r="H53" s="341"/>
      <c r="I53" s="483"/>
      <c r="J53" s="483"/>
      <c r="K53" s="341">
        <f>F53+I53+J53-'Hegyesiné Ancsa'!F53</f>
        <v>0</v>
      </c>
    </row>
    <row r="54" spans="1:11" ht="17.25" customHeight="1">
      <c r="A54" s="334">
        <v>49</v>
      </c>
      <c r="B54" s="364"/>
      <c r="C54" s="353" t="s">
        <v>345</v>
      </c>
      <c r="D54" s="715" t="s">
        <v>365</v>
      </c>
      <c r="E54" s="715"/>
      <c r="F54" s="101">
        <f>-941770749-I54-J54</f>
        <v>-1064959696</v>
      </c>
      <c r="G54" s="101"/>
      <c r="I54" s="483">
        <v>146188947</v>
      </c>
      <c r="J54" s="483">
        <v>-23000000</v>
      </c>
      <c r="K54" s="341">
        <f>F54+I54+J54-'Hegyesiné Ancsa'!F54</f>
        <v>0</v>
      </c>
    </row>
    <row r="55" spans="1:10" ht="17.25" customHeight="1">
      <c r="A55" s="334">
        <v>50</v>
      </c>
      <c r="B55" s="364"/>
      <c r="C55" s="353" t="s">
        <v>345</v>
      </c>
      <c r="D55" s="715" t="s">
        <v>366</v>
      </c>
      <c r="E55" s="715"/>
      <c r="F55" s="101">
        <f>4159147-I55</f>
        <v>56338094</v>
      </c>
      <c r="G55" s="101"/>
      <c r="H55" s="341"/>
      <c r="I55" s="483">
        <v>-52178947</v>
      </c>
      <c r="J55" s="483"/>
    </row>
    <row r="56" spans="1:8" ht="17.25" customHeight="1">
      <c r="A56" s="334">
        <v>51</v>
      </c>
      <c r="B56" s="364"/>
      <c r="C56" s="353" t="s">
        <v>345</v>
      </c>
      <c r="D56" s="715" t="s">
        <v>361</v>
      </c>
      <c r="E56" s="725"/>
      <c r="F56" s="101">
        <v>1365996676</v>
      </c>
      <c r="G56" s="101"/>
      <c r="H56" s="341"/>
    </row>
    <row r="57" spans="1:8" ht="17.25" customHeight="1">
      <c r="A57" s="334">
        <v>52</v>
      </c>
      <c r="B57" s="364"/>
      <c r="C57" s="353" t="s">
        <v>345</v>
      </c>
      <c r="D57" s="715" t="s">
        <v>447</v>
      </c>
      <c r="E57" s="725"/>
      <c r="F57" s="101">
        <v>3897723</v>
      </c>
      <c r="G57" s="101"/>
      <c r="H57" s="341"/>
    </row>
    <row r="58" spans="1:11" ht="17.25" customHeight="1">
      <c r="A58" s="334">
        <v>53</v>
      </c>
      <c r="B58" s="364"/>
      <c r="C58" s="353" t="s">
        <v>345</v>
      </c>
      <c r="D58" s="715" t="s">
        <v>362</v>
      </c>
      <c r="E58" s="715"/>
      <c r="F58" s="101">
        <f>168588746-J58</f>
        <v>145588746</v>
      </c>
      <c r="G58" s="101"/>
      <c r="H58" s="341"/>
      <c r="J58" s="483">
        <v>23000000</v>
      </c>
      <c r="K58" s="341">
        <f>F58+I58+J58-'Hegyesiné Ancsa'!F58</f>
        <v>0</v>
      </c>
    </row>
    <row r="59" spans="1:7" ht="17.25" customHeight="1">
      <c r="A59" s="334">
        <v>54</v>
      </c>
      <c r="B59" s="365" t="s">
        <v>507</v>
      </c>
      <c r="C59" s="339"/>
      <c r="D59" s="339"/>
      <c r="E59" s="340"/>
      <c r="F59" s="102"/>
      <c r="G59" s="337"/>
    </row>
    <row r="60" spans="1:7" ht="17.25" customHeight="1">
      <c r="A60" s="334">
        <v>55</v>
      </c>
      <c r="B60" s="364"/>
      <c r="C60" s="716" t="s">
        <v>368</v>
      </c>
      <c r="D60" s="716"/>
      <c r="E60" s="716"/>
      <c r="F60" s="367"/>
      <c r="G60" s="368"/>
    </row>
    <row r="61" spans="1:11" ht="31.5" customHeight="1">
      <c r="A61" s="334">
        <v>56</v>
      </c>
      <c r="B61" s="364"/>
      <c r="C61" s="369" t="s">
        <v>345</v>
      </c>
      <c r="D61" s="715" t="s">
        <v>369</v>
      </c>
      <c r="E61" s="725"/>
      <c r="F61" s="368"/>
      <c r="G61" s="102">
        <f>SUM(F62:F67)</f>
        <v>150457206</v>
      </c>
      <c r="H61" s="341"/>
      <c r="I61" s="483"/>
      <c r="J61" s="484">
        <f>SUM(J62:J68)</f>
        <v>-9000000</v>
      </c>
      <c r="K61" s="349">
        <f>G61+J61-'Hegyesiné Ancsa'!G61</f>
        <v>0</v>
      </c>
    </row>
    <row r="62" spans="1:11" ht="21.75" customHeight="1">
      <c r="A62" s="334">
        <v>57</v>
      </c>
      <c r="B62" s="364"/>
      <c r="C62" s="369"/>
      <c r="D62" s="371" t="s">
        <v>345</v>
      </c>
      <c r="E62" s="372" t="s">
        <v>473</v>
      </c>
      <c r="F62" s="368">
        <f>-9000000-J62</f>
        <v>0</v>
      </c>
      <c r="G62" s="102"/>
      <c r="H62" s="341"/>
      <c r="I62" s="483"/>
      <c r="J62" s="483">
        <v>-9000000</v>
      </c>
      <c r="K62" s="341">
        <f>F62+I62+J62-'Hegyesiné Ancsa'!F62</f>
        <v>0</v>
      </c>
    </row>
    <row r="63" spans="1:7" ht="17.25" customHeight="1">
      <c r="A63" s="334">
        <v>58</v>
      </c>
      <c r="B63" s="364"/>
      <c r="C63" s="370"/>
      <c r="D63" s="371" t="s">
        <v>345</v>
      </c>
      <c r="E63" s="372" t="s">
        <v>356</v>
      </c>
      <c r="F63" s="368">
        <f>85307143+42907956</f>
        <v>128215099</v>
      </c>
      <c r="G63" s="102"/>
    </row>
    <row r="64" spans="1:7" ht="17.25" customHeight="1">
      <c r="A64" s="334">
        <v>59</v>
      </c>
      <c r="B64" s="364"/>
      <c r="C64" s="370"/>
      <c r="D64" s="371" t="s">
        <v>345</v>
      </c>
      <c r="E64" s="372" t="s">
        <v>364</v>
      </c>
      <c r="F64" s="368">
        <f>1000000+7207019</f>
        <v>8207019</v>
      </c>
      <c r="G64" s="101"/>
    </row>
    <row r="65" spans="1:10" ht="17.25" customHeight="1">
      <c r="A65" s="334">
        <v>60</v>
      </c>
      <c r="B65" s="364"/>
      <c r="C65" s="370"/>
      <c r="D65" s="371" t="s">
        <v>345</v>
      </c>
      <c r="E65" s="372" t="s">
        <v>357</v>
      </c>
      <c r="F65" s="101">
        <f>6720000+6500000</f>
        <v>13220000</v>
      </c>
      <c r="G65" s="101"/>
      <c r="I65" s="485"/>
      <c r="J65" s="485"/>
    </row>
    <row r="66" spans="1:10" ht="17.25" customHeight="1">
      <c r="A66" s="334">
        <v>61</v>
      </c>
      <c r="B66" s="364"/>
      <c r="C66" s="370"/>
      <c r="D66" s="371" t="s">
        <v>345</v>
      </c>
      <c r="E66" s="357" t="s">
        <v>366</v>
      </c>
      <c r="F66" s="101"/>
      <c r="G66" s="358"/>
      <c r="I66" s="485"/>
      <c r="J66" s="485"/>
    </row>
    <row r="67" spans="1:10" ht="17.25" customHeight="1">
      <c r="A67" s="334">
        <v>62</v>
      </c>
      <c r="B67" s="364"/>
      <c r="C67" s="370"/>
      <c r="D67" s="371" t="s">
        <v>345</v>
      </c>
      <c r="E67" s="372" t="s">
        <v>361</v>
      </c>
      <c r="F67" s="101">
        <v>815088</v>
      </c>
      <c r="G67" s="373"/>
      <c r="I67" s="485"/>
      <c r="J67" s="485"/>
    </row>
    <row r="68" spans="1:10" ht="17.25" customHeight="1">
      <c r="A68" s="334">
        <v>63</v>
      </c>
      <c r="B68" s="364"/>
      <c r="C68" s="726" t="s">
        <v>370</v>
      </c>
      <c r="D68" s="727"/>
      <c r="E68" s="728"/>
      <c r="F68" s="374"/>
      <c r="G68" s="373"/>
      <c r="I68" s="485"/>
      <c r="J68" s="485"/>
    </row>
    <row r="69" spans="1:11" ht="30.75" customHeight="1">
      <c r="A69" s="334">
        <v>64</v>
      </c>
      <c r="B69" s="364"/>
      <c r="C69" s="369" t="s">
        <v>345</v>
      </c>
      <c r="D69" s="715" t="s">
        <v>369</v>
      </c>
      <c r="E69" s="725"/>
      <c r="F69" s="102"/>
      <c r="G69" s="102">
        <f>SUM(F70:F74)</f>
        <v>33549323</v>
      </c>
      <c r="H69" s="341"/>
      <c r="I69" s="485"/>
      <c r="J69" s="486">
        <f>SUM(J70:J74)</f>
        <v>-14000000</v>
      </c>
      <c r="K69" s="349">
        <f>G69+J69-'Hegyesiné Ancsa'!G69</f>
        <v>0</v>
      </c>
    </row>
    <row r="70" spans="1:11" ht="30.75" customHeight="1">
      <c r="A70" s="334">
        <v>65</v>
      </c>
      <c r="B70" s="364"/>
      <c r="C70" s="369"/>
      <c r="D70" s="356" t="s">
        <v>345</v>
      </c>
      <c r="E70" s="372" t="s">
        <v>473</v>
      </c>
      <c r="F70" s="101">
        <f>-14000000-J70</f>
        <v>0</v>
      </c>
      <c r="G70" s="102"/>
      <c r="H70" s="341"/>
      <c r="I70" s="485"/>
      <c r="J70" s="485">
        <v>-14000000</v>
      </c>
      <c r="K70" s="341">
        <f>F70+I70+J70-'Hegyesiné Ancsa'!F70</f>
        <v>0</v>
      </c>
    </row>
    <row r="71" spans="1:10" ht="17.25" customHeight="1">
      <c r="A71" s="334">
        <v>66</v>
      </c>
      <c r="B71" s="364"/>
      <c r="C71" s="375"/>
      <c r="D71" s="356" t="s">
        <v>345</v>
      </c>
      <c r="E71" s="372" t="s">
        <v>356</v>
      </c>
      <c r="F71" s="101">
        <f>8645052+9308037+508975+7229710+750000+900000+1475677+643291</f>
        <v>29460742</v>
      </c>
      <c r="G71" s="101"/>
      <c r="I71" s="485"/>
      <c r="J71" s="485"/>
    </row>
    <row r="72" spans="1:7" ht="17.25" customHeight="1">
      <c r="A72" s="334">
        <v>67</v>
      </c>
      <c r="B72" s="376"/>
      <c r="C72" s="375"/>
      <c r="D72" s="356" t="s">
        <v>345</v>
      </c>
      <c r="E72" s="372" t="s">
        <v>364</v>
      </c>
      <c r="F72" s="101">
        <f>900000+1828691+89071+258244+112575</f>
        <v>3188581</v>
      </c>
      <c r="G72" s="358"/>
    </row>
    <row r="73" spans="1:7" ht="17.25" customHeight="1">
      <c r="A73" s="334">
        <v>68</v>
      </c>
      <c r="B73" s="376"/>
      <c r="C73" s="377"/>
      <c r="D73" s="356" t="s">
        <v>345</v>
      </c>
      <c r="E73" s="372" t="s">
        <v>357</v>
      </c>
      <c r="F73" s="101">
        <v>900000</v>
      </c>
      <c r="G73" s="358"/>
    </row>
    <row r="74" spans="1:7" ht="17.25" customHeight="1">
      <c r="A74" s="334">
        <v>69</v>
      </c>
      <c r="B74" s="376"/>
      <c r="C74" s="377"/>
      <c r="D74" s="356" t="s">
        <v>345</v>
      </c>
      <c r="E74" s="372" t="s">
        <v>361</v>
      </c>
      <c r="F74" s="101"/>
      <c r="G74" s="378"/>
    </row>
    <row r="75" spans="1:7" ht="17.25" customHeight="1">
      <c r="A75" s="334">
        <v>70</v>
      </c>
      <c r="B75" s="346"/>
      <c r="C75" s="729" t="s">
        <v>371</v>
      </c>
      <c r="D75" s="730"/>
      <c r="E75" s="730"/>
      <c r="F75" s="102"/>
      <c r="G75" s="378"/>
    </row>
    <row r="76" spans="1:8" ht="30" customHeight="1">
      <c r="A76" s="334">
        <v>71</v>
      </c>
      <c r="B76" s="379"/>
      <c r="C76" s="380" t="s">
        <v>345</v>
      </c>
      <c r="D76" s="715" t="s">
        <v>369</v>
      </c>
      <c r="E76" s="715"/>
      <c r="F76" s="368"/>
      <c r="G76" s="102">
        <f>SUM(F77:F80)</f>
        <v>2953844</v>
      </c>
      <c r="H76" s="341"/>
    </row>
    <row r="77" spans="1:11" s="346" customFormat="1" ht="24" customHeight="1">
      <c r="A77" s="334">
        <v>72</v>
      </c>
      <c r="B77" s="328"/>
      <c r="C77" s="375"/>
      <c r="D77" s="381" t="s">
        <v>345</v>
      </c>
      <c r="E77" s="382" t="s">
        <v>356</v>
      </c>
      <c r="F77" s="368">
        <f>1600000+441730+136855+142684+135237</f>
        <v>2456506</v>
      </c>
      <c r="G77" s="102"/>
      <c r="H77" s="349"/>
      <c r="I77" s="481"/>
      <c r="J77" s="481"/>
      <c r="K77" s="328"/>
    </row>
    <row r="78" spans="1:7" ht="17.25" customHeight="1">
      <c r="A78" s="334">
        <v>73</v>
      </c>
      <c r="C78" s="375"/>
      <c r="D78" s="381" t="s">
        <v>345</v>
      </c>
      <c r="E78" s="382" t="s">
        <v>364</v>
      </c>
      <c r="F78" s="368">
        <f>347451+77301+23949+24970+23667</f>
        <v>497338</v>
      </c>
      <c r="G78" s="373"/>
    </row>
    <row r="79" spans="1:7" ht="27.75" customHeight="1">
      <c r="A79" s="334">
        <v>74</v>
      </c>
      <c r="B79" s="335"/>
      <c r="C79" s="375"/>
      <c r="D79" s="381" t="s">
        <v>345</v>
      </c>
      <c r="E79" s="382" t="s">
        <v>357</v>
      </c>
      <c r="F79" s="101"/>
      <c r="G79" s="373"/>
    </row>
    <row r="80" spans="1:7" ht="17.25" customHeight="1">
      <c r="A80" s="334">
        <v>75</v>
      </c>
      <c r="B80" s="338"/>
      <c r="C80" s="375"/>
      <c r="D80" s="356" t="s">
        <v>345</v>
      </c>
      <c r="E80" s="382" t="s">
        <v>361</v>
      </c>
      <c r="F80" s="101"/>
      <c r="G80" s="373"/>
    </row>
    <row r="81" spans="1:7" ht="17.25" customHeight="1">
      <c r="A81" s="334">
        <v>76</v>
      </c>
      <c r="C81" s="716" t="s">
        <v>372</v>
      </c>
      <c r="D81" s="716"/>
      <c r="E81" s="716"/>
      <c r="F81" s="102"/>
      <c r="G81" s="373"/>
    </row>
    <row r="82" spans="1:8" ht="27.75" customHeight="1">
      <c r="A82" s="334">
        <v>77</v>
      </c>
      <c r="B82" s="347"/>
      <c r="C82" s="383" t="s">
        <v>345</v>
      </c>
      <c r="D82" s="715" t="s">
        <v>369</v>
      </c>
      <c r="E82" s="715"/>
      <c r="F82" s="101"/>
      <c r="G82" s="102">
        <f>SUM(F83:F86)</f>
        <v>9681685</v>
      </c>
      <c r="H82" s="341"/>
    </row>
    <row r="83" spans="1:7" ht="17.25" customHeight="1">
      <c r="A83" s="334">
        <v>78</v>
      </c>
      <c r="B83" s="347"/>
      <c r="C83" s="375"/>
      <c r="D83" s="356" t="s">
        <v>345</v>
      </c>
      <c r="E83" s="382" t="s">
        <v>356</v>
      </c>
      <c r="F83" s="101">
        <f>5990895+298740+100325+110101+113188</f>
        <v>6613249</v>
      </c>
      <c r="G83" s="101"/>
    </row>
    <row r="84" spans="1:7" ht="17.25" customHeight="1">
      <c r="A84" s="334">
        <v>79</v>
      </c>
      <c r="B84" s="347"/>
      <c r="C84" s="375"/>
      <c r="D84" s="356" t="s">
        <v>345</v>
      </c>
      <c r="E84" s="382" t="s">
        <v>364</v>
      </c>
      <c r="F84" s="101">
        <f>705657+52281+17558+19268+19808</f>
        <v>814572</v>
      </c>
      <c r="G84" s="101"/>
    </row>
    <row r="85" spans="1:8" ht="19.5" customHeight="1">
      <c r="A85" s="334">
        <v>80</v>
      </c>
      <c r="B85" s="347"/>
      <c r="C85" s="375"/>
      <c r="D85" s="356" t="s">
        <v>345</v>
      </c>
      <c r="E85" s="382" t="s">
        <v>357</v>
      </c>
      <c r="F85" s="101">
        <v>2208855</v>
      </c>
      <c r="G85" s="101"/>
      <c r="H85" s="341"/>
    </row>
    <row r="86" spans="1:7" ht="17.25" customHeight="1">
      <c r="A86" s="334">
        <v>81</v>
      </c>
      <c r="B86" s="347"/>
      <c r="C86" s="375"/>
      <c r="D86" s="356" t="s">
        <v>345</v>
      </c>
      <c r="E86" s="382" t="s">
        <v>361</v>
      </c>
      <c r="F86" s="101">
        <v>45009</v>
      </c>
      <c r="G86" s="101"/>
    </row>
    <row r="87" spans="1:7" ht="17.25" customHeight="1">
      <c r="A87" s="334">
        <v>82</v>
      </c>
      <c r="B87" s="364"/>
      <c r="C87" s="729" t="s">
        <v>373</v>
      </c>
      <c r="D87" s="730"/>
      <c r="E87" s="730"/>
      <c r="F87" s="101"/>
      <c r="G87" s="101"/>
    </row>
    <row r="88" spans="1:8" ht="28.5" customHeight="1">
      <c r="A88" s="334">
        <v>83</v>
      </c>
      <c r="B88" s="384"/>
      <c r="C88" s="380" t="s">
        <v>345</v>
      </c>
      <c r="D88" s="715" t="s">
        <v>369</v>
      </c>
      <c r="E88" s="715"/>
      <c r="F88" s="150"/>
      <c r="G88" s="351">
        <f>SUM(F89:F94)</f>
        <v>1363023</v>
      </c>
      <c r="H88" s="341"/>
    </row>
    <row r="89" spans="1:7" ht="17.25" customHeight="1">
      <c r="A89" s="334">
        <v>84</v>
      </c>
      <c r="B89" s="384"/>
      <c r="C89" s="375"/>
      <c r="D89" s="381" t="s">
        <v>345</v>
      </c>
      <c r="E89" s="382" t="s">
        <v>356</v>
      </c>
      <c r="F89" s="101">
        <v>1000000</v>
      </c>
      <c r="G89" s="101"/>
    </row>
    <row r="90" spans="1:11" s="346" customFormat="1" ht="17.25" customHeight="1">
      <c r="A90" s="334">
        <v>85</v>
      </c>
      <c r="B90" s="328"/>
      <c r="C90" s="375"/>
      <c r="D90" s="381" t="s">
        <v>345</v>
      </c>
      <c r="E90" s="382" t="s">
        <v>364</v>
      </c>
      <c r="F90" s="101">
        <v>363023</v>
      </c>
      <c r="G90" s="101"/>
      <c r="I90" s="481"/>
      <c r="J90" s="481"/>
      <c r="K90" s="328"/>
    </row>
    <row r="91" spans="1:7" ht="21.75" customHeight="1">
      <c r="A91" s="334">
        <v>86</v>
      </c>
      <c r="C91" s="375"/>
      <c r="D91" s="356" t="s">
        <v>345</v>
      </c>
      <c r="E91" s="382" t="s">
        <v>357</v>
      </c>
      <c r="F91" s="101"/>
      <c r="G91" s="101"/>
    </row>
    <row r="92" spans="1:7" ht="17.25" customHeight="1">
      <c r="A92" s="334">
        <v>87</v>
      </c>
      <c r="B92" s="347"/>
      <c r="C92" s="375"/>
      <c r="D92" s="356" t="s">
        <v>345</v>
      </c>
      <c r="E92" s="382" t="s">
        <v>361</v>
      </c>
      <c r="F92" s="101"/>
      <c r="G92" s="101"/>
    </row>
    <row r="93" spans="1:7" ht="17.25" customHeight="1">
      <c r="A93" s="334">
        <v>88</v>
      </c>
      <c r="B93" s="384"/>
      <c r="C93" s="375"/>
      <c r="D93" s="356" t="s">
        <v>345</v>
      </c>
      <c r="E93" s="382" t="s">
        <v>366</v>
      </c>
      <c r="F93" s="101"/>
      <c r="G93" s="101"/>
    </row>
    <row r="94" spans="1:7" ht="17.25" customHeight="1">
      <c r="A94" s="334">
        <v>89</v>
      </c>
      <c r="B94" s="385"/>
      <c r="C94" s="375"/>
      <c r="D94" s="356" t="s">
        <v>345</v>
      </c>
      <c r="E94" s="382" t="s">
        <v>374</v>
      </c>
      <c r="F94" s="101"/>
      <c r="G94" s="101"/>
    </row>
    <row r="95" spans="1:7" ht="13.5" customHeight="1">
      <c r="A95" s="334">
        <v>90</v>
      </c>
      <c r="B95" s="385"/>
      <c r="C95" s="716" t="s">
        <v>553</v>
      </c>
      <c r="D95" s="717"/>
      <c r="E95" s="717"/>
      <c r="F95" s="101"/>
      <c r="G95" s="95">
        <f>F99</f>
        <v>-9592667</v>
      </c>
    </row>
    <row r="96" spans="1:7" ht="14.25" customHeight="1">
      <c r="A96" s="334">
        <v>91</v>
      </c>
      <c r="B96" s="385"/>
      <c r="C96" s="717"/>
      <c r="D96" s="717"/>
      <c r="E96" s="717"/>
      <c r="F96" s="101"/>
      <c r="G96" s="95">
        <f>F100+F101+F102</f>
        <v>9592667</v>
      </c>
    </row>
    <row r="97" spans="1:7" ht="14.25" customHeight="1">
      <c r="A97" s="334">
        <v>92</v>
      </c>
      <c r="B97" s="385"/>
      <c r="C97" s="375"/>
      <c r="D97" s="371" t="s">
        <v>345</v>
      </c>
      <c r="E97" s="382" t="s">
        <v>377</v>
      </c>
      <c r="F97" s="101">
        <f>F108+F115+F121+F127+F133</f>
        <v>0</v>
      </c>
      <c r="G97" s="337"/>
    </row>
    <row r="98" spans="1:7" ht="14.25" customHeight="1">
      <c r="A98" s="334">
        <v>93</v>
      </c>
      <c r="B98" s="385"/>
      <c r="C98" s="375"/>
      <c r="D98" s="371" t="s">
        <v>345</v>
      </c>
      <c r="E98" s="382" t="s">
        <v>378</v>
      </c>
      <c r="F98" s="101">
        <f>F109+F116+F122+F128+F134</f>
        <v>0</v>
      </c>
      <c r="G98" s="368"/>
    </row>
    <row r="99" spans="1:7" ht="14.25" customHeight="1">
      <c r="A99" s="334">
        <v>94</v>
      </c>
      <c r="B99" s="385"/>
      <c r="C99" s="375"/>
      <c r="D99" s="371" t="s">
        <v>345</v>
      </c>
      <c r="E99" s="382" t="s">
        <v>379</v>
      </c>
      <c r="F99" s="101">
        <f>F110+F117+F123+F129+F135</f>
        <v>-9592667</v>
      </c>
      <c r="G99" s="368"/>
    </row>
    <row r="100" spans="1:7" ht="14.25" customHeight="1">
      <c r="A100" s="334">
        <v>95</v>
      </c>
      <c r="B100" s="385"/>
      <c r="C100" s="375"/>
      <c r="D100" s="356" t="s">
        <v>345</v>
      </c>
      <c r="E100" s="382" t="s">
        <v>361</v>
      </c>
      <c r="F100" s="101">
        <f>F112+F118+F124+F130+F136</f>
        <v>8036150</v>
      </c>
      <c r="G100" s="368"/>
    </row>
    <row r="101" spans="1:7" ht="14.25" customHeight="1">
      <c r="A101" s="334">
        <v>96</v>
      </c>
      <c r="B101" s="385"/>
      <c r="C101" s="375"/>
      <c r="D101" s="356" t="s">
        <v>345</v>
      </c>
      <c r="E101" s="382" t="s">
        <v>366</v>
      </c>
      <c r="F101" s="101">
        <f>F137</f>
        <v>556517</v>
      </c>
      <c r="G101" s="368"/>
    </row>
    <row r="102" spans="1:7" ht="14.25" customHeight="1">
      <c r="A102" s="334">
        <v>97</v>
      </c>
      <c r="B102" s="385"/>
      <c r="C102" s="375"/>
      <c r="D102" s="389" t="s">
        <v>345</v>
      </c>
      <c r="E102" s="382" t="s">
        <v>374</v>
      </c>
      <c r="F102" s="101">
        <f>F138</f>
        <v>1000000</v>
      </c>
      <c r="G102" s="368"/>
    </row>
    <row r="103" spans="1:7" ht="17.25" customHeight="1">
      <c r="A103" s="334">
        <v>98</v>
      </c>
      <c r="B103" s="549"/>
      <c r="C103" s="536"/>
      <c r="D103" s="537"/>
      <c r="E103" s="537"/>
      <c r="F103" s="101"/>
      <c r="G103" s="102"/>
    </row>
    <row r="104" spans="1:7" ht="17.25" customHeight="1">
      <c r="A104" s="334">
        <v>99</v>
      </c>
      <c r="B104" s="549"/>
      <c r="C104" s="536"/>
      <c r="D104" s="537"/>
      <c r="E104" s="537"/>
      <c r="F104" s="101"/>
      <c r="G104" s="102"/>
    </row>
    <row r="105" spans="1:7" ht="17.25" customHeight="1">
      <c r="A105" s="334">
        <v>100</v>
      </c>
      <c r="B105" s="549"/>
      <c r="C105" s="536"/>
      <c r="D105" s="537"/>
      <c r="E105" s="537"/>
      <c r="F105" s="101"/>
      <c r="G105" s="102"/>
    </row>
    <row r="106" spans="1:7" ht="17.25" customHeight="1">
      <c r="A106" s="334">
        <v>101</v>
      </c>
      <c r="C106" s="718" t="s">
        <v>376</v>
      </c>
      <c r="D106" s="719"/>
      <c r="E106" s="719"/>
      <c r="F106" s="101"/>
      <c r="G106" s="102">
        <f>SUM(F112)</f>
        <v>678980</v>
      </c>
    </row>
    <row r="107" spans="1:7" ht="18" customHeight="1">
      <c r="A107" s="334">
        <v>102</v>
      </c>
      <c r="C107" s="720"/>
      <c r="D107" s="721"/>
      <c r="E107" s="721"/>
      <c r="F107" s="355"/>
      <c r="G107" s="355">
        <f>SUM(F110)</f>
        <v>-678980</v>
      </c>
    </row>
    <row r="108" spans="1:7" ht="17.25" customHeight="1">
      <c r="A108" s="334">
        <v>103</v>
      </c>
      <c r="C108" s="365"/>
      <c r="D108" s="356" t="s">
        <v>345</v>
      </c>
      <c r="E108" s="357" t="s">
        <v>377</v>
      </c>
      <c r="F108" s="101"/>
      <c r="G108" s="387"/>
    </row>
    <row r="109" spans="1:7" ht="17.25" customHeight="1">
      <c r="A109" s="334">
        <v>104</v>
      </c>
      <c r="C109" s="365"/>
      <c r="D109" s="356" t="s">
        <v>345</v>
      </c>
      <c r="E109" s="357" t="s">
        <v>378</v>
      </c>
      <c r="F109" s="358"/>
      <c r="G109" s="388"/>
    </row>
    <row r="110" spans="1:7" ht="17.25" customHeight="1">
      <c r="A110" s="334">
        <v>105</v>
      </c>
      <c r="B110" s="385"/>
      <c r="C110" s="365"/>
      <c r="D110" s="356" t="s">
        <v>345</v>
      </c>
      <c r="E110" s="357" t="s">
        <v>379</v>
      </c>
      <c r="F110" s="101">
        <v>-678980</v>
      </c>
      <c r="G110" s="337"/>
    </row>
    <row r="111" spans="1:7" ht="17.25" customHeight="1">
      <c r="A111" s="334">
        <v>106</v>
      </c>
      <c r="B111" s="384"/>
      <c r="C111" s="365"/>
      <c r="D111" s="356" t="s">
        <v>345</v>
      </c>
      <c r="E111" s="357" t="s">
        <v>366</v>
      </c>
      <c r="F111" s="358"/>
      <c r="G111" s="378"/>
    </row>
    <row r="112" spans="1:11" s="346" customFormat="1" ht="17.25" customHeight="1">
      <c r="A112" s="334">
        <v>107</v>
      </c>
      <c r="B112" s="328"/>
      <c r="C112" s="365"/>
      <c r="D112" s="356" t="s">
        <v>345</v>
      </c>
      <c r="E112" s="357" t="s">
        <v>361</v>
      </c>
      <c r="F112" s="101">
        <v>678980</v>
      </c>
      <c r="G112" s="337"/>
      <c r="I112" s="481"/>
      <c r="J112" s="481"/>
      <c r="K112" s="328"/>
    </row>
    <row r="113" spans="1:7" ht="19.5" customHeight="1">
      <c r="A113" s="334">
        <v>108</v>
      </c>
      <c r="C113" s="718" t="s">
        <v>380</v>
      </c>
      <c r="D113" s="722"/>
      <c r="E113" s="723"/>
      <c r="F113" s="101"/>
      <c r="G113" s="337">
        <f>F118</f>
        <v>1829778</v>
      </c>
    </row>
    <row r="114" spans="1:7" ht="17.25" customHeight="1">
      <c r="A114" s="334">
        <v>109</v>
      </c>
      <c r="C114" s="720"/>
      <c r="D114" s="721"/>
      <c r="E114" s="724"/>
      <c r="F114" s="101"/>
      <c r="G114" s="337">
        <f>F117</f>
        <v>-1829778</v>
      </c>
    </row>
    <row r="115" spans="1:7" ht="17.25" customHeight="1">
      <c r="A115" s="334">
        <v>110</v>
      </c>
      <c r="C115" s="375"/>
      <c r="D115" s="356" t="s">
        <v>345</v>
      </c>
      <c r="E115" s="382" t="s">
        <v>381</v>
      </c>
      <c r="F115" s="101"/>
      <c r="G115" s="387"/>
    </row>
    <row r="116" spans="1:7" ht="17.25" customHeight="1">
      <c r="A116" s="334">
        <v>111</v>
      </c>
      <c r="B116" s="347"/>
      <c r="C116" s="365"/>
      <c r="D116" s="356" t="s">
        <v>345</v>
      </c>
      <c r="E116" s="357" t="s">
        <v>378</v>
      </c>
      <c r="F116" s="101"/>
      <c r="G116" s="387"/>
    </row>
    <row r="117" spans="1:7" ht="17.25" customHeight="1">
      <c r="A117" s="334">
        <v>112</v>
      </c>
      <c r="B117" s="347"/>
      <c r="C117" s="375"/>
      <c r="D117" s="356" t="s">
        <v>345</v>
      </c>
      <c r="E117" s="382" t="s">
        <v>379</v>
      </c>
      <c r="F117" s="101">
        <v>-1829778</v>
      </c>
      <c r="G117" s="387"/>
    </row>
    <row r="118" spans="1:7" ht="17.25" customHeight="1">
      <c r="A118" s="334">
        <v>113</v>
      </c>
      <c r="B118" s="347"/>
      <c r="C118" s="375"/>
      <c r="D118" s="356" t="s">
        <v>345</v>
      </c>
      <c r="E118" s="357" t="s">
        <v>361</v>
      </c>
      <c r="F118" s="101">
        <v>1829778</v>
      </c>
      <c r="G118" s="387"/>
    </row>
    <row r="119" spans="1:7" ht="18.75" customHeight="1">
      <c r="A119" s="334">
        <v>114</v>
      </c>
      <c r="B119" s="347"/>
      <c r="C119" s="718" t="s">
        <v>382</v>
      </c>
      <c r="D119" s="722"/>
      <c r="E119" s="723"/>
      <c r="F119" s="101"/>
      <c r="G119" s="387">
        <v>0</v>
      </c>
    </row>
    <row r="120" spans="1:7" ht="17.25" customHeight="1">
      <c r="A120" s="334">
        <v>115</v>
      </c>
      <c r="C120" s="720"/>
      <c r="D120" s="721"/>
      <c r="E120" s="724"/>
      <c r="F120" s="101"/>
      <c r="G120" s="387">
        <f>SUM(F121:F124)</f>
        <v>0</v>
      </c>
    </row>
    <row r="121" spans="1:7" ht="17.25" customHeight="1">
      <c r="A121" s="334">
        <v>116</v>
      </c>
      <c r="C121" s="386"/>
      <c r="D121" s="356" t="s">
        <v>345</v>
      </c>
      <c r="E121" s="382" t="s">
        <v>381</v>
      </c>
      <c r="F121" s="101">
        <v>0</v>
      </c>
      <c r="G121" s="387"/>
    </row>
    <row r="122" spans="1:7" ht="17.25" customHeight="1">
      <c r="A122" s="334">
        <v>117</v>
      </c>
      <c r="C122" s="386"/>
      <c r="D122" s="356" t="s">
        <v>345</v>
      </c>
      <c r="E122" s="357" t="s">
        <v>378</v>
      </c>
      <c r="F122" s="101">
        <v>0</v>
      </c>
      <c r="G122" s="387"/>
    </row>
    <row r="123" spans="1:7" ht="17.25" customHeight="1">
      <c r="A123" s="334">
        <v>118</v>
      </c>
      <c r="C123" s="375"/>
      <c r="D123" s="356" t="s">
        <v>345</v>
      </c>
      <c r="E123" s="382" t="s">
        <v>379</v>
      </c>
      <c r="F123" s="101">
        <v>0</v>
      </c>
      <c r="G123" s="387"/>
    </row>
    <row r="124" spans="1:7" ht="17.25" customHeight="1">
      <c r="A124" s="334">
        <v>119</v>
      </c>
      <c r="C124" s="375"/>
      <c r="D124" s="356" t="s">
        <v>345</v>
      </c>
      <c r="E124" s="357" t="s">
        <v>361</v>
      </c>
      <c r="F124" s="101">
        <v>0</v>
      </c>
      <c r="G124" s="387"/>
    </row>
    <row r="125" spans="1:7" ht="17.25" customHeight="1">
      <c r="A125" s="334">
        <v>120</v>
      </c>
      <c r="B125" s="384"/>
      <c r="C125" s="718" t="s">
        <v>383</v>
      </c>
      <c r="D125" s="722"/>
      <c r="E125" s="723"/>
      <c r="F125" s="101"/>
      <c r="G125" s="387">
        <f>SUM(F130)</f>
        <v>2438261</v>
      </c>
    </row>
    <row r="126" spans="1:7" ht="16.5" customHeight="1">
      <c r="A126" s="334">
        <v>121</v>
      </c>
      <c r="B126" s="385"/>
      <c r="C126" s="720"/>
      <c r="D126" s="721"/>
      <c r="E126" s="724"/>
      <c r="F126" s="101"/>
      <c r="G126" s="387">
        <f>SUM(F129)</f>
        <v>-2438261</v>
      </c>
    </row>
    <row r="127" spans="1:7" ht="14.25" customHeight="1">
      <c r="A127" s="334">
        <v>122</v>
      </c>
      <c r="B127" s="385"/>
      <c r="C127" s="375"/>
      <c r="D127" s="356" t="s">
        <v>345</v>
      </c>
      <c r="E127" s="382" t="s">
        <v>381</v>
      </c>
      <c r="F127" s="101">
        <v>0</v>
      </c>
      <c r="G127" s="387"/>
    </row>
    <row r="128" spans="1:7" ht="15.75" customHeight="1">
      <c r="A128" s="334">
        <v>123</v>
      </c>
      <c r="B128" s="385"/>
      <c r="C128" s="375"/>
      <c r="D128" s="356" t="s">
        <v>345</v>
      </c>
      <c r="E128" s="382" t="s">
        <v>378</v>
      </c>
      <c r="F128" s="101"/>
      <c r="G128" s="387"/>
    </row>
    <row r="129" spans="1:7" ht="16.5" customHeight="1">
      <c r="A129" s="334">
        <v>124</v>
      </c>
      <c r="B129" s="385"/>
      <c r="C129" s="375"/>
      <c r="D129" s="356" t="s">
        <v>345</v>
      </c>
      <c r="E129" s="382" t="s">
        <v>379</v>
      </c>
      <c r="F129" s="101">
        <v>-2438261</v>
      </c>
      <c r="G129" s="387"/>
    </row>
    <row r="130" spans="1:7" ht="17.25" customHeight="1">
      <c r="A130" s="334">
        <v>125</v>
      </c>
      <c r="B130" s="385"/>
      <c r="C130" s="375"/>
      <c r="D130" s="356" t="s">
        <v>345</v>
      </c>
      <c r="E130" s="382" t="s">
        <v>384</v>
      </c>
      <c r="F130" s="101">
        <v>2438261</v>
      </c>
      <c r="G130" s="387"/>
    </row>
    <row r="131" spans="1:7" ht="17.25" customHeight="1">
      <c r="A131" s="334">
        <v>126</v>
      </c>
      <c r="B131" s="385"/>
      <c r="C131" s="718" t="s">
        <v>499</v>
      </c>
      <c r="D131" s="722"/>
      <c r="E131" s="723"/>
      <c r="F131" s="101"/>
      <c r="G131" s="337">
        <f>F136+F137+F138</f>
        <v>4645648</v>
      </c>
    </row>
    <row r="132" spans="1:7" ht="17.25" customHeight="1">
      <c r="A132" s="334">
        <v>127</v>
      </c>
      <c r="B132" s="385"/>
      <c r="C132" s="720"/>
      <c r="D132" s="721"/>
      <c r="E132" s="724"/>
      <c r="F132" s="101"/>
      <c r="G132" s="337">
        <f>F135</f>
        <v>-4645648</v>
      </c>
    </row>
    <row r="133" spans="1:7" ht="14.25" customHeight="1">
      <c r="A133" s="334">
        <v>128</v>
      </c>
      <c r="B133" s="385"/>
      <c r="C133" s="386"/>
      <c r="D133" s="356" t="s">
        <v>345</v>
      </c>
      <c r="E133" s="382" t="s">
        <v>381</v>
      </c>
      <c r="F133" s="101"/>
      <c r="G133" s="337"/>
    </row>
    <row r="134" spans="1:7" ht="13.5" customHeight="1">
      <c r="A134" s="334">
        <v>129</v>
      </c>
      <c r="B134" s="385"/>
      <c r="C134" s="386"/>
      <c r="D134" s="356" t="s">
        <v>345</v>
      </c>
      <c r="E134" s="382" t="s">
        <v>378</v>
      </c>
      <c r="F134" s="101"/>
      <c r="G134" s="337"/>
    </row>
    <row r="135" spans="1:7" ht="13.5" customHeight="1">
      <c r="A135" s="334">
        <v>130</v>
      </c>
      <c r="B135" s="385"/>
      <c r="C135" s="375"/>
      <c r="D135" s="356" t="s">
        <v>345</v>
      </c>
      <c r="E135" s="382" t="s">
        <v>379</v>
      </c>
      <c r="F135" s="101">
        <v>-4645648</v>
      </c>
      <c r="G135" s="337"/>
    </row>
    <row r="136" spans="1:7" ht="13.5" customHeight="1">
      <c r="A136" s="334">
        <v>131</v>
      </c>
      <c r="B136" s="385"/>
      <c r="C136" s="375"/>
      <c r="D136" s="389" t="s">
        <v>345</v>
      </c>
      <c r="E136" s="382" t="s">
        <v>361</v>
      </c>
      <c r="F136" s="101">
        <v>3089131</v>
      </c>
      <c r="G136" s="337"/>
    </row>
    <row r="137" spans="1:7" ht="13.5" customHeight="1">
      <c r="A137" s="334">
        <v>132</v>
      </c>
      <c r="B137" s="385"/>
      <c r="C137" s="375"/>
      <c r="D137" s="389" t="s">
        <v>345</v>
      </c>
      <c r="E137" s="382" t="s">
        <v>366</v>
      </c>
      <c r="F137" s="101">
        <v>556517</v>
      </c>
      <c r="G137" s="337"/>
    </row>
    <row r="138" spans="1:7" ht="13.5" customHeight="1">
      <c r="A138" s="334">
        <v>133</v>
      </c>
      <c r="B138" s="385"/>
      <c r="C138" s="375"/>
      <c r="D138" s="389" t="s">
        <v>345</v>
      </c>
      <c r="E138" s="382" t="s">
        <v>374</v>
      </c>
      <c r="F138" s="101">
        <v>1000000</v>
      </c>
      <c r="G138" s="337"/>
    </row>
    <row r="139" spans="1:11" ht="14.25" customHeight="1">
      <c r="A139" s="334">
        <v>134</v>
      </c>
      <c r="B139" s="385"/>
      <c r="C139" s="716" t="s">
        <v>385</v>
      </c>
      <c r="D139" s="716"/>
      <c r="E139" s="716"/>
      <c r="F139" s="102"/>
      <c r="G139" s="102">
        <f>G61+G69+G76+G82+G88</f>
        <v>198005081</v>
      </c>
      <c r="I139" s="483">
        <f>I61+I69+I76+I82+I88</f>
        <v>0</v>
      </c>
      <c r="J139" s="483">
        <f>J61+J69+J76+J82+J88</f>
        <v>-23000000</v>
      </c>
      <c r="K139" s="349">
        <f>G139+J139-'Hegyesiné Ancsa'!G136</f>
        <v>0</v>
      </c>
    </row>
    <row r="140" spans="1:11" ht="18" customHeight="1">
      <c r="A140" s="334">
        <v>135</v>
      </c>
      <c r="B140" s="366" t="s">
        <v>508</v>
      </c>
      <c r="C140" s="366"/>
      <c r="D140" s="366"/>
      <c r="E140" s="366"/>
      <c r="F140" s="366"/>
      <c r="G140" s="351">
        <f>G139</f>
        <v>198005081</v>
      </c>
      <c r="I140" s="483">
        <f>I139</f>
        <v>0</v>
      </c>
      <c r="J140" s="483">
        <f>J139</f>
        <v>-23000000</v>
      </c>
      <c r="K140" s="349">
        <f>G140+J140-'Hegyesiné Ancsa'!G137</f>
        <v>0</v>
      </c>
    </row>
    <row r="141" spans="1:11" ht="18" customHeight="1">
      <c r="A141" s="334">
        <v>136</v>
      </c>
      <c r="B141" s="366" t="s">
        <v>387</v>
      </c>
      <c r="C141" s="366"/>
      <c r="D141" s="366"/>
      <c r="E141" s="366"/>
      <c r="F141" s="366"/>
      <c r="G141" s="351">
        <f>G140+G49</f>
        <v>995368883</v>
      </c>
      <c r="H141" s="341"/>
      <c r="I141" s="483">
        <f>I140+I49</f>
        <v>0</v>
      </c>
      <c r="J141" s="483">
        <f>J140+J49</f>
        <v>-23000000</v>
      </c>
      <c r="K141" s="341">
        <f>F141+I141+J141-'Hegyesiné Ancsa'!F138</f>
        <v>-23000000</v>
      </c>
    </row>
    <row r="142" spans="1:11" ht="18" customHeight="1">
      <c r="A142" s="334">
        <v>137</v>
      </c>
      <c r="B142" s="366" t="s">
        <v>557</v>
      </c>
      <c r="C142" s="359"/>
      <c r="D142" s="359"/>
      <c r="E142" s="359"/>
      <c r="F142" s="390"/>
      <c r="G142" s="351">
        <f>G141+G6</f>
        <v>5896649330</v>
      </c>
      <c r="H142" s="391"/>
      <c r="I142" s="483">
        <f>I141+I6</f>
        <v>4901280447</v>
      </c>
      <c r="J142" s="483">
        <f>J141+J6</f>
        <v>4878280447</v>
      </c>
      <c r="K142" s="488">
        <f>G142-'Hegyesiné Ancsa'!G139</f>
        <v>23000000</v>
      </c>
    </row>
    <row r="143" spans="1:11" ht="21.75" customHeight="1" hidden="1">
      <c r="A143" s="334">
        <v>128</v>
      </c>
      <c r="C143"/>
      <c r="D143"/>
      <c r="E143"/>
      <c r="F143" s="392"/>
      <c r="G143" s="393">
        <f>'[1]2'!AN17</f>
        <v>7355339026</v>
      </c>
      <c r="K143" s="341">
        <f>F143+I143+J143-'Hegyesiné Ancsa'!F140</f>
        <v>0</v>
      </c>
    </row>
    <row r="144" spans="1:11" ht="13.5" customHeight="1" hidden="1">
      <c r="A144" s="334">
        <v>129</v>
      </c>
      <c r="C144" s="346"/>
      <c r="D144" s="346"/>
      <c r="E144" s="346"/>
      <c r="F144" s="328"/>
      <c r="G144" s="394">
        <f>G142-G143</f>
        <v>-1458689696</v>
      </c>
      <c r="K144" s="341">
        <f>F144+I144+J144-'Hegyesiné Ancsa'!F141</f>
        <v>0</v>
      </c>
    </row>
    <row r="145" spans="1:11" ht="13.5" customHeight="1" hidden="1">
      <c r="A145" s="334">
        <v>130</v>
      </c>
      <c r="C145" s="346"/>
      <c r="D145" s="346"/>
      <c r="E145" s="346"/>
      <c r="F145" s="328"/>
      <c r="G145" s="328"/>
      <c r="K145" s="341">
        <f>F145+I145+J145-'Hegyesiné Ancsa'!F142</f>
        <v>0</v>
      </c>
    </row>
    <row r="146" spans="1:11" ht="13.5" customHeight="1" hidden="1">
      <c r="A146" s="395"/>
      <c r="C146" s="346"/>
      <c r="D146" s="346"/>
      <c r="E146" s="346"/>
      <c r="F146" s="346"/>
      <c r="G146" s="346"/>
      <c r="K146" s="341">
        <f>F146+I146+J146-'Hegyesiné Ancsa'!F143</f>
        <v>0</v>
      </c>
    </row>
    <row r="147" spans="1:11" ht="13.5" customHeight="1" hidden="1">
      <c r="A147" s="395"/>
      <c r="C147" s="346"/>
      <c r="D147" s="346"/>
      <c r="E147" s="346"/>
      <c r="F147" s="346"/>
      <c r="G147" s="349">
        <f>1!AN18</f>
        <v>5873649330</v>
      </c>
      <c r="K147" s="341">
        <f>F147+I147+J147-'Hegyesiné Ancsa'!F144</f>
        <v>0</v>
      </c>
    </row>
    <row r="148" spans="1:11" ht="15.75" customHeight="1" hidden="1">
      <c r="A148" s="395"/>
      <c r="C148" s="346"/>
      <c r="D148" s="346"/>
      <c r="E148" s="346"/>
      <c r="F148" s="346"/>
      <c r="G148" s="394">
        <f>G147-G142</f>
        <v>-23000000</v>
      </c>
      <c r="H148" s="341"/>
      <c r="K148" s="341">
        <f>F148+I148+J148-'Hegyesiné Ancsa'!F145</f>
        <v>0</v>
      </c>
    </row>
    <row r="149" spans="1:10" ht="15.75" customHeight="1">
      <c r="A149" s="395"/>
      <c r="F149" s="346"/>
      <c r="G149" s="346"/>
      <c r="J149" s="483"/>
    </row>
    <row r="150" spans="1:7" ht="15.75" customHeight="1">
      <c r="A150" s="395"/>
      <c r="F150" s="346"/>
      <c r="G150" s="346"/>
    </row>
    <row r="151" spans="1:7" ht="17.25" customHeight="1">
      <c r="A151" s="395"/>
      <c r="F151" s="396"/>
      <c r="G151" s="397"/>
    </row>
    <row r="152" spans="1:7" ht="17.25" customHeight="1">
      <c r="A152" s="395"/>
      <c r="F152" s="396"/>
      <c r="G152" s="397"/>
    </row>
    <row r="153" spans="1:7" ht="15" customHeight="1">
      <c r="A153" s="395"/>
      <c r="F153" s="396"/>
      <c r="G153" s="397"/>
    </row>
    <row r="154" spans="1:7" ht="17.25" customHeight="1">
      <c r="A154" s="395"/>
      <c r="F154" s="396"/>
      <c r="G154" s="397"/>
    </row>
    <row r="155" spans="1:7" ht="17.25" customHeight="1">
      <c r="A155" s="395"/>
      <c r="F155" s="396"/>
      <c r="G155" s="397"/>
    </row>
    <row r="156" spans="1:7" ht="17.25" customHeight="1">
      <c r="A156" s="395"/>
      <c r="B156" s="398"/>
      <c r="F156" s="396"/>
      <c r="G156" s="397"/>
    </row>
    <row r="157" spans="1:7" ht="17.25" customHeight="1">
      <c r="A157" s="395"/>
      <c r="B157" s="398"/>
      <c r="F157" s="396"/>
      <c r="G157" s="397"/>
    </row>
    <row r="158" spans="1:7" ht="17.25" customHeight="1">
      <c r="A158" s="395"/>
      <c r="F158" s="396"/>
      <c r="G158" s="397"/>
    </row>
    <row r="159" spans="1:7" ht="30" customHeight="1">
      <c r="A159" s="395"/>
      <c r="B159" s="399"/>
      <c r="F159" s="396"/>
      <c r="G159" s="397"/>
    </row>
    <row r="160" spans="1:8" ht="22.5" customHeight="1">
      <c r="A160" s="395"/>
      <c r="F160" s="396"/>
      <c r="G160" s="397"/>
      <c r="H160" s="341"/>
    </row>
    <row r="161" spans="1:8" ht="24" customHeight="1">
      <c r="A161" s="395"/>
      <c r="F161" s="396"/>
      <c r="G161" s="397"/>
      <c r="H161" s="341"/>
    </row>
    <row r="162" spans="1:7" ht="21.75" customHeight="1">
      <c r="A162" s="395"/>
      <c r="F162" s="396"/>
      <c r="G162" s="397"/>
    </row>
    <row r="163" spans="1:7" ht="26.25" customHeight="1">
      <c r="A163" s="395"/>
      <c r="F163" s="396"/>
      <c r="G163" s="397"/>
    </row>
    <row r="164" ht="17.25" customHeight="1">
      <c r="B164" s="346"/>
    </row>
    <row r="165" ht="17.25" customHeight="1">
      <c r="B165" s="346"/>
    </row>
    <row r="166" spans="3:11" s="346" customFormat="1" ht="17.25" customHeight="1">
      <c r="C166" s="328"/>
      <c r="D166" s="328"/>
      <c r="E166" s="328"/>
      <c r="F166" s="330"/>
      <c r="G166" s="400"/>
      <c r="I166" s="481"/>
      <c r="J166" s="481"/>
      <c r="K166" s="328"/>
    </row>
    <row r="167" spans="3:11" s="346" customFormat="1" ht="17.25" customHeight="1">
      <c r="C167" s="328"/>
      <c r="D167" s="328"/>
      <c r="E167" s="328"/>
      <c r="F167" s="330"/>
      <c r="G167" s="400"/>
      <c r="I167" s="481"/>
      <c r="J167" s="481"/>
      <c r="K167" s="328"/>
    </row>
    <row r="168" spans="3:11" s="346" customFormat="1" ht="17.25" customHeight="1">
      <c r="C168" s="328"/>
      <c r="D168" s="328"/>
      <c r="E168" s="328"/>
      <c r="F168" s="330"/>
      <c r="G168" s="400"/>
      <c r="I168" s="481"/>
      <c r="J168" s="481"/>
      <c r="K168" s="328"/>
    </row>
    <row r="169" spans="2:11" s="346" customFormat="1" ht="17.25" customHeight="1">
      <c r="B169" s="328"/>
      <c r="C169" s="328"/>
      <c r="D169" s="328"/>
      <c r="E169" s="328"/>
      <c r="F169" s="330"/>
      <c r="G169" s="400"/>
      <c r="I169" s="481"/>
      <c r="J169" s="481"/>
      <c r="K169" s="328"/>
    </row>
    <row r="170" spans="2:11" s="346" customFormat="1" ht="17.25" customHeight="1">
      <c r="B170" s="328"/>
      <c r="C170" s="328"/>
      <c r="D170" s="328"/>
      <c r="E170" s="328"/>
      <c r="F170" s="330"/>
      <c r="G170" s="400"/>
      <c r="I170" s="481"/>
      <c r="J170" s="481"/>
      <c r="K170" s="328"/>
    </row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spans="2:10" s="401" customFormat="1" ht="17.25" customHeight="1">
      <c r="B187" s="328"/>
      <c r="C187" s="328"/>
      <c r="D187" s="328"/>
      <c r="E187" s="328"/>
      <c r="F187" s="330"/>
      <c r="G187" s="400"/>
      <c r="I187" s="487"/>
      <c r="J187" s="487"/>
    </row>
    <row r="188" spans="2:10" s="401" customFormat="1" ht="17.25" customHeight="1">
      <c r="B188" s="328"/>
      <c r="C188" s="328"/>
      <c r="D188" s="328"/>
      <c r="E188" s="328"/>
      <c r="F188" s="330"/>
      <c r="G188" s="400"/>
      <c r="I188" s="487"/>
      <c r="J188" s="487"/>
    </row>
    <row r="189" spans="2:10" s="401" customFormat="1" ht="17.25" customHeight="1">
      <c r="B189" s="328"/>
      <c r="C189" s="328"/>
      <c r="D189" s="328"/>
      <c r="E189" s="328"/>
      <c r="F189" s="330"/>
      <c r="G189" s="400"/>
      <c r="I189" s="487"/>
      <c r="J189" s="487"/>
    </row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spans="2:10" s="401" customFormat="1" ht="17.25" customHeight="1">
      <c r="B199" s="328"/>
      <c r="C199" s="328"/>
      <c r="D199" s="328"/>
      <c r="E199" s="328"/>
      <c r="F199" s="330"/>
      <c r="G199" s="400"/>
      <c r="I199" s="487"/>
      <c r="J199" s="487"/>
    </row>
    <row r="200" spans="2:10" s="401" customFormat="1" ht="17.25" customHeight="1">
      <c r="B200" s="328"/>
      <c r="C200" s="328"/>
      <c r="D200" s="328"/>
      <c r="E200" s="328"/>
      <c r="F200" s="330"/>
      <c r="G200" s="400"/>
      <c r="I200" s="487"/>
      <c r="J200" s="487"/>
    </row>
  </sheetData>
  <sheetProtection/>
  <mergeCells count="73">
    <mergeCell ref="D47:E47"/>
    <mergeCell ref="C18:E18"/>
    <mergeCell ref="D19:E19"/>
    <mergeCell ref="C20:E20"/>
    <mergeCell ref="D21:E21"/>
    <mergeCell ref="I4:J4"/>
    <mergeCell ref="D16:E16"/>
    <mergeCell ref="D11:E11"/>
    <mergeCell ref="D12:E12"/>
    <mergeCell ref="D15:E15"/>
    <mergeCell ref="A2:G2"/>
    <mergeCell ref="A3:G3"/>
    <mergeCell ref="B6:E6"/>
    <mergeCell ref="B7:E7"/>
    <mergeCell ref="C8:E8"/>
    <mergeCell ref="D17:E17"/>
    <mergeCell ref="C9:E9"/>
    <mergeCell ref="D10:E10"/>
    <mergeCell ref="D13:E13"/>
    <mergeCell ref="C14:E14"/>
    <mergeCell ref="D22:E22"/>
    <mergeCell ref="D56:E56"/>
    <mergeCell ref="C23:E23"/>
    <mergeCell ref="D24:E24"/>
    <mergeCell ref="D25:E25"/>
    <mergeCell ref="D26:E26"/>
    <mergeCell ref="D46:E46"/>
    <mergeCell ref="D48:E48"/>
    <mergeCell ref="C49:E49"/>
    <mergeCell ref="D50:E50"/>
    <mergeCell ref="C27:E27"/>
    <mergeCell ref="D28:E28"/>
    <mergeCell ref="C33:E33"/>
    <mergeCell ref="D34:E34"/>
    <mergeCell ref="C35:E35"/>
    <mergeCell ref="D36:E36"/>
    <mergeCell ref="D29:E29"/>
    <mergeCell ref="D30:E30"/>
    <mergeCell ref="D31:E31"/>
    <mergeCell ref="D32:E32"/>
    <mergeCell ref="C60:E60"/>
    <mergeCell ref="F37:F38"/>
    <mergeCell ref="D39:E39"/>
    <mergeCell ref="D40:E40"/>
    <mergeCell ref="D41:E41"/>
    <mergeCell ref="D42:E42"/>
    <mergeCell ref="D43:E43"/>
    <mergeCell ref="C37:E38"/>
    <mergeCell ref="D44:E44"/>
    <mergeCell ref="D45:E45"/>
    <mergeCell ref="D51:E51"/>
    <mergeCell ref="D52:E52"/>
    <mergeCell ref="D53:E53"/>
    <mergeCell ref="D54:E54"/>
    <mergeCell ref="D55:E55"/>
    <mergeCell ref="D58:E58"/>
    <mergeCell ref="D57:E57"/>
    <mergeCell ref="D61:E61"/>
    <mergeCell ref="C68:E68"/>
    <mergeCell ref="D69:E69"/>
    <mergeCell ref="C75:E75"/>
    <mergeCell ref="D76:E76"/>
    <mergeCell ref="C87:E87"/>
    <mergeCell ref="C81:E81"/>
    <mergeCell ref="D82:E82"/>
    <mergeCell ref="D88:E88"/>
    <mergeCell ref="C95:E96"/>
    <mergeCell ref="C139:E139"/>
    <mergeCell ref="C106:E107"/>
    <mergeCell ref="C113:E114"/>
    <mergeCell ref="C119:E120"/>
    <mergeCell ref="C125:E126"/>
    <mergeCell ref="C131:E13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55" r:id="rId1"/>
  <rowBreaks count="2" manualBreakCount="2">
    <brk id="58" max="6" man="1"/>
    <brk id="124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7"/>
  <sheetViews>
    <sheetView zoomScalePageLayoutView="0" workbookViewId="0" topLeftCell="A112">
      <selection activeCell="J14" sqref="J13:J14"/>
    </sheetView>
  </sheetViews>
  <sheetFormatPr defaultColWidth="9.140625" defaultRowHeight="12.75"/>
  <cols>
    <col min="1" max="1" width="4.7109375" style="328" customWidth="1"/>
    <col min="2" max="2" width="3.140625" style="328" customWidth="1"/>
    <col min="3" max="3" width="3.421875" style="328" customWidth="1"/>
    <col min="4" max="4" width="3.140625" style="328" customWidth="1"/>
    <col min="5" max="5" width="72.00390625" style="328" customWidth="1"/>
    <col min="6" max="6" width="15.8515625" style="330" customWidth="1"/>
    <col min="7" max="7" width="15.7109375" style="400" customWidth="1"/>
    <col min="8" max="8" width="17.00390625" style="328" customWidth="1"/>
    <col min="9" max="10" width="16.7109375" style="481" customWidth="1"/>
    <col min="11" max="11" width="15.00390625" style="328" bestFit="1" customWidth="1"/>
    <col min="12" max="13" width="12.421875" style="328" bestFit="1" customWidth="1"/>
    <col min="14" max="16384" width="9.140625" style="328" customWidth="1"/>
  </cols>
  <sheetData>
    <row r="1" spans="2:7" ht="17.25" customHeight="1">
      <c r="B1" s="480"/>
      <c r="C1" s="480"/>
      <c r="D1" s="480"/>
      <c r="E1" s="480"/>
      <c r="F1" s="480"/>
      <c r="G1" s="459" t="s">
        <v>496</v>
      </c>
    </row>
    <row r="2" spans="1:7" ht="18.75" customHeight="1">
      <c r="A2" s="752" t="s">
        <v>498</v>
      </c>
      <c r="B2" s="753"/>
      <c r="C2" s="753"/>
      <c r="D2" s="753"/>
      <c r="E2" s="753"/>
      <c r="F2" s="753"/>
      <c r="G2" s="753"/>
    </row>
    <row r="3" spans="1:7" ht="18.75" customHeight="1">
      <c r="A3" s="754">
        <v>44012</v>
      </c>
      <c r="B3" s="753"/>
      <c r="C3" s="753"/>
      <c r="D3" s="753"/>
      <c r="E3" s="753"/>
      <c r="F3" s="753"/>
      <c r="G3" s="753"/>
    </row>
    <row r="4" spans="1:9" ht="17.25" customHeight="1">
      <c r="A4" s="329"/>
      <c r="G4" s="156" t="s">
        <v>193</v>
      </c>
      <c r="I4" s="481" t="s">
        <v>505</v>
      </c>
    </row>
    <row r="5" spans="1:10" ht="17.25" customHeight="1">
      <c r="A5" s="331"/>
      <c r="B5" s="332" t="s">
        <v>0</v>
      </c>
      <c r="C5" s="332" t="s">
        <v>340</v>
      </c>
      <c r="D5" s="332" t="s">
        <v>2</v>
      </c>
      <c r="E5" s="332" t="s">
        <v>3</v>
      </c>
      <c r="F5" s="333" t="s">
        <v>4</v>
      </c>
      <c r="G5" s="333" t="s">
        <v>5</v>
      </c>
      <c r="I5" s="482">
        <v>43978</v>
      </c>
      <c r="J5" s="482"/>
    </row>
    <row r="6" spans="1:10" ht="17.25" customHeight="1">
      <c r="A6" s="334">
        <v>1</v>
      </c>
      <c r="B6" s="755" t="s">
        <v>341</v>
      </c>
      <c r="C6" s="756"/>
      <c r="D6" s="756"/>
      <c r="E6" s="756"/>
      <c r="F6" s="336"/>
      <c r="G6" s="337">
        <f>1!AM18</f>
        <v>4901280447</v>
      </c>
      <c r="I6" s="484">
        <v>4901280447</v>
      </c>
      <c r="J6" s="484">
        <v>4901280447</v>
      </c>
    </row>
    <row r="7" spans="1:7" ht="18" customHeight="1">
      <c r="A7" s="334">
        <v>2</v>
      </c>
      <c r="B7" s="757" t="s">
        <v>437</v>
      </c>
      <c r="C7" s="758"/>
      <c r="D7" s="758"/>
      <c r="E7" s="759"/>
      <c r="G7" s="102"/>
    </row>
    <row r="8" spans="1:8" ht="17.25" customHeight="1">
      <c r="A8" s="334">
        <v>3</v>
      </c>
      <c r="B8" s="342" t="s">
        <v>342</v>
      </c>
      <c r="C8" s="755" t="s">
        <v>343</v>
      </c>
      <c r="D8" s="755"/>
      <c r="E8" s="755"/>
      <c r="F8" s="337"/>
      <c r="G8" s="95"/>
      <c r="H8" s="341"/>
    </row>
    <row r="9" spans="1:10" s="346" customFormat="1" ht="17.25" customHeight="1">
      <c r="A9" s="334">
        <v>4</v>
      </c>
      <c r="B9" s="343"/>
      <c r="C9" s="747" t="s">
        <v>344</v>
      </c>
      <c r="D9" s="760"/>
      <c r="E9" s="760"/>
      <c r="F9" s="344"/>
      <c r="G9" s="95">
        <f>SUM(F10:F13)</f>
        <v>36520175</v>
      </c>
      <c r="H9" s="349">
        <f>G9+G14+G18+G20+G23</f>
        <v>610130748</v>
      </c>
      <c r="I9" s="481"/>
      <c r="J9" s="481"/>
    </row>
    <row r="10" spans="1:10" ht="17.25" customHeight="1">
      <c r="A10" s="334">
        <v>5</v>
      </c>
      <c r="B10" s="347"/>
      <c r="C10" s="348" t="s">
        <v>345</v>
      </c>
      <c r="D10" s="761" t="s">
        <v>430</v>
      </c>
      <c r="E10" s="761"/>
      <c r="F10" s="92">
        <v>25417401</v>
      </c>
      <c r="G10" s="92"/>
      <c r="H10" s="341"/>
      <c r="I10" s="483"/>
      <c r="J10" s="483"/>
    </row>
    <row r="11" spans="1:10" ht="17.25" customHeight="1">
      <c r="A11" s="334">
        <v>6</v>
      </c>
      <c r="B11" s="347"/>
      <c r="C11" s="348"/>
      <c r="D11" s="761" t="s">
        <v>431</v>
      </c>
      <c r="E11" s="761"/>
      <c r="F11" s="92">
        <v>4864532</v>
      </c>
      <c r="G11" s="92"/>
      <c r="H11" s="341"/>
      <c r="I11" s="483"/>
      <c r="J11" s="483"/>
    </row>
    <row r="12" spans="1:10" ht="17.25" customHeight="1">
      <c r="A12" s="334">
        <v>7</v>
      </c>
      <c r="B12" s="347"/>
      <c r="C12" s="348"/>
      <c r="D12" s="761" t="s">
        <v>432</v>
      </c>
      <c r="E12" s="761"/>
      <c r="F12" s="92">
        <v>2476683</v>
      </c>
      <c r="G12" s="92"/>
      <c r="H12" s="341"/>
      <c r="I12" s="483"/>
      <c r="J12" s="483"/>
    </row>
    <row r="13" spans="1:7" ht="31.5" customHeight="1">
      <c r="A13" s="334">
        <v>8</v>
      </c>
      <c r="B13" s="347"/>
      <c r="C13" s="348" t="s">
        <v>345</v>
      </c>
      <c r="D13" s="761" t="s">
        <v>433</v>
      </c>
      <c r="E13" s="761"/>
      <c r="F13" s="92">
        <v>3761559</v>
      </c>
      <c r="G13" s="92"/>
    </row>
    <row r="14" spans="1:7" ht="17.25" customHeight="1">
      <c r="A14" s="334">
        <v>9</v>
      </c>
      <c r="B14" s="347"/>
      <c r="C14" s="747" t="s">
        <v>346</v>
      </c>
      <c r="D14" s="760"/>
      <c r="E14" s="745"/>
      <c r="F14" s="95"/>
      <c r="G14" s="102">
        <f>SUM(F15:F17)</f>
        <v>37818522</v>
      </c>
    </row>
    <row r="15" spans="1:7" ht="17.25" customHeight="1">
      <c r="A15" s="334">
        <v>10</v>
      </c>
      <c r="B15" s="347"/>
      <c r="C15" s="411" t="s">
        <v>345</v>
      </c>
      <c r="D15" s="743" t="s">
        <v>434</v>
      </c>
      <c r="E15" s="744"/>
      <c r="F15" s="92">
        <f>27985955+7556208</f>
        <v>35542163</v>
      </c>
      <c r="G15" s="102"/>
    </row>
    <row r="16" spans="1:7" ht="17.25" customHeight="1">
      <c r="A16" s="334">
        <v>11</v>
      </c>
      <c r="B16" s="347"/>
      <c r="C16" s="348" t="s">
        <v>345</v>
      </c>
      <c r="D16" s="743" t="s">
        <v>435</v>
      </c>
      <c r="E16" s="744"/>
      <c r="F16" s="92">
        <f>902330+243629</f>
        <v>1145959</v>
      </c>
      <c r="G16" s="102"/>
    </row>
    <row r="17" spans="1:7" ht="17.25" customHeight="1">
      <c r="A17" s="334">
        <v>12</v>
      </c>
      <c r="B17" s="347"/>
      <c r="C17" s="348" t="s">
        <v>345</v>
      </c>
      <c r="D17" s="743" t="s">
        <v>436</v>
      </c>
      <c r="E17" s="744"/>
      <c r="F17" s="92">
        <v>1130400</v>
      </c>
      <c r="G17" s="102"/>
    </row>
    <row r="18" spans="1:7" ht="17.25" customHeight="1">
      <c r="A18" s="334">
        <v>13</v>
      </c>
      <c r="B18" s="347"/>
      <c r="C18" s="745" t="s">
        <v>347</v>
      </c>
      <c r="D18" s="746"/>
      <c r="E18" s="747"/>
      <c r="F18" s="92"/>
      <c r="G18" s="102">
        <f>SUM(F19:F20)</f>
        <v>447710621</v>
      </c>
    </row>
    <row r="19" spans="1:7" ht="32.25" customHeight="1">
      <c r="A19" s="334">
        <v>14</v>
      </c>
      <c r="B19" s="347"/>
      <c r="C19" s="348" t="s">
        <v>345</v>
      </c>
      <c r="D19" s="715" t="s">
        <v>438</v>
      </c>
      <c r="E19" s="715"/>
      <c r="F19" s="92">
        <v>447710621</v>
      </c>
      <c r="G19" s="102"/>
    </row>
    <row r="20" spans="1:7" ht="31.5" customHeight="1">
      <c r="A20" s="334">
        <v>15</v>
      </c>
      <c r="B20" s="347"/>
      <c r="C20" s="745" t="s">
        <v>348</v>
      </c>
      <c r="D20" s="746"/>
      <c r="E20" s="747"/>
      <c r="F20" s="92"/>
      <c r="G20" s="102">
        <f>SUM(F21:F22)</f>
        <v>2349964</v>
      </c>
    </row>
    <row r="21" spans="1:8" ht="17.25" customHeight="1">
      <c r="A21" s="334">
        <v>16</v>
      </c>
      <c r="B21" s="347"/>
      <c r="C21" s="348" t="s">
        <v>345</v>
      </c>
      <c r="D21" s="748" t="s">
        <v>439</v>
      </c>
      <c r="E21" s="748"/>
      <c r="F21" s="92">
        <v>1125000</v>
      </c>
      <c r="G21" s="102"/>
      <c r="H21" s="341"/>
    </row>
    <row r="22" spans="1:8" ht="17.25" customHeight="1">
      <c r="A22" s="334">
        <v>17</v>
      </c>
      <c r="B22" s="347"/>
      <c r="C22" s="348" t="s">
        <v>345</v>
      </c>
      <c r="D22" s="748" t="s">
        <v>440</v>
      </c>
      <c r="E22" s="748"/>
      <c r="F22" s="92">
        <v>1224964</v>
      </c>
      <c r="G22" s="102"/>
      <c r="H22" s="341"/>
    </row>
    <row r="23" spans="1:7" ht="29.25" customHeight="1">
      <c r="A23" s="334">
        <v>18</v>
      </c>
      <c r="B23" s="347"/>
      <c r="C23" s="745" t="s">
        <v>349</v>
      </c>
      <c r="D23" s="746"/>
      <c r="E23" s="747"/>
      <c r="F23" s="92"/>
      <c r="G23" s="102">
        <f>SUM(F24:F26)</f>
        <v>85731466</v>
      </c>
    </row>
    <row r="24" spans="1:10" s="346" customFormat="1" ht="17.25" customHeight="1">
      <c r="A24" s="334">
        <v>19</v>
      </c>
      <c r="B24" s="343"/>
      <c r="C24" s="348" t="s">
        <v>345</v>
      </c>
      <c r="D24" s="748" t="s">
        <v>441</v>
      </c>
      <c r="E24" s="748"/>
      <c r="F24" s="92">
        <v>10003964</v>
      </c>
      <c r="G24" s="102"/>
      <c r="H24" s="349"/>
      <c r="I24" s="481"/>
      <c r="J24" s="481"/>
    </row>
    <row r="25" spans="1:10" s="346" customFormat="1" ht="17.25" customHeight="1">
      <c r="A25" s="334">
        <v>20</v>
      </c>
      <c r="B25" s="343"/>
      <c r="C25" s="348" t="s">
        <v>345</v>
      </c>
      <c r="D25" s="748" t="s">
        <v>442</v>
      </c>
      <c r="E25" s="748"/>
      <c r="F25" s="92">
        <v>54991000</v>
      </c>
      <c r="G25" s="102"/>
      <c r="I25" s="481"/>
      <c r="J25" s="481"/>
    </row>
    <row r="26" spans="1:10" s="346" customFormat="1" ht="17.25" customHeight="1">
      <c r="A26" s="334">
        <v>21</v>
      </c>
      <c r="B26" s="343"/>
      <c r="C26" s="348" t="s">
        <v>345</v>
      </c>
      <c r="D26" s="748" t="s">
        <v>443</v>
      </c>
      <c r="E26" s="748"/>
      <c r="F26" s="92">
        <v>20736502</v>
      </c>
      <c r="G26" s="102"/>
      <c r="I26" s="481"/>
      <c r="J26" s="481"/>
    </row>
    <row r="27" spans="1:10" s="346" customFormat="1" ht="28.5" customHeight="1">
      <c r="A27" s="334">
        <v>22</v>
      </c>
      <c r="B27" s="343"/>
      <c r="C27" s="740" t="s">
        <v>350</v>
      </c>
      <c r="D27" s="741"/>
      <c r="E27" s="742"/>
      <c r="F27" s="350"/>
      <c r="G27" s="351">
        <f>SUM(F28:F32)</f>
        <v>-18644308</v>
      </c>
      <c r="H27" s="328"/>
      <c r="I27" s="484">
        <f>SUM(I28:I32)</f>
        <v>-49156000</v>
      </c>
      <c r="J27" s="484">
        <f>SUM(J28:J32)</f>
        <v>23000000</v>
      </c>
    </row>
    <row r="28" spans="1:10" s="346" customFormat="1" ht="18" customHeight="1">
      <c r="A28" s="334">
        <v>23</v>
      </c>
      <c r="B28" s="343"/>
      <c r="C28" s="348"/>
      <c r="D28" s="743" t="s">
        <v>183</v>
      </c>
      <c r="E28" s="744"/>
      <c r="F28" s="97">
        <v>12015301</v>
      </c>
      <c r="G28" s="352"/>
      <c r="H28" s="328"/>
      <c r="I28" s="483">
        <v>-2000000</v>
      </c>
      <c r="J28" s="483">
        <v>9000000</v>
      </c>
    </row>
    <row r="29" spans="1:10" s="346" customFormat="1" ht="18" customHeight="1">
      <c r="A29" s="334">
        <v>24</v>
      </c>
      <c r="B29" s="343"/>
      <c r="C29" s="353"/>
      <c r="D29" s="743" t="s">
        <v>31</v>
      </c>
      <c r="E29" s="744"/>
      <c r="F29" s="97">
        <v>-30023595</v>
      </c>
      <c r="G29" s="352"/>
      <c r="H29" s="328"/>
      <c r="I29" s="483">
        <v>-30358000</v>
      </c>
      <c r="J29" s="483"/>
    </row>
    <row r="30" spans="1:10" s="346" customFormat="1" ht="18" customHeight="1">
      <c r="A30" s="334">
        <v>25</v>
      </c>
      <c r="B30" s="343"/>
      <c r="C30" s="412"/>
      <c r="D30" s="743" t="s">
        <v>444</v>
      </c>
      <c r="E30" s="744"/>
      <c r="F30" s="97">
        <v>1943203</v>
      </c>
      <c r="G30" s="352"/>
      <c r="H30" s="328"/>
      <c r="I30" s="483">
        <v>-14000000</v>
      </c>
      <c r="J30" s="483">
        <v>14000000</v>
      </c>
    </row>
    <row r="31" spans="1:10" s="346" customFormat="1" ht="18" customHeight="1">
      <c r="A31" s="334">
        <v>26</v>
      </c>
      <c r="B31" s="343"/>
      <c r="C31" s="412"/>
      <c r="D31" s="743" t="s">
        <v>445</v>
      </c>
      <c r="E31" s="744"/>
      <c r="F31" s="97">
        <v>-805892</v>
      </c>
      <c r="G31" s="352"/>
      <c r="H31" s="328"/>
      <c r="I31" s="483">
        <v>-953000</v>
      </c>
      <c r="J31" s="483"/>
    </row>
    <row r="32" spans="1:10" s="346" customFormat="1" ht="18" customHeight="1">
      <c r="A32" s="334">
        <v>27</v>
      </c>
      <c r="B32" s="343"/>
      <c r="C32" s="412"/>
      <c r="D32" s="743" t="s">
        <v>446</v>
      </c>
      <c r="E32" s="744"/>
      <c r="F32" s="97">
        <v>-1773325</v>
      </c>
      <c r="G32" s="352"/>
      <c r="H32" s="328"/>
      <c r="I32" s="483">
        <v>-1845000</v>
      </c>
      <c r="J32" s="483"/>
    </row>
    <row r="33" spans="1:10" s="346" customFormat="1" ht="21.75" customHeight="1">
      <c r="A33" s="334">
        <v>28</v>
      </c>
      <c r="B33" s="343"/>
      <c r="C33" s="745" t="s">
        <v>351</v>
      </c>
      <c r="D33" s="746"/>
      <c r="E33" s="747"/>
      <c r="F33" s="354"/>
      <c r="G33" s="355">
        <f>F34</f>
        <v>187233054</v>
      </c>
      <c r="H33" s="345"/>
      <c r="I33" s="483"/>
      <c r="J33" s="483"/>
    </row>
    <row r="34" spans="1:10" s="346" customFormat="1" ht="29.25" customHeight="1">
      <c r="A34" s="334">
        <v>29</v>
      </c>
      <c r="B34" s="343"/>
      <c r="C34" s="356" t="s">
        <v>345</v>
      </c>
      <c r="D34" s="715" t="s">
        <v>352</v>
      </c>
      <c r="E34" s="715"/>
      <c r="F34" s="94">
        <v>187233054</v>
      </c>
      <c r="G34" s="355"/>
      <c r="I34" s="483"/>
      <c r="J34" s="483"/>
    </row>
    <row r="35" spans="1:10" s="346" customFormat="1" ht="19.5" customHeight="1">
      <c r="A35" s="334">
        <v>30</v>
      </c>
      <c r="B35" s="343"/>
      <c r="C35" s="745" t="s">
        <v>353</v>
      </c>
      <c r="D35" s="746"/>
      <c r="E35" s="747"/>
      <c r="F35" s="94"/>
      <c r="G35" s="355">
        <f>F36</f>
        <v>0</v>
      </c>
      <c r="I35" s="483"/>
      <c r="J35" s="483"/>
    </row>
    <row r="36" spans="1:10" s="346" customFormat="1" ht="17.25" customHeight="1">
      <c r="A36" s="334">
        <v>31</v>
      </c>
      <c r="B36" s="343"/>
      <c r="C36" s="356" t="s">
        <v>345</v>
      </c>
      <c r="D36" s="715" t="s">
        <v>354</v>
      </c>
      <c r="E36" s="715"/>
      <c r="F36" s="94">
        <v>0</v>
      </c>
      <c r="G36" s="355"/>
      <c r="I36" s="483"/>
      <c r="J36" s="483"/>
    </row>
    <row r="37" spans="1:11" s="346" customFormat="1" ht="15.75" customHeight="1">
      <c r="A37" s="334">
        <v>32</v>
      </c>
      <c r="B37" s="343"/>
      <c r="C37" s="722" t="s">
        <v>355</v>
      </c>
      <c r="D37" s="736"/>
      <c r="E37" s="736"/>
      <c r="F37" s="731"/>
      <c r="G37" s="102">
        <f>F43+F48+F45+F44</f>
        <v>-1528236882</v>
      </c>
      <c r="I37" s="483"/>
      <c r="J37" s="483"/>
      <c r="K37" s="349">
        <f>SUM(G37:G38)</f>
        <v>0</v>
      </c>
    </row>
    <row r="38" spans="1:10" s="346" customFormat="1" ht="17.25" customHeight="1">
      <c r="A38" s="334">
        <v>33</v>
      </c>
      <c r="B38" s="343"/>
      <c r="C38" s="737"/>
      <c r="D38" s="737"/>
      <c r="E38" s="737"/>
      <c r="F38" s="732"/>
      <c r="G38" s="102">
        <f>F39+F40+F41+F42+F46+F47</f>
        <v>1528236882</v>
      </c>
      <c r="H38" s="349"/>
      <c r="I38" s="483">
        <f>SUM(I39:I48)</f>
        <v>49156000</v>
      </c>
      <c r="J38" s="483"/>
    </row>
    <row r="39" spans="1:13" s="346" customFormat="1" ht="17.25" customHeight="1">
      <c r="A39" s="334">
        <v>34</v>
      </c>
      <c r="B39" s="343"/>
      <c r="C39" s="353" t="s">
        <v>345</v>
      </c>
      <c r="D39" s="733" t="s">
        <v>356</v>
      </c>
      <c r="E39" s="733"/>
      <c r="F39" s="358">
        <v>43259181</v>
      </c>
      <c r="G39" s="359"/>
      <c r="I39" s="483">
        <v>-9598000</v>
      </c>
      <c r="J39" s="483"/>
      <c r="M39" s="349"/>
    </row>
    <row r="40" spans="1:13" s="346" customFormat="1" ht="17.25" customHeight="1">
      <c r="A40" s="334">
        <v>35</v>
      </c>
      <c r="B40" s="343"/>
      <c r="C40" s="353" t="s">
        <v>345</v>
      </c>
      <c r="D40" s="733" t="s">
        <v>364</v>
      </c>
      <c r="E40" s="733"/>
      <c r="F40" s="101">
        <v>7602215</v>
      </c>
      <c r="G40" s="359"/>
      <c r="I40" s="483">
        <v>-1591000</v>
      </c>
      <c r="J40" s="483"/>
      <c r="M40" s="349"/>
    </row>
    <row r="41" spans="1:10" s="346" customFormat="1" ht="17.25" customHeight="1">
      <c r="A41" s="334">
        <v>36</v>
      </c>
      <c r="B41" s="343"/>
      <c r="C41" s="353" t="s">
        <v>345</v>
      </c>
      <c r="D41" s="733" t="s">
        <v>357</v>
      </c>
      <c r="E41" s="733"/>
      <c r="F41" s="101">
        <v>107021287</v>
      </c>
      <c r="G41" s="359"/>
      <c r="H41" s="349"/>
      <c r="I41" s="483">
        <v>-33665000</v>
      </c>
      <c r="J41" s="483"/>
    </row>
    <row r="42" spans="1:10" s="346" customFormat="1" ht="17.25" customHeight="1">
      <c r="A42" s="334">
        <v>37</v>
      </c>
      <c r="B42" s="343"/>
      <c r="C42" s="353" t="s">
        <v>345</v>
      </c>
      <c r="D42" s="733" t="s">
        <v>358</v>
      </c>
      <c r="E42" s="733"/>
      <c r="F42" s="101">
        <v>460000</v>
      </c>
      <c r="G42" s="359"/>
      <c r="I42" s="483"/>
      <c r="J42" s="483"/>
    </row>
    <row r="43" spans="1:10" s="346" customFormat="1" ht="36" customHeight="1">
      <c r="A43" s="334">
        <v>38</v>
      </c>
      <c r="B43" s="343"/>
      <c r="C43" s="353" t="s">
        <v>345</v>
      </c>
      <c r="D43" s="734" t="s">
        <v>448</v>
      </c>
      <c r="E43" s="735"/>
      <c r="F43" s="150">
        <f>-365824338-10</f>
        <v>-365824348</v>
      </c>
      <c r="G43" s="360"/>
      <c r="H43" s="478">
        <v>1478574798</v>
      </c>
      <c r="I43" s="483">
        <f>97032947+18798000+30358000</f>
        <v>146188947</v>
      </c>
      <c r="J43" s="483">
        <v>-23000000</v>
      </c>
    </row>
    <row r="44" spans="1:10" s="346" customFormat="1" ht="19.5" customHeight="1">
      <c r="A44" s="334">
        <v>39</v>
      </c>
      <c r="B44" s="343"/>
      <c r="C44" s="353" t="s">
        <v>345</v>
      </c>
      <c r="D44" s="734" t="s">
        <v>359</v>
      </c>
      <c r="E44" s="735"/>
      <c r="F44" s="150">
        <v>-1112750750</v>
      </c>
      <c r="G44" s="360"/>
      <c r="H44" s="479">
        <f>SUM(F43:F44)</f>
        <v>-1478575098</v>
      </c>
      <c r="I44" s="481"/>
      <c r="J44" s="481"/>
    </row>
    <row r="45" spans="1:10" s="346" customFormat="1" ht="16.5" customHeight="1">
      <c r="A45" s="334">
        <v>40</v>
      </c>
      <c r="B45" s="343"/>
      <c r="C45" s="353" t="s">
        <v>345</v>
      </c>
      <c r="D45" s="738" t="s">
        <v>360</v>
      </c>
      <c r="E45" s="739"/>
      <c r="F45" s="101">
        <v>-28776619</v>
      </c>
      <c r="G45" s="359"/>
      <c r="I45" s="483">
        <v>-52178947</v>
      </c>
      <c r="J45" s="483"/>
    </row>
    <row r="46" spans="1:10" s="346" customFormat="1" ht="18" customHeight="1">
      <c r="A46" s="334">
        <v>41</v>
      </c>
      <c r="B46" s="343"/>
      <c r="C46" s="353" t="s">
        <v>345</v>
      </c>
      <c r="D46" s="733" t="s">
        <v>361</v>
      </c>
      <c r="E46" s="733"/>
      <c r="F46" s="101">
        <v>1365996476</v>
      </c>
      <c r="G46" s="360"/>
      <c r="I46" s="483"/>
      <c r="J46" s="483"/>
    </row>
    <row r="47" spans="1:10" s="346" customFormat="1" ht="18" customHeight="1">
      <c r="A47" s="334">
        <v>42</v>
      </c>
      <c r="B47" s="414"/>
      <c r="C47" s="353" t="s">
        <v>345</v>
      </c>
      <c r="D47" s="715" t="s">
        <v>447</v>
      </c>
      <c r="E47" s="725"/>
      <c r="F47" s="101">
        <v>3897723</v>
      </c>
      <c r="G47" s="360"/>
      <c r="I47" s="483"/>
      <c r="J47" s="483"/>
    </row>
    <row r="48" spans="1:10" s="346" customFormat="1" ht="17.25" customHeight="1">
      <c r="A48" s="334">
        <v>43</v>
      </c>
      <c r="C48" s="353" t="s">
        <v>345</v>
      </c>
      <c r="D48" s="733" t="s">
        <v>362</v>
      </c>
      <c r="E48" s="733"/>
      <c r="F48" s="101">
        <v>-20885165</v>
      </c>
      <c r="G48" s="359"/>
      <c r="I48" s="483"/>
      <c r="J48" s="483">
        <v>23000000</v>
      </c>
    </row>
    <row r="49" spans="1:12" s="346" customFormat="1" ht="22.5" customHeight="1">
      <c r="A49" s="334">
        <v>44</v>
      </c>
      <c r="B49" s="361" t="s">
        <v>342</v>
      </c>
      <c r="C49" s="749" t="s">
        <v>363</v>
      </c>
      <c r="D49" s="750"/>
      <c r="E49" s="751"/>
      <c r="F49" s="362"/>
      <c r="G49" s="363">
        <f>SUM(F50:F58)</f>
        <v>797363802</v>
      </c>
      <c r="H49" s="413">
        <f>G33+G23+G20+G18+G14+G9</f>
        <v>797363802</v>
      </c>
      <c r="I49" s="483">
        <f>SUM(I50:I58)</f>
        <v>0</v>
      </c>
      <c r="J49" s="483">
        <f>SUM(J50:J58)</f>
        <v>23000000</v>
      </c>
      <c r="L49" s="349">
        <f>G49-J49</f>
        <v>774363802</v>
      </c>
    </row>
    <row r="50" spans="1:10" ht="15" customHeight="1">
      <c r="A50" s="334">
        <v>45</v>
      </c>
      <c r="B50" s="364"/>
      <c r="C50" s="353" t="s">
        <v>345</v>
      </c>
      <c r="D50" s="715" t="s">
        <v>356</v>
      </c>
      <c r="E50" s="715"/>
      <c r="F50" s="101">
        <v>43337081</v>
      </c>
      <c r="G50" s="101"/>
      <c r="H50" s="341">
        <f>G49-H49</f>
        <v>0</v>
      </c>
      <c r="I50" s="483">
        <v>-38588000</v>
      </c>
      <c r="J50" s="483"/>
    </row>
    <row r="51" spans="1:10" ht="16.5" customHeight="1">
      <c r="A51" s="334">
        <v>46</v>
      </c>
      <c r="B51" s="364"/>
      <c r="C51" s="353" t="s">
        <v>345</v>
      </c>
      <c r="D51" s="715" t="s">
        <v>364</v>
      </c>
      <c r="E51" s="715"/>
      <c r="F51" s="101">
        <v>7615938</v>
      </c>
      <c r="G51" s="101"/>
      <c r="H51" s="341"/>
      <c r="I51" s="483">
        <v>-9707000</v>
      </c>
      <c r="J51" s="483"/>
    </row>
    <row r="52" spans="1:10" ht="17.25" customHeight="1">
      <c r="A52" s="334">
        <v>47</v>
      </c>
      <c r="B52" s="364"/>
      <c r="C52" s="353" t="s">
        <v>345</v>
      </c>
      <c r="D52" s="715" t="s">
        <v>357</v>
      </c>
      <c r="E52" s="715"/>
      <c r="F52" s="101">
        <v>144859240</v>
      </c>
      <c r="G52" s="101"/>
      <c r="H52" s="341"/>
      <c r="I52" s="483">
        <v>-45715000</v>
      </c>
      <c r="J52" s="483"/>
    </row>
    <row r="53" spans="1:10" ht="17.25" customHeight="1">
      <c r="A53" s="334">
        <v>48</v>
      </c>
      <c r="B53" s="364"/>
      <c r="C53" s="353" t="s">
        <v>345</v>
      </c>
      <c r="D53" s="715" t="s">
        <v>358</v>
      </c>
      <c r="E53" s="715"/>
      <c r="F53" s="101">
        <v>680000</v>
      </c>
      <c r="G53" s="101"/>
      <c r="H53" s="341"/>
      <c r="I53" s="483"/>
      <c r="J53" s="483"/>
    </row>
    <row r="54" spans="1:10" ht="17.25" customHeight="1">
      <c r="A54" s="334">
        <v>49</v>
      </c>
      <c r="B54" s="364"/>
      <c r="C54" s="353" t="s">
        <v>345</v>
      </c>
      <c r="D54" s="715" t="s">
        <v>365</v>
      </c>
      <c r="E54" s="715"/>
      <c r="F54" s="101">
        <v>-941770749</v>
      </c>
      <c r="G54" s="101"/>
      <c r="I54" s="483">
        <v>146188947</v>
      </c>
      <c r="J54" s="483"/>
    </row>
    <row r="55" spans="1:10" ht="17.25" customHeight="1">
      <c r="A55" s="334">
        <v>50</v>
      </c>
      <c r="B55" s="364"/>
      <c r="C55" s="353" t="s">
        <v>345</v>
      </c>
      <c r="D55" s="715" t="s">
        <v>366</v>
      </c>
      <c r="E55" s="715"/>
      <c r="F55" s="101">
        <v>4159147</v>
      </c>
      <c r="G55" s="101"/>
      <c r="H55" s="341"/>
      <c r="I55" s="483">
        <v>-52178947</v>
      </c>
      <c r="J55" s="483"/>
    </row>
    <row r="56" spans="1:8" ht="17.25" customHeight="1">
      <c r="A56" s="334">
        <v>51</v>
      </c>
      <c r="B56" s="364"/>
      <c r="C56" s="353" t="s">
        <v>345</v>
      </c>
      <c r="D56" s="715" t="s">
        <v>361</v>
      </c>
      <c r="E56" s="725"/>
      <c r="F56" s="101">
        <v>1365996676</v>
      </c>
      <c r="G56" s="101"/>
      <c r="H56" s="341"/>
    </row>
    <row r="57" spans="1:8" ht="17.25" customHeight="1">
      <c r="A57" s="334">
        <v>52</v>
      </c>
      <c r="B57" s="364"/>
      <c r="C57" s="353" t="s">
        <v>345</v>
      </c>
      <c r="D57" s="715" t="s">
        <v>447</v>
      </c>
      <c r="E57" s="725"/>
      <c r="F57" s="101">
        <v>3897723</v>
      </c>
      <c r="G57" s="101"/>
      <c r="H57" s="341"/>
    </row>
    <row r="58" spans="1:10" ht="17.25" customHeight="1">
      <c r="A58" s="334">
        <v>53</v>
      </c>
      <c r="B58" s="364"/>
      <c r="C58" s="353" t="s">
        <v>345</v>
      </c>
      <c r="D58" s="715" t="s">
        <v>362</v>
      </c>
      <c r="E58" s="715"/>
      <c r="F58" s="101">
        <f>168588746</f>
        <v>168588746</v>
      </c>
      <c r="G58" s="101"/>
      <c r="H58" s="341"/>
      <c r="J58" s="483">
        <v>23000000</v>
      </c>
    </row>
    <row r="59" spans="1:7" ht="17.25" customHeight="1">
      <c r="A59" s="334">
        <v>54</v>
      </c>
      <c r="B59" s="365" t="s">
        <v>367</v>
      </c>
      <c r="C59" s="339"/>
      <c r="D59" s="339"/>
      <c r="E59" s="340"/>
      <c r="F59" s="102"/>
      <c r="G59" s="337"/>
    </row>
    <row r="60" spans="1:7" ht="17.25" customHeight="1">
      <c r="A60" s="334">
        <v>55</v>
      </c>
      <c r="B60" s="364"/>
      <c r="C60" s="716" t="s">
        <v>368</v>
      </c>
      <c r="D60" s="716"/>
      <c r="E60" s="716"/>
      <c r="F60" s="367"/>
      <c r="G60" s="368"/>
    </row>
    <row r="61" spans="1:10" ht="31.5" customHeight="1">
      <c r="A61" s="334">
        <v>56</v>
      </c>
      <c r="B61" s="364"/>
      <c r="C61" s="369" t="s">
        <v>345</v>
      </c>
      <c r="D61" s="715" t="s">
        <v>369</v>
      </c>
      <c r="E61" s="725"/>
      <c r="F61" s="368"/>
      <c r="G61" s="102">
        <f>SUM(F62:F67)</f>
        <v>141457206</v>
      </c>
      <c r="H61" s="341"/>
      <c r="I61" s="483"/>
      <c r="J61" s="484">
        <f>SUM(J62:J68)</f>
        <v>-9000000</v>
      </c>
    </row>
    <row r="62" spans="1:10" ht="21.75" customHeight="1">
      <c r="A62" s="334">
        <v>57</v>
      </c>
      <c r="B62" s="364"/>
      <c r="C62" s="369"/>
      <c r="D62" s="371" t="s">
        <v>345</v>
      </c>
      <c r="E62" s="372" t="s">
        <v>473</v>
      </c>
      <c r="F62" s="368">
        <v>-9000000</v>
      </c>
      <c r="G62" s="102"/>
      <c r="H62" s="341"/>
      <c r="I62" s="483"/>
      <c r="J62" s="483">
        <v>-9000000</v>
      </c>
    </row>
    <row r="63" spans="1:7" ht="17.25" customHeight="1">
      <c r="A63" s="334">
        <v>58</v>
      </c>
      <c r="B63" s="364"/>
      <c r="C63" s="370"/>
      <c r="D63" s="371" t="s">
        <v>345</v>
      </c>
      <c r="E63" s="372" t="s">
        <v>356</v>
      </c>
      <c r="F63" s="368">
        <f>85307143+42907956</f>
        <v>128215099</v>
      </c>
      <c r="G63" s="102"/>
    </row>
    <row r="64" spans="1:7" ht="17.25" customHeight="1">
      <c r="A64" s="334">
        <v>59</v>
      </c>
      <c r="B64" s="364"/>
      <c r="C64" s="370"/>
      <c r="D64" s="371" t="s">
        <v>345</v>
      </c>
      <c r="E64" s="372" t="s">
        <v>364</v>
      </c>
      <c r="F64" s="368">
        <f>1000000+7207019</f>
        <v>8207019</v>
      </c>
      <c r="G64" s="101"/>
    </row>
    <row r="65" spans="1:10" ht="17.25" customHeight="1">
      <c r="A65" s="334">
        <v>60</v>
      </c>
      <c r="B65" s="364"/>
      <c r="C65" s="370"/>
      <c r="D65" s="371" t="s">
        <v>345</v>
      </c>
      <c r="E65" s="372" t="s">
        <v>357</v>
      </c>
      <c r="F65" s="101">
        <f>6720000+6500000</f>
        <v>13220000</v>
      </c>
      <c r="G65" s="101"/>
      <c r="I65" s="485"/>
      <c r="J65" s="485"/>
    </row>
    <row r="66" spans="1:10" ht="17.25" customHeight="1">
      <c r="A66" s="334">
        <v>61</v>
      </c>
      <c r="B66" s="364"/>
      <c r="C66" s="370"/>
      <c r="D66" s="371" t="s">
        <v>345</v>
      </c>
      <c r="E66" s="357" t="s">
        <v>366</v>
      </c>
      <c r="F66" s="101"/>
      <c r="G66" s="358"/>
      <c r="I66" s="485"/>
      <c r="J66" s="485"/>
    </row>
    <row r="67" spans="1:10" ht="17.25" customHeight="1">
      <c r="A67" s="334">
        <v>62</v>
      </c>
      <c r="B67" s="364"/>
      <c r="C67" s="370"/>
      <c r="D67" s="371" t="s">
        <v>345</v>
      </c>
      <c r="E67" s="372" t="s">
        <v>361</v>
      </c>
      <c r="F67" s="101">
        <v>815088</v>
      </c>
      <c r="G67" s="373"/>
      <c r="I67" s="485"/>
      <c r="J67" s="485"/>
    </row>
    <row r="68" spans="1:11" ht="17.25" customHeight="1">
      <c r="A68" s="334">
        <v>63</v>
      </c>
      <c r="B68" s="364"/>
      <c r="C68" s="726" t="s">
        <v>370</v>
      </c>
      <c r="D68" s="727"/>
      <c r="E68" s="728"/>
      <c r="F68" s="374"/>
      <c r="G68" s="373"/>
      <c r="I68" s="485"/>
      <c r="J68" s="485"/>
      <c r="K68" s="391"/>
    </row>
    <row r="69" spans="1:11" ht="30.75" customHeight="1">
      <c r="A69" s="334">
        <v>64</v>
      </c>
      <c r="B69" s="364"/>
      <c r="C69" s="369" t="s">
        <v>345</v>
      </c>
      <c r="D69" s="715" t="s">
        <v>369</v>
      </c>
      <c r="E69" s="725"/>
      <c r="F69" s="102"/>
      <c r="G69" s="102">
        <f>SUM(F70:F74)</f>
        <v>19549323</v>
      </c>
      <c r="H69" s="341"/>
      <c r="I69" s="485"/>
      <c r="J69" s="486">
        <f>SUM(J70:J74)</f>
        <v>-14000000</v>
      </c>
      <c r="K69" s="391"/>
    </row>
    <row r="70" spans="1:11" ht="30.75" customHeight="1">
      <c r="A70" s="334">
        <v>65</v>
      </c>
      <c r="B70" s="364"/>
      <c r="C70" s="369"/>
      <c r="D70" s="356" t="s">
        <v>345</v>
      </c>
      <c r="E70" s="372" t="s">
        <v>473</v>
      </c>
      <c r="F70" s="101">
        <v>-14000000</v>
      </c>
      <c r="G70" s="102"/>
      <c r="H70" s="341"/>
      <c r="I70" s="485"/>
      <c r="J70" s="485">
        <v>-14000000</v>
      </c>
      <c r="K70" s="391"/>
    </row>
    <row r="71" spans="1:10" ht="17.25" customHeight="1">
      <c r="A71" s="334">
        <v>66</v>
      </c>
      <c r="B71" s="364"/>
      <c r="C71" s="375"/>
      <c r="D71" s="356" t="s">
        <v>345</v>
      </c>
      <c r="E71" s="372" t="s">
        <v>356</v>
      </c>
      <c r="F71" s="101">
        <f>8645052+9308037+508975+7229710+750000+900000+1475677+643291</f>
        <v>29460742</v>
      </c>
      <c r="G71" s="101"/>
      <c r="I71" s="485"/>
      <c r="J71" s="485"/>
    </row>
    <row r="72" spans="1:7" ht="17.25" customHeight="1">
      <c r="A72" s="334">
        <v>67</v>
      </c>
      <c r="B72" s="376"/>
      <c r="C72" s="375"/>
      <c r="D72" s="356" t="s">
        <v>345</v>
      </c>
      <c r="E72" s="372" t="s">
        <v>364</v>
      </c>
      <c r="F72" s="101">
        <f>900000+1828691+89071+258244+112575</f>
        <v>3188581</v>
      </c>
      <c r="G72" s="358"/>
    </row>
    <row r="73" spans="1:7" ht="17.25" customHeight="1">
      <c r="A73" s="334">
        <v>68</v>
      </c>
      <c r="B73" s="376"/>
      <c r="C73" s="377"/>
      <c r="D73" s="356" t="s">
        <v>345</v>
      </c>
      <c r="E73" s="372" t="s">
        <v>357</v>
      </c>
      <c r="F73" s="101">
        <v>900000</v>
      </c>
      <c r="G73" s="358"/>
    </row>
    <row r="74" spans="1:7" ht="17.25" customHeight="1">
      <c r="A74" s="334">
        <v>69</v>
      </c>
      <c r="B74" s="376"/>
      <c r="C74" s="377"/>
      <c r="D74" s="356" t="s">
        <v>345</v>
      </c>
      <c r="E74" s="372" t="s">
        <v>361</v>
      </c>
      <c r="F74" s="101"/>
      <c r="G74" s="378"/>
    </row>
    <row r="75" spans="1:7" ht="17.25" customHeight="1">
      <c r="A75" s="334">
        <v>70</v>
      </c>
      <c r="B75" s="346"/>
      <c r="C75" s="729" t="s">
        <v>371</v>
      </c>
      <c r="D75" s="730"/>
      <c r="E75" s="730"/>
      <c r="F75" s="102"/>
      <c r="G75" s="378"/>
    </row>
    <row r="76" spans="1:8" ht="30" customHeight="1">
      <c r="A76" s="334">
        <v>71</v>
      </c>
      <c r="B76" s="379"/>
      <c r="C76" s="380" t="s">
        <v>345</v>
      </c>
      <c r="D76" s="715" t="s">
        <v>369</v>
      </c>
      <c r="E76" s="715"/>
      <c r="F76" s="368"/>
      <c r="G76" s="102">
        <f>SUM(F77:F80)</f>
        <v>2953844</v>
      </c>
      <c r="H76" s="341"/>
    </row>
    <row r="77" spans="1:10" s="346" customFormat="1" ht="24" customHeight="1">
      <c r="A77" s="334">
        <v>72</v>
      </c>
      <c r="B77" s="328"/>
      <c r="C77" s="375"/>
      <c r="D77" s="381" t="s">
        <v>345</v>
      </c>
      <c r="E77" s="382" t="s">
        <v>356</v>
      </c>
      <c r="F77" s="368">
        <f>1600000+441730+136855+142684+135237</f>
        <v>2456506</v>
      </c>
      <c r="G77" s="102"/>
      <c r="H77" s="349"/>
      <c r="I77" s="481"/>
      <c r="J77" s="481"/>
    </row>
    <row r="78" spans="1:7" ht="17.25" customHeight="1">
      <c r="A78" s="334">
        <v>73</v>
      </c>
      <c r="C78" s="375"/>
      <c r="D78" s="381" t="s">
        <v>345</v>
      </c>
      <c r="E78" s="382" t="s">
        <v>364</v>
      </c>
      <c r="F78" s="368">
        <f>347451+77301+23949+24970+23667</f>
        <v>497338</v>
      </c>
      <c r="G78" s="373"/>
    </row>
    <row r="79" spans="1:7" ht="27.75" customHeight="1">
      <c r="A79" s="334">
        <v>74</v>
      </c>
      <c r="B79" s="335"/>
      <c r="C79" s="375"/>
      <c r="D79" s="381" t="s">
        <v>345</v>
      </c>
      <c r="E79" s="382" t="s">
        <v>357</v>
      </c>
      <c r="F79" s="101"/>
      <c r="G79" s="373"/>
    </row>
    <row r="80" spans="1:7" ht="17.25" customHeight="1">
      <c r="A80" s="334">
        <v>75</v>
      </c>
      <c r="B80" s="338"/>
      <c r="C80" s="375"/>
      <c r="D80" s="356" t="s">
        <v>345</v>
      </c>
      <c r="E80" s="382" t="s">
        <v>361</v>
      </c>
      <c r="F80" s="101"/>
      <c r="G80" s="373"/>
    </row>
    <row r="81" spans="1:7" ht="17.25" customHeight="1">
      <c r="A81" s="334">
        <v>76</v>
      </c>
      <c r="C81" s="716" t="s">
        <v>372</v>
      </c>
      <c r="D81" s="716"/>
      <c r="E81" s="716"/>
      <c r="F81" s="102"/>
      <c r="G81" s="373"/>
    </row>
    <row r="82" spans="1:8" ht="27.75" customHeight="1">
      <c r="A82" s="334">
        <v>77</v>
      </c>
      <c r="B82" s="347"/>
      <c r="C82" s="383" t="s">
        <v>345</v>
      </c>
      <c r="D82" s="715" t="s">
        <v>369</v>
      </c>
      <c r="E82" s="715"/>
      <c r="F82" s="101"/>
      <c r="G82" s="102">
        <f>SUM(F83:F86)</f>
        <v>9681685</v>
      </c>
      <c r="H82" s="341"/>
    </row>
    <row r="83" spans="1:7" ht="17.25" customHeight="1">
      <c r="A83" s="334">
        <v>78</v>
      </c>
      <c r="B83" s="347"/>
      <c r="C83" s="375"/>
      <c r="D83" s="356" t="s">
        <v>345</v>
      </c>
      <c r="E83" s="382" t="s">
        <v>356</v>
      </c>
      <c r="F83" s="101">
        <f>5990895+298740+100325+110101+113188</f>
        <v>6613249</v>
      </c>
      <c r="G83" s="101"/>
    </row>
    <row r="84" spans="1:7" ht="17.25" customHeight="1">
      <c r="A84" s="334">
        <v>79</v>
      </c>
      <c r="B84" s="347"/>
      <c r="C84" s="375"/>
      <c r="D84" s="356" t="s">
        <v>345</v>
      </c>
      <c r="E84" s="382" t="s">
        <v>364</v>
      </c>
      <c r="F84" s="101">
        <f>705657+52281+17558+19268+19808</f>
        <v>814572</v>
      </c>
      <c r="G84" s="101"/>
    </row>
    <row r="85" spans="1:8" ht="19.5" customHeight="1">
      <c r="A85" s="334">
        <v>80</v>
      </c>
      <c r="B85" s="347"/>
      <c r="C85" s="375"/>
      <c r="D85" s="356" t="s">
        <v>345</v>
      </c>
      <c r="E85" s="382" t="s">
        <v>357</v>
      </c>
      <c r="F85" s="101">
        <v>2208855</v>
      </c>
      <c r="G85" s="101"/>
      <c r="H85" s="341"/>
    </row>
    <row r="86" spans="1:7" ht="17.25" customHeight="1">
      <c r="A86" s="334">
        <v>81</v>
      </c>
      <c r="B86" s="347"/>
      <c r="C86" s="375"/>
      <c r="D86" s="356" t="s">
        <v>345</v>
      </c>
      <c r="E86" s="382" t="s">
        <v>361</v>
      </c>
      <c r="F86" s="101">
        <v>45009</v>
      </c>
      <c r="G86" s="101"/>
    </row>
    <row r="87" spans="1:7" ht="17.25" customHeight="1">
      <c r="A87" s="334">
        <v>82</v>
      </c>
      <c r="B87" s="364"/>
      <c r="C87" s="729" t="s">
        <v>373</v>
      </c>
      <c r="D87" s="730"/>
      <c r="E87" s="730"/>
      <c r="F87" s="101"/>
      <c r="G87" s="101"/>
    </row>
    <row r="88" spans="1:8" ht="28.5" customHeight="1">
      <c r="A88" s="334">
        <v>83</v>
      </c>
      <c r="B88" s="384"/>
      <c r="C88" s="380" t="s">
        <v>345</v>
      </c>
      <c r="D88" s="715" t="s">
        <v>369</v>
      </c>
      <c r="E88" s="715"/>
      <c r="F88" s="150"/>
      <c r="G88" s="351">
        <f>SUM(F89:F94)</f>
        <v>1363023</v>
      </c>
      <c r="H88" s="341"/>
    </row>
    <row r="89" spans="1:7" ht="17.25" customHeight="1">
      <c r="A89" s="334">
        <v>84</v>
      </c>
      <c r="B89" s="384"/>
      <c r="C89" s="375"/>
      <c r="D89" s="381" t="s">
        <v>345</v>
      </c>
      <c r="E89" s="382" t="s">
        <v>356</v>
      </c>
      <c r="F89" s="101">
        <v>1000000</v>
      </c>
      <c r="G89" s="101"/>
    </row>
    <row r="90" spans="1:10" s="346" customFormat="1" ht="17.25" customHeight="1">
      <c r="A90" s="334">
        <v>85</v>
      </c>
      <c r="B90" s="328"/>
      <c r="C90" s="375"/>
      <c r="D90" s="381" t="s">
        <v>345</v>
      </c>
      <c r="E90" s="382" t="s">
        <v>364</v>
      </c>
      <c r="F90" s="101">
        <v>363023</v>
      </c>
      <c r="G90" s="101"/>
      <c r="I90" s="481"/>
      <c r="J90" s="481"/>
    </row>
    <row r="91" spans="1:7" ht="21.75" customHeight="1">
      <c r="A91" s="334">
        <v>86</v>
      </c>
      <c r="C91" s="375"/>
      <c r="D91" s="356" t="s">
        <v>345</v>
      </c>
      <c r="E91" s="382" t="s">
        <v>357</v>
      </c>
      <c r="F91" s="101"/>
      <c r="G91" s="101"/>
    </row>
    <row r="92" spans="1:7" ht="17.25" customHeight="1">
      <c r="A92" s="334">
        <v>87</v>
      </c>
      <c r="B92" s="347"/>
      <c r="C92" s="375"/>
      <c r="D92" s="356" t="s">
        <v>345</v>
      </c>
      <c r="E92" s="382" t="s">
        <v>361</v>
      </c>
      <c r="F92" s="101"/>
      <c r="G92" s="101"/>
    </row>
    <row r="93" spans="1:7" ht="17.25" customHeight="1">
      <c r="A93" s="334">
        <v>88</v>
      </c>
      <c r="B93" s="384"/>
      <c r="C93" s="375"/>
      <c r="D93" s="356" t="s">
        <v>345</v>
      </c>
      <c r="E93" s="382" t="s">
        <v>366</v>
      </c>
      <c r="F93" s="101"/>
      <c r="G93" s="101"/>
    </row>
    <row r="94" spans="1:7" ht="17.25" customHeight="1">
      <c r="A94" s="334">
        <v>89</v>
      </c>
      <c r="B94" s="385"/>
      <c r="C94" s="375"/>
      <c r="D94" s="356" t="s">
        <v>345</v>
      </c>
      <c r="E94" s="382" t="s">
        <v>374</v>
      </c>
      <c r="F94" s="101"/>
      <c r="G94" s="101"/>
    </row>
    <row r="95" spans="1:7" ht="17.25" customHeight="1">
      <c r="A95" s="334">
        <v>90</v>
      </c>
      <c r="B95" s="384"/>
      <c r="C95" s="716" t="s">
        <v>375</v>
      </c>
      <c r="D95" s="717"/>
      <c r="E95" s="717"/>
      <c r="F95" s="101"/>
      <c r="G95" s="102">
        <f>SUM(G96:G128)</f>
        <v>0</v>
      </c>
    </row>
    <row r="96" spans="1:7" ht="17.25" customHeight="1">
      <c r="A96" s="334">
        <v>91</v>
      </c>
      <c r="C96" s="718" t="s">
        <v>376</v>
      </c>
      <c r="D96" s="719"/>
      <c r="E96" s="719"/>
      <c r="F96" s="101"/>
      <c r="G96" s="102">
        <f>SUM(F102)</f>
        <v>678980</v>
      </c>
    </row>
    <row r="97" spans="1:7" ht="18" customHeight="1">
      <c r="A97" s="334">
        <v>92</v>
      </c>
      <c r="C97" s="720"/>
      <c r="D97" s="721"/>
      <c r="E97" s="721"/>
      <c r="F97" s="355"/>
      <c r="G97" s="355">
        <f>SUM(F100)</f>
        <v>-678980</v>
      </c>
    </row>
    <row r="98" spans="1:7" ht="17.25" customHeight="1">
      <c r="A98" s="334">
        <v>93</v>
      </c>
      <c r="C98" s="365"/>
      <c r="D98" s="356" t="s">
        <v>345</v>
      </c>
      <c r="E98" s="357" t="s">
        <v>377</v>
      </c>
      <c r="F98" s="101"/>
      <c r="G98" s="387"/>
    </row>
    <row r="99" spans="1:7" ht="17.25" customHeight="1">
      <c r="A99" s="334">
        <v>94</v>
      </c>
      <c r="C99" s="365"/>
      <c r="D99" s="356" t="s">
        <v>345</v>
      </c>
      <c r="E99" s="357" t="s">
        <v>378</v>
      </c>
      <c r="F99" s="358"/>
      <c r="G99" s="388"/>
    </row>
    <row r="100" spans="1:7" ht="17.25" customHeight="1">
      <c r="A100" s="334">
        <v>95</v>
      </c>
      <c r="B100" s="385"/>
      <c r="C100" s="365"/>
      <c r="D100" s="356" t="s">
        <v>345</v>
      </c>
      <c r="E100" s="357" t="s">
        <v>379</v>
      </c>
      <c r="F100" s="101">
        <v>-678980</v>
      </c>
      <c r="G100" s="337"/>
    </row>
    <row r="101" spans="1:7" ht="17.25" customHeight="1">
      <c r="A101" s="334">
        <v>96</v>
      </c>
      <c r="B101" s="384"/>
      <c r="C101" s="365"/>
      <c r="D101" s="356" t="s">
        <v>345</v>
      </c>
      <c r="E101" s="357" t="s">
        <v>366</v>
      </c>
      <c r="F101" s="358"/>
      <c r="G101" s="378"/>
    </row>
    <row r="102" spans="1:10" s="346" customFormat="1" ht="17.25" customHeight="1">
      <c r="A102" s="334">
        <v>97</v>
      </c>
      <c r="B102" s="328"/>
      <c r="C102" s="365"/>
      <c r="D102" s="356" t="s">
        <v>345</v>
      </c>
      <c r="E102" s="357" t="s">
        <v>361</v>
      </c>
      <c r="F102" s="101">
        <v>678980</v>
      </c>
      <c r="G102" s="337"/>
      <c r="I102" s="481"/>
      <c r="J102" s="481"/>
    </row>
    <row r="103" spans="1:7" ht="19.5" customHeight="1">
      <c r="A103" s="334">
        <v>98</v>
      </c>
      <c r="C103" s="718" t="s">
        <v>380</v>
      </c>
      <c r="D103" s="722"/>
      <c r="E103" s="723"/>
      <c r="F103" s="101"/>
      <c r="G103" s="337">
        <f>F108</f>
        <v>1829778</v>
      </c>
    </row>
    <row r="104" spans="1:7" ht="17.25" customHeight="1">
      <c r="A104" s="334">
        <v>99</v>
      </c>
      <c r="C104" s="720"/>
      <c r="D104" s="721"/>
      <c r="E104" s="724"/>
      <c r="F104" s="101"/>
      <c r="G104" s="337">
        <f>F107</f>
        <v>-1829778</v>
      </c>
    </row>
    <row r="105" spans="1:7" ht="17.25" customHeight="1">
      <c r="A105" s="334">
        <v>100</v>
      </c>
      <c r="C105" s="375"/>
      <c r="D105" s="356" t="s">
        <v>345</v>
      </c>
      <c r="E105" s="382" t="s">
        <v>381</v>
      </c>
      <c r="F105" s="101"/>
      <c r="G105" s="387"/>
    </row>
    <row r="106" spans="1:7" ht="17.25" customHeight="1">
      <c r="A106" s="334">
        <v>101</v>
      </c>
      <c r="B106" s="347"/>
      <c r="C106" s="365"/>
      <c r="D106" s="356" t="s">
        <v>345</v>
      </c>
      <c r="E106" s="357" t="s">
        <v>378</v>
      </c>
      <c r="F106" s="101"/>
      <c r="G106" s="387"/>
    </row>
    <row r="107" spans="1:7" ht="17.25" customHeight="1">
      <c r="A107" s="334">
        <v>102</v>
      </c>
      <c r="B107" s="347"/>
      <c r="C107" s="375"/>
      <c r="D107" s="356" t="s">
        <v>345</v>
      </c>
      <c r="E107" s="382" t="s">
        <v>379</v>
      </c>
      <c r="F107" s="101">
        <v>-1829778</v>
      </c>
      <c r="G107" s="387"/>
    </row>
    <row r="108" spans="1:7" ht="17.25" customHeight="1">
      <c r="A108" s="334">
        <v>103</v>
      </c>
      <c r="B108" s="347"/>
      <c r="C108" s="375"/>
      <c r="D108" s="356" t="s">
        <v>345</v>
      </c>
      <c r="E108" s="357" t="s">
        <v>361</v>
      </c>
      <c r="F108" s="101">
        <v>1829778</v>
      </c>
      <c r="G108" s="387"/>
    </row>
    <row r="109" spans="1:7" ht="18.75" customHeight="1">
      <c r="A109" s="334">
        <v>104</v>
      </c>
      <c r="B109" s="347"/>
      <c r="C109" s="718" t="s">
        <v>382</v>
      </c>
      <c r="D109" s="722"/>
      <c r="E109" s="723"/>
      <c r="F109" s="101"/>
      <c r="G109" s="387">
        <v>0</v>
      </c>
    </row>
    <row r="110" spans="1:7" ht="17.25" customHeight="1">
      <c r="A110" s="334">
        <v>105</v>
      </c>
      <c r="C110" s="720"/>
      <c r="D110" s="721"/>
      <c r="E110" s="724"/>
      <c r="F110" s="101"/>
      <c r="G110" s="387">
        <f>SUM(F111:F114)</f>
        <v>0</v>
      </c>
    </row>
    <row r="111" spans="1:7" ht="17.25" customHeight="1">
      <c r="A111" s="334">
        <v>106</v>
      </c>
      <c r="C111" s="386"/>
      <c r="D111" s="356" t="s">
        <v>345</v>
      </c>
      <c r="E111" s="382" t="s">
        <v>381</v>
      </c>
      <c r="F111" s="101">
        <v>0</v>
      </c>
      <c r="G111" s="387"/>
    </row>
    <row r="112" spans="1:7" ht="17.25" customHeight="1">
      <c r="A112" s="334">
        <v>107</v>
      </c>
      <c r="C112" s="386"/>
      <c r="D112" s="356" t="s">
        <v>345</v>
      </c>
      <c r="E112" s="357" t="s">
        <v>378</v>
      </c>
      <c r="F112" s="101">
        <v>0</v>
      </c>
      <c r="G112" s="387"/>
    </row>
    <row r="113" spans="1:7" ht="17.25" customHeight="1">
      <c r="A113" s="334">
        <v>108</v>
      </c>
      <c r="C113" s="375"/>
      <c r="D113" s="356" t="s">
        <v>345</v>
      </c>
      <c r="E113" s="382" t="s">
        <v>379</v>
      </c>
      <c r="F113" s="101">
        <v>0</v>
      </c>
      <c r="G113" s="387"/>
    </row>
    <row r="114" spans="1:7" ht="17.25" customHeight="1">
      <c r="A114" s="334">
        <v>109</v>
      </c>
      <c r="C114" s="375"/>
      <c r="D114" s="356" t="s">
        <v>345</v>
      </c>
      <c r="E114" s="357" t="s">
        <v>361</v>
      </c>
      <c r="F114" s="101">
        <v>0</v>
      </c>
      <c r="G114" s="387"/>
    </row>
    <row r="115" spans="1:7" ht="17.25" customHeight="1">
      <c r="A115" s="334">
        <v>110</v>
      </c>
      <c r="B115" s="384"/>
      <c r="C115" s="718" t="s">
        <v>383</v>
      </c>
      <c r="D115" s="722"/>
      <c r="E115" s="723"/>
      <c r="F115" s="101"/>
      <c r="G115" s="387">
        <f>SUM(F120)</f>
        <v>2438261</v>
      </c>
    </row>
    <row r="116" spans="1:7" ht="16.5" customHeight="1">
      <c r="A116" s="334">
        <v>111</v>
      </c>
      <c r="B116" s="385"/>
      <c r="C116" s="720"/>
      <c r="D116" s="721"/>
      <c r="E116" s="724"/>
      <c r="F116" s="101"/>
      <c r="G116" s="387">
        <f>SUM(F119)</f>
        <v>-2438261</v>
      </c>
    </row>
    <row r="117" spans="1:7" ht="14.25" customHeight="1">
      <c r="A117" s="334">
        <v>112</v>
      </c>
      <c r="B117" s="385"/>
      <c r="C117" s="375"/>
      <c r="D117" s="356" t="s">
        <v>345</v>
      </c>
      <c r="E117" s="382" t="s">
        <v>381</v>
      </c>
      <c r="F117" s="101">
        <v>0</v>
      </c>
      <c r="G117" s="387"/>
    </row>
    <row r="118" spans="1:7" ht="15.75" customHeight="1">
      <c r="A118" s="334">
        <v>113</v>
      </c>
      <c r="B118" s="385"/>
      <c r="C118" s="375"/>
      <c r="D118" s="356" t="s">
        <v>345</v>
      </c>
      <c r="E118" s="382" t="s">
        <v>378</v>
      </c>
      <c r="F118" s="101"/>
      <c r="G118" s="387"/>
    </row>
    <row r="119" spans="1:7" ht="16.5" customHeight="1">
      <c r="A119" s="334">
        <v>114</v>
      </c>
      <c r="B119" s="385"/>
      <c r="C119" s="375"/>
      <c r="D119" s="356" t="s">
        <v>345</v>
      </c>
      <c r="E119" s="382" t="s">
        <v>379</v>
      </c>
      <c r="F119" s="101">
        <v>-2438261</v>
      </c>
      <c r="G119" s="387"/>
    </row>
    <row r="120" spans="1:7" ht="17.25" customHeight="1">
      <c r="A120" s="334">
        <v>115</v>
      </c>
      <c r="B120" s="385"/>
      <c r="C120" s="375"/>
      <c r="D120" s="356" t="s">
        <v>345</v>
      </c>
      <c r="E120" s="382" t="s">
        <v>384</v>
      </c>
      <c r="F120" s="101">
        <v>2438261</v>
      </c>
      <c r="G120" s="387"/>
    </row>
    <row r="121" spans="1:7" ht="17.25" customHeight="1">
      <c r="A121" s="334">
        <v>116</v>
      </c>
      <c r="B121" s="385"/>
      <c r="C121" s="718" t="s">
        <v>499</v>
      </c>
      <c r="D121" s="722"/>
      <c r="E121" s="723"/>
      <c r="F121" s="101"/>
      <c r="G121" s="337">
        <f>F126+F127+F128</f>
        <v>4645648</v>
      </c>
    </row>
    <row r="122" spans="1:7" ht="17.25" customHeight="1">
      <c r="A122" s="334">
        <v>117</v>
      </c>
      <c r="B122" s="385"/>
      <c r="C122" s="720"/>
      <c r="D122" s="721"/>
      <c r="E122" s="724"/>
      <c r="F122" s="101"/>
      <c r="G122" s="337">
        <f>F125</f>
        <v>-4645648</v>
      </c>
    </row>
    <row r="123" spans="1:7" ht="14.25" customHeight="1">
      <c r="A123" s="334">
        <v>118</v>
      </c>
      <c r="B123" s="385"/>
      <c r="C123" s="386"/>
      <c r="D123" s="356" t="s">
        <v>345</v>
      </c>
      <c r="E123" s="382" t="s">
        <v>381</v>
      </c>
      <c r="F123" s="101"/>
      <c r="G123" s="337"/>
    </row>
    <row r="124" spans="1:7" ht="13.5" customHeight="1">
      <c r="A124" s="334">
        <v>119</v>
      </c>
      <c r="B124" s="385"/>
      <c r="C124" s="386"/>
      <c r="D124" s="356" t="s">
        <v>345</v>
      </c>
      <c r="E124" s="382" t="s">
        <v>378</v>
      </c>
      <c r="F124" s="101"/>
      <c r="G124" s="337"/>
    </row>
    <row r="125" spans="1:7" ht="13.5" customHeight="1">
      <c r="A125" s="334">
        <v>120</v>
      </c>
      <c r="B125" s="385"/>
      <c r="C125" s="375"/>
      <c r="D125" s="356" t="s">
        <v>345</v>
      </c>
      <c r="E125" s="382" t="s">
        <v>379</v>
      </c>
      <c r="F125" s="101">
        <v>-4645648</v>
      </c>
      <c r="G125" s="337"/>
    </row>
    <row r="126" spans="1:7" ht="13.5" customHeight="1">
      <c r="A126" s="334">
        <v>121</v>
      </c>
      <c r="B126" s="385"/>
      <c r="C126" s="375"/>
      <c r="D126" s="389" t="s">
        <v>345</v>
      </c>
      <c r="E126" s="382" t="s">
        <v>361</v>
      </c>
      <c r="F126" s="101">
        <v>3089131</v>
      </c>
      <c r="G126" s="337"/>
    </row>
    <row r="127" spans="1:7" ht="13.5" customHeight="1">
      <c r="A127" s="334">
        <v>122</v>
      </c>
      <c r="B127" s="385"/>
      <c r="C127" s="375"/>
      <c r="D127" s="389" t="s">
        <v>345</v>
      </c>
      <c r="E127" s="382" t="s">
        <v>366</v>
      </c>
      <c r="F127" s="101">
        <v>556517</v>
      </c>
      <c r="G127" s="337"/>
    </row>
    <row r="128" spans="1:7" ht="13.5" customHeight="1">
      <c r="A128" s="334">
        <v>123</v>
      </c>
      <c r="B128" s="385"/>
      <c r="C128" s="375"/>
      <c r="D128" s="389" t="s">
        <v>345</v>
      </c>
      <c r="E128" s="382" t="s">
        <v>374</v>
      </c>
      <c r="F128" s="101">
        <v>1000000</v>
      </c>
      <c r="G128" s="337"/>
    </row>
    <row r="129" spans="1:7" ht="13.5" customHeight="1" hidden="1">
      <c r="A129" s="334">
        <v>124</v>
      </c>
      <c r="B129" s="385"/>
      <c r="C129" s="716" t="s">
        <v>500</v>
      </c>
      <c r="D129" s="717"/>
      <c r="E129" s="717"/>
      <c r="F129" s="101"/>
      <c r="G129" s="95">
        <f>F133+F134</f>
        <v>0</v>
      </c>
    </row>
    <row r="130" spans="1:7" ht="14.25" customHeight="1" hidden="1">
      <c r="A130" s="334">
        <v>125</v>
      </c>
      <c r="B130" s="385"/>
      <c r="C130" s="717"/>
      <c r="D130" s="717"/>
      <c r="E130" s="717"/>
      <c r="F130" s="101"/>
      <c r="G130" s="95">
        <f>F131</f>
        <v>0</v>
      </c>
    </row>
    <row r="131" spans="1:7" ht="14.25" customHeight="1" hidden="1">
      <c r="A131" s="334">
        <v>126</v>
      </c>
      <c r="B131" s="385"/>
      <c r="C131" s="375"/>
      <c r="D131" s="371" t="s">
        <v>345</v>
      </c>
      <c r="E131" s="382" t="s">
        <v>377</v>
      </c>
      <c r="F131" s="101"/>
      <c r="G131" s="337"/>
    </row>
    <row r="132" spans="1:7" ht="14.25" customHeight="1" hidden="1">
      <c r="A132" s="334">
        <v>127</v>
      </c>
      <c r="B132" s="385"/>
      <c r="C132" s="375"/>
      <c r="D132" s="371" t="s">
        <v>345</v>
      </c>
      <c r="E132" s="382" t="s">
        <v>378</v>
      </c>
      <c r="F132" s="101"/>
      <c r="G132" s="368"/>
    </row>
    <row r="133" spans="1:7" ht="14.25" customHeight="1" hidden="1">
      <c r="A133" s="334">
        <v>128</v>
      </c>
      <c r="B133" s="385"/>
      <c r="C133" s="375"/>
      <c r="D133" s="371" t="s">
        <v>345</v>
      </c>
      <c r="E133" s="382" t="s">
        <v>379</v>
      </c>
      <c r="F133" s="101"/>
      <c r="G133" s="368"/>
    </row>
    <row r="134" spans="1:7" ht="14.25" customHeight="1" hidden="1">
      <c r="A134" s="334">
        <v>129</v>
      </c>
      <c r="B134" s="385"/>
      <c r="C134" s="375"/>
      <c r="D134" s="356" t="s">
        <v>345</v>
      </c>
      <c r="E134" s="382" t="s">
        <v>361</v>
      </c>
      <c r="F134" s="101"/>
      <c r="G134" s="368"/>
    </row>
    <row r="135" spans="1:7" ht="14.25" customHeight="1" hidden="1">
      <c r="A135" s="334">
        <v>130</v>
      </c>
      <c r="B135" s="385"/>
      <c r="C135" s="375"/>
      <c r="D135" s="389" t="s">
        <v>345</v>
      </c>
      <c r="E135" s="382" t="s">
        <v>374</v>
      </c>
      <c r="F135" s="101"/>
      <c r="G135" s="368"/>
    </row>
    <row r="136" spans="1:10" ht="14.25" customHeight="1">
      <c r="A136" s="334">
        <v>131</v>
      </c>
      <c r="B136" s="385"/>
      <c r="C136" s="716" t="s">
        <v>385</v>
      </c>
      <c r="D136" s="716"/>
      <c r="E136" s="716"/>
      <c r="F136" s="102"/>
      <c r="G136" s="102">
        <f>G61+G69+G76+G82+G88</f>
        <v>175005081</v>
      </c>
      <c r="I136" s="483">
        <f>I61+I69+I76+I82+I88</f>
        <v>0</v>
      </c>
      <c r="J136" s="483">
        <f>J61+J69+J76+J82+J88</f>
        <v>-23000000</v>
      </c>
    </row>
    <row r="137" spans="1:10" ht="18" customHeight="1">
      <c r="A137" s="334">
        <v>132</v>
      </c>
      <c r="B137" s="366" t="s">
        <v>386</v>
      </c>
      <c r="C137" s="366"/>
      <c r="D137" s="366"/>
      <c r="E137" s="366"/>
      <c r="F137" s="366"/>
      <c r="G137" s="351">
        <f>G136</f>
        <v>175005081</v>
      </c>
      <c r="I137" s="483">
        <f>I136</f>
        <v>0</v>
      </c>
      <c r="J137" s="483">
        <f>J136</f>
        <v>-23000000</v>
      </c>
    </row>
    <row r="138" spans="1:10" ht="18" customHeight="1">
      <c r="A138" s="334">
        <v>133</v>
      </c>
      <c r="B138" s="366" t="s">
        <v>387</v>
      </c>
      <c r="C138" s="366"/>
      <c r="D138" s="366"/>
      <c r="E138" s="366"/>
      <c r="F138" s="366"/>
      <c r="G138" s="351">
        <f>G137+G49</f>
        <v>972368883</v>
      </c>
      <c r="H138" s="341"/>
      <c r="I138" s="483">
        <f>I137+I49</f>
        <v>0</v>
      </c>
      <c r="J138" s="483">
        <f>J137+J49</f>
        <v>0</v>
      </c>
    </row>
    <row r="139" spans="1:10" ht="18" customHeight="1">
      <c r="A139" s="334">
        <v>134</v>
      </c>
      <c r="B139" s="366" t="str">
        <f>B7</f>
        <v>2020. I. félévi módosítás összesen</v>
      </c>
      <c r="C139" s="359"/>
      <c r="D139" s="359"/>
      <c r="E139" s="359"/>
      <c r="F139" s="390"/>
      <c r="G139" s="351">
        <f>G138+G6</f>
        <v>5873649330</v>
      </c>
      <c r="H139" s="391"/>
      <c r="I139" s="483">
        <f>I138+I6</f>
        <v>4901280447</v>
      </c>
      <c r="J139" s="483">
        <f>J138+J6</f>
        <v>4901280447</v>
      </c>
    </row>
    <row r="140" spans="1:7" ht="21.75" customHeight="1" hidden="1">
      <c r="A140" s="334">
        <v>128</v>
      </c>
      <c r="C140"/>
      <c r="D140"/>
      <c r="E140"/>
      <c r="F140" s="392"/>
      <c r="G140" s="393">
        <f>'[1]2'!AN17</f>
        <v>7355339026</v>
      </c>
    </row>
    <row r="141" spans="1:7" ht="13.5" customHeight="1" hidden="1">
      <c r="A141" s="334">
        <v>129</v>
      </c>
      <c r="C141" s="346"/>
      <c r="D141" s="346"/>
      <c r="E141" s="346"/>
      <c r="F141" s="328"/>
      <c r="G141" s="394">
        <f>G139-G140</f>
        <v>-1481689696</v>
      </c>
    </row>
    <row r="142" spans="1:7" ht="13.5" customHeight="1" hidden="1">
      <c r="A142" s="334">
        <v>130</v>
      </c>
      <c r="C142" s="346"/>
      <c r="D142" s="346"/>
      <c r="E142" s="346"/>
      <c r="F142" s="328"/>
      <c r="G142" s="328"/>
    </row>
    <row r="143" spans="1:7" ht="13.5" customHeight="1" hidden="1">
      <c r="A143" s="395"/>
      <c r="C143" s="346"/>
      <c r="D143" s="346"/>
      <c r="E143" s="346"/>
      <c r="F143" s="346"/>
      <c r="G143" s="346"/>
    </row>
    <row r="144" spans="1:7" ht="13.5" customHeight="1" hidden="1">
      <c r="A144" s="395"/>
      <c r="C144" s="346"/>
      <c r="D144" s="346"/>
      <c r="E144" s="346"/>
      <c r="F144" s="346"/>
      <c r="G144" s="349">
        <f>1!AN18</f>
        <v>5873649330</v>
      </c>
    </row>
    <row r="145" spans="1:8" ht="15.75" customHeight="1" hidden="1">
      <c r="A145" s="395"/>
      <c r="C145" s="346"/>
      <c r="D145" s="346"/>
      <c r="E145" s="346"/>
      <c r="F145" s="346"/>
      <c r="G145" s="394">
        <f>G144-G139</f>
        <v>0</v>
      </c>
      <c r="H145" s="341"/>
    </row>
    <row r="146" spans="1:10" ht="15.75" customHeight="1">
      <c r="A146" s="395"/>
      <c r="F146" s="346"/>
      <c r="G146" s="346"/>
      <c r="J146" s="483"/>
    </row>
    <row r="147" spans="1:7" ht="15.75" customHeight="1">
      <c r="A147" s="395"/>
      <c r="F147" s="346"/>
      <c r="G147" s="346"/>
    </row>
    <row r="148" spans="1:7" ht="17.25" customHeight="1">
      <c r="A148" s="395"/>
      <c r="F148" s="396"/>
      <c r="G148" s="397"/>
    </row>
    <row r="149" spans="1:7" ht="17.25" customHeight="1">
      <c r="A149" s="395"/>
      <c r="F149" s="396"/>
      <c r="G149" s="397"/>
    </row>
    <row r="150" spans="1:7" ht="15" customHeight="1">
      <c r="A150" s="395"/>
      <c r="F150" s="396"/>
      <c r="G150" s="397"/>
    </row>
    <row r="151" spans="1:7" ht="17.25" customHeight="1">
      <c r="A151" s="395"/>
      <c r="F151" s="396"/>
      <c r="G151" s="397"/>
    </row>
    <row r="152" spans="1:7" ht="17.25" customHeight="1">
      <c r="A152" s="395"/>
      <c r="F152" s="396"/>
      <c r="G152" s="397"/>
    </row>
    <row r="153" spans="1:7" ht="17.25" customHeight="1">
      <c r="A153" s="395"/>
      <c r="B153" s="398"/>
      <c r="F153" s="396"/>
      <c r="G153" s="397"/>
    </row>
    <row r="154" spans="1:7" ht="17.25" customHeight="1">
      <c r="A154" s="395"/>
      <c r="B154" s="398"/>
      <c r="F154" s="396"/>
      <c r="G154" s="397"/>
    </row>
    <row r="155" spans="1:7" ht="17.25" customHeight="1">
      <c r="A155" s="395"/>
      <c r="F155" s="396"/>
      <c r="G155" s="397"/>
    </row>
    <row r="156" spans="1:7" ht="30" customHeight="1">
      <c r="A156" s="395"/>
      <c r="B156" s="399"/>
      <c r="F156" s="396"/>
      <c r="G156" s="397"/>
    </row>
    <row r="157" spans="1:8" ht="22.5" customHeight="1">
      <c r="A157" s="395"/>
      <c r="F157" s="396"/>
      <c r="G157" s="397"/>
      <c r="H157" s="341"/>
    </row>
    <row r="158" spans="1:8" ht="24" customHeight="1">
      <c r="A158" s="395"/>
      <c r="F158" s="396"/>
      <c r="G158" s="397"/>
      <c r="H158" s="341"/>
    </row>
    <row r="159" spans="1:7" ht="21.75" customHeight="1">
      <c r="A159" s="395"/>
      <c r="F159" s="396"/>
      <c r="G159" s="397"/>
    </row>
    <row r="160" spans="1:7" ht="26.25" customHeight="1">
      <c r="A160" s="395"/>
      <c r="F160" s="396"/>
      <c r="G160" s="397"/>
    </row>
    <row r="161" ht="17.25" customHeight="1">
      <c r="B161" s="346"/>
    </row>
    <row r="162" ht="17.25" customHeight="1">
      <c r="B162" s="346"/>
    </row>
    <row r="163" spans="3:10" s="346" customFormat="1" ht="17.25" customHeight="1">
      <c r="C163" s="328"/>
      <c r="D163" s="328"/>
      <c r="E163" s="328"/>
      <c r="F163" s="330"/>
      <c r="G163" s="400"/>
      <c r="I163" s="481"/>
      <c r="J163" s="481"/>
    </row>
    <row r="164" spans="3:10" s="346" customFormat="1" ht="17.25" customHeight="1">
      <c r="C164" s="328"/>
      <c r="D164" s="328"/>
      <c r="E164" s="328"/>
      <c r="F164" s="330"/>
      <c r="G164" s="400"/>
      <c r="I164" s="481"/>
      <c r="J164" s="481"/>
    </row>
    <row r="165" spans="3:10" s="346" customFormat="1" ht="17.25" customHeight="1">
      <c r="C165" s="328"/>
      <c r="D165" s="328"/>
      <c r="E165" s="328"/>
      <c r="F165" s="330"/>
      <c r="G165" s="400"/>
      <c r="I165" s="481"/>
      <c r="J165" s="481"/>
    </row>
    <row r="166" spans="2:10" s="346" customFormat="1" ht="17.25" customHeight="1">
      <c r="B166" s="328"/>
      <c r="C166" s="328"/>
      <c r="D166" s="328"/>
      <c r="E166" s="328"/>
      <c r="F166" s="330"/>
      <c r="G166" s="400"/>
      <c r="I166" s="481"/>
      <c r="J166" s="481"/>
    </row>
    <row r="167" spans="2:10" s="346" customFormat="1" ht="17.25" customHeight="1">
      <c r="B167" s="328"/>
      <c r="C167" s="328"/>
      <c r="D167" s="328"/>
      <c r="E167" s="328"/>
      <c r="F167" s="330"/>
      <c r="G167" s="400"/>
      <c r="I167" s="481"/>
      <c r="J167" s="481"/>
    </row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spans="2:10" s="401" customFormat="1" ht="17.25" customHeight="1">
      <c r="B184" s="328"/>
      <c r="C184" s="328"/>
      <c r="D184" s="328"/>
      <c r="E184" s="328"/>
      <c r="F184" s="330"/>
      <c r="G184" s="400"/>
      <c r="I184" s="487"/>
      <c r="J184" s="487"/>
    </row>
    <row r="185" spans="2:10" s="401" customFormat="1" ht="17.25" customHeight="1">
      <c r="B185" s="328"/>
      <c r="C185" s="328"/>
      <c r="D185" s="328"/>
      <c r="E185" s="328"/>
      <c r="F185" s="330"/>
      <c r="G185" s="400"/>
      <c r="I185" s="487"/>
      <c r="J185" s="487"/>
    </row>
    <row r="186" spans="2:10" s="401" customFormat="1" ht="17.25" customHeight="1">
      <c r="B186" s="328"/>
      <c r="C186" s="328"/>
      <c r="D186" s="328"/>
      <c r="E186" s="328"/>
      <c r="F186" s="330"/>
      <c r="G186" s="400"/>
      <c r="I186" s="487"/>
      <c r="J186" s="487"/>
    </row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spans="2:10" s="401" customFormat="1" ht="17.25" customHeight="1">
      <c r="B196" s="328"/>
      <c r="C196" s="328"/>
      <c r="D196" s="328"/>
      <c r="E196" s="328"/>
      <c r="F196" s="330"/>
      <c r="G196" s="400"/>
      <c r="I196" s="487"/>
      <c r="J196" s="487"/>
    </row>
    <row r="197" spans="2:10" s="401" customFormat="1" ht="17.25" customHeight="1">
      <c r="B197" s="328"/>
      <c r="C197" s="328"/>
      <c r="D197" s="328"/>
      <c r="E197" s="328"/>
      <c r="F197" s="330"/>
      <c r="G197" s="400"/>
      <c r="I197" s="487"/>
      <c r="J197" s="487"/>
    </row>
  </sheetData>
  <sheetProtection/>
  <mergeCells count="73">
    <mergeCell ref="C136:E136"/>
    <mergeCell ref="C96:E97"/>
    <mergeCell ref="C103:E104"/>
    <mergeCell ref="C109:E110"/>
    <mergeCell ref="C115:E116"/>
    <mergeCell ref="C121:E122"/>
    <mergeCell ref="C129:E130"/>
    <mergeCell ref="D76:E76"/>
    <mergeCell ref="C81:E81"/>
    <mergeCell ref="D82:E82"/>
    <mergeCell ref="C87:E87"/>
    <mergeCell ref="D88:E88"/>
    <mergeCell ref="C95:E95"/>
    <mergeCell ref="D58:E58"/>
    <mergeCell ref="C60:E60"/>
    <mergeCell ref="D61:E61"/>
    <mergeCell ref="C68:E68"/>
    <mergeCell ref="D69:E69"/>
    <mergeCell ref="C75:E75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C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C35:E35"/>
    <mergeCell ref="D36:E36"/>
    <mergeCell ref="C37:E38"/>
    <mergeCell ref="F37:F38"/>
    <mergeCell ref="D39:E39"/>
    <mergeCell ref="D28:E28"/>
    <mergeCell ref="D29:E29"/>
    <mergeCell ref="D30:E30"/>
    <mergeCell ref="D31:E31"/>
    <mergeCell ref="D32:E32"/>
    <mergeCell ref="C33:E33"/>
    <mergeCell ref="D22:E22"/>
    <mergeCell ref="C23:E23"/>
    <mergeCell ref="D24:E24"/>
    <mergeCell ref="D25:E25"/>
    <mergeCell ref="D26:E26"/>
    <mergeCell ref="C27:E27"/>
    <mergeCell ref="D16:E16"/>
    <mergeCell ref="D17:E17"/>
    <mergeCell ref="C18:E18"/>
    <mergeCell ref="D19:E19"/>
    <mergeCell ref="C20:E20"/>
    <mergeCell ref="D21:E21"/>
    <mergeCell ref="D10:E10"/>
    <mergeCell ref="D11:E11"/>
    <mergeCell ref="D12:E12"/>
    <mergeCell ref="D13:E13"/>
    <mergeCell ref="C14:E14"/>
    <mergeCell ref="D15:E15"/>
    <mergeCell ref="A2:G2"/>
    <mergeCell ref="A3:G3"/>
    <mergeCell ref="B6:E6"/>
    <mergeCell ref="B7:E7"/>
    <mergeCell ref="C8:E8"/>
    <mergeCell ref="C9:E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Z20"/>
  <sheetViews>
    <sheetView zoomScalePageLayoutView="0" workbookViewId="0" topLeftCell="A1">
      <selection activeCell="J14" sqref="J13:J14"/>
    </sheetView>
  </sheetViews>
  <sheetFormatPr defaultColWidth="9.140625" defaultRowHeight="12.75"/>
  <cols>
    <col min="1" max="1" width="27.7109375" style="169" customWidth="1"/>
    <col min="2" max="2" width="11.140625" style="169" customWidth="1"/>
    <col min="3" max="3" width="10.140625" style="169" customWidth="1"/>
    <col min="4" max="6" width="9.8515625" style="169" customWidth="1"/>
    <col min="7" max="7" width="10.421875" style="169" customWidth="1"/>
    <col min="8" max="8" width="13.140625" style="169" customWidth="1"/>
    <col min="9" max="10" width="13.7109375" style="169" customWidth="1"/>
    <col min="11" max="11" width="13.8515625" style="169" customWidth="1"/>
    <col min="12" max="12" width="10.28125" style="169" customWidth="1"/>
    <col min="13" max="13" width="11.00390625" style="169" customWidth="1"/>
    <col min="14" max="15" width="11.8515625" style="169" customWidth="1"/>
    <col min="16" max="16" width="15.8515625" style="169" customWidth="1"/>
    <col min="17" max="17" width="13.140625" style="169" customWidth="1"/>
    <col min="18" max="18" width="11.421875" style="169" customWidth="1"/>
    <col min="19" max="19" width="12.421875" style="169" bestFit="1" customWidth="1"/>
    <col min="20" max="20" width="12.421875" style="169" customWidth="1"/>
    <col min="21" max="25" width="9.140625" style="169" customWidth="1"/>
    <col min="26" max="26" width="11.140625" style="169" bestFit="1" customWidth="1"/>
    <col min="27" max="16384" width="9.140625" style="169" customWidth="1"/>
  </cols>
  <sheetData>
    <row r="1" spans="1:20" ht="23.25" customHeight="1">
      <c r="A1" s="763" t="s">
        <v>94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546"/>
    </row>
    <row r="2" spans="1:20" ht="13.5" thickBot="1">
      <c r="A2" s="764" t="s">
        <v>193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564"/>
    </row>
    <row r="3" spans="1:20" ht="21" customHeight="1">
      <c r="A3" s="765" t="s">
        <v>11</v>
      </c>
      <c r="B3" s="767" t="s">
        <v>12</v>
      </c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9"/>
      <c r="N3" s="770" t="s">
        <v>182</v>
      </c>
      <c r="O3" s="768"/>
      <c r="P3" s="768"/>
      <c r="Q3" s="768"/>
      <c r="R3" s="769"/>
      <c r="S3" s="771" t="s">
        <v>14</v>
      </c>
      <c r="T3" s="140"/>
    </row>
    <row r="4" spans="1:24" ht="27.75" customHeight="1">
      <c r="A4" s="766"/>
      <c r="B4" s="774" t="s">
        <v>207</v>
      </c>
      <c r="C4" s="774" t="s">
        <v>208</v>
      </c>
      <c r="D4" s="787" t="s">
        <v>209</v>
      </c>
      <c r="E4" s="779"/>
      <c r="F4" s="787" t="s">
        <v>316</v>
      </c>
      <c r="G4" s="779"/>
      <c r="H4" s="775" t="s">
        <v>210</v>
      </c>
      <c r="I4" s="782"/>
      <c r="J4" s="782"/>
      <c r="K4" s="776"/>
      <c r="L4" s="783" t="s">
        <v>146</v>
      </c>
      <c r="M4" s="784"/>
      <c r="N4" s="777" t="s">
        <v>317</v>
      </c>
      <c r="O4" s="779" t="s">
        <v>212</v>
      </c>
      <c r="P4" s="774" t="s">
        <v>210</v>
      </c>
      <c r="Q4" s="774"/>
      <c r="R4" s="781" t="s">
        <v>182</v>
      </c>
      <c r="S4" s="772"/>
      <c r="T4" s="140"/>
      <c r="U4" s="789" t="s">
        <v>512</v>
      </c>
      <c r="V4" s="763" t="s">
        <v>515</v>
      </c>
      <c r="W4" s="763" t="s">
        <v>516</v>
      </c>
      <c r="X4" s="763" t="s">
        <v>516</v>
      </c>
    </row>
    <row r="5" spans="1:24" ht="30.75" customHeight="1">
      <c r="A5" s="766"/>
      <c r="B5" s="774"/>
      <c r="C5" s="774"/>
      <c r="D5" s="788"/>
      <c r="E5" s="780"/>
      <c r="F5" s="788"/>
      <c r="G5" s="780"/>
      <c r="H5" s="775" t="s">
        <v>517</v>
      </c>
      <c r="I5" s="776"/>
      <c r="J5" s="775" t="s">
        <v>211</v>
      </c>
      <c r="K5" s="776"/>
      <c r="L5" s="785"/>
      <c r="M5" s="786"/>
      <c r="N5" s="778"/>
      <c r="O5" s="780"/>
      <c r="P5" s="491" t="s">
        <v>321</v>
      </c>
      <c r="Q5" s="491" t="s">
        <v>322</v>
      </c>
      <c r="R5" s="781"/>
      <c r="S5" s="773"/>
      <c r="T5" s="140"/>
      <c r="U5" s="789"/>
      <c r="V5" s="763"/>
      <c r="W5" s="763"/>
      <c r="X5" s="763"/>
    </row>
    <row r="6" spans="1:24" ht="33" customHeight="1">
      <c r="A6" s="547"/>
      <c r="B6" s="491"/>
      <c r="C6" s="491"/>
      <c r="D6" s="491" t="s">
        <v>554</v>
      </c>
      <c r="E6" s="491" t="s">
        <v>94</v>
      </c>
      <c r="F6" s="491" t="s">
        <v>554</v>
      </c>
      <c r="G6" s="491" t="s">
        <v>94</v>
      </c>
      <c r="H6" s="491" t="s">
        <v>554</v>
      </c>
      <c r="I6" s="491" t="s">
        <v>94</v>
      </c>
      <c r="J6" s="491" t="s">
        <v>554</v>
      </c>
      <c r="K6" s="491" t="s">
        <v>94</v>
      </c>
      <c r="L6" s="491" t="s">
        <v>554</v>
      </c>
      <c r="M6" s="491" t="s">
        <v>94</v>
      </c>
      <c r="N6" s="551"/>
      <c r="O6" s="552"/>
      <c r="P6" s="553"/>
      <c r="Q6" s="553"/>
      <c r="R6" s="554"/>
      <c r="S6" s="548"/>
      <c r="T6" s="140"/>
      <c r="U6" s="555"/>
      <c r="V6" s="546"/>
      <c r="W6" s="546"/>
      <c r="X6" s="546"/>
    </row>
    <row r="7" spans="1:26" ht="26.25" customHeight="1">
      <c r="A7" s="492" t="s">
        <v>518</v>
      </c>
      <c r="B7" s="493"/>
      <c r="C7" s="493"/>
      <c r="D7" s="493">
        <v>12016</v>
      </c>
      <c r="E7" s="493">
        <v>5445</v>
      </c>
      <c r="F7" s="493">
        <v>566511</v>
      </c>
      <c r="G7" s="493">
        <v>300511</v>
      </c>
      <c r="H7" s="493">
        <v>85780</v>
      </c>
      <c r="I7" s="493">
        <v>85780</v>
      </c>
      <c r="J7" s="493">
        <v>1568</v>
      </c>
      <c r="K7" s="493">
        <v>1307</v>
      </c>
      <c r="L7" s="493">
        <f aca="true" t="shared" si="0" ref="L7:M9">D7+F7+H7+J7</f>
        <v>665875</v>
      </c>
      <c r="M7" s="493">
        <f t="shared" si="0"/>
        <v>393043</v>
      </c>
      <c r="N7" s="494"/>
      <c r="O7" s="495"/>
      <c r="P7" s="495"/>
      <c r="Q7" s="495"/>
      <c r="R7" s="496">
        <f>SUM(N7:Q7)</f>
        <v>0</v>
      </c>
      <c r="S7" s="556">
        <f>M7+R7</f>
        <v>393043</v>
      </c>
      <c r="T7" s="565"/>
      <c r="U7" s="497">
        <f aca="true" t="shared" si="1" ref="U7:U12">E7/$M7</f>
        <v>0.013853446060609145</v>
      </c>
      <c r="V7" s="497">
        <f aca="true" t="shared" si="2" ref="V7:V12">G7/$M7</f>
        <v>0.7645753772487998</v>
      </c>
      <c r="W7" s="497">
        <f aca="true" t="shared" si="3" ref="W7:W12">I7/$M7</f>
        <v>0.2182458407858682</v>
      </c>
      <c r="X7" s="497">
        <f aca="true" t="shared" si="4" ref="X7:X12">K7/$M7</f>
        <v>0.003325335904722893</v>
      </c>
      <c r="Y7" s="497">
        <f>SUM(U7:X7)</f>
        <v>1</v>
      </c>
      <c r="Z7" s="497"/>
    </row>
    <row r="8" spans="1:26" ht="26.25" customHeight="1">
      <c r="A8" s="492" t="s">
        <v>519</v>
      </c>
      <c r="B8" s="493"/>
      <c r="C8" s="493"/>
      <c r="D8" s="493">
        <v>31730</v>
      </c>
      <c r="E8" s="493">
        <v>9128</v>
      </c>
      <c r="F8" s="493">
        <v>463</v>
      </c>
      <c r="G8" s="493">
        <v>463</v>
      </c>
      <c r="H8" s="493">
        <v>7031</v>
      </c>
      <c r="I8" s="493">
        <v>7031</v>
      </c>
      <c r="J8" s="493">
        <v>34758</v>
      </c>
      <c r="K8" s="493">
        <v>17258</v>
      </c>
      <c r="L8" s="493">
        <f t="shared" si="0"/>
        <v>73982</v>
      </c>
      <c r="M8" s="493">
        <f t="shared" si="0"/>
        <v>33880</v>
      </c>
      <c r="N8" s="494"/>
      <c r="O8" s="495"/>
      <c r="P8" s="495"/>
      <c r="Q8" s="495"/>
      <c r="R8" s="496">
        <f aca="true" t="shared" si="5" ref="R8:R16">SUM(N8:Q8)</f>
        <v>0</v>
      </c>
      <c r="S8" s="556">
        <f aca="true" t="shared" si="6" ref="S8:S16">M8+R8</f>
        <v>33880</v>
      </c>
      <c r="T8" s="565"/>
      <c r="U8" s="497">
        <f t="shared" si="1"/>
        <v>0.2694214876033058</v>
      </c>
      <c r="V8" s="497">
        <f t="shared" si="2"/>
        <v>0.013665879574970483</v>
      </c>
      <c r="W8" s="497">
        <f t="shared" si="3"/>
        <v>0.20752656434474617</v>
      </c>
      <c r="X8" s="497">
        <f t="shared" si="4"/>
        <v>0.5093860684769775</v>
      </c>
      <c r="Y8" s="497">
        <f aca="true" t="shared" si="7" ref="Y8:Y16">SUM(U8:X8)</f>
        <v>1</v>
      </c>
      <c r="Z8" s="497"/>
    </row>
    <row r="9" spans="1:26" ht="26.25" customHeight="1">
      <c r="A9" s="492" t="s">
        <v>520</v>
      </c>
      <c r="B9" s="493"/>
      <c r="C9" s="493"/>
      <c r="D9" s="493">
        <v>49000</v>
      </c>
      <c r="E9" s="493">
        <v>16403</v>
      </c>
      <c r="F9" s="493">
        <v>927</v>
      </c>
      <c r="G9" s="493">
        <v>927</v>
      </c>
      <c r="H9" s="493">
        <v>7094</v>
      </c>
      <c r="I9" s="493">
        <v>7094</v>
      </c>
      <c r="J9" s="493">
        <v>31522</v>
      </c>
      <c r="K9" s="493">
        <v>17226</v>
      </c>
      <c r="L9" s="493">
        <f t="shared" si="0"/>
        <v>88543</v>
      </c>
      <c r="M9" s="493">
        <f t="shared" si="0"/>
        <v>41650</v>
      </c>
      <c r="N9" s="494"/>
      <c r="O9" s="495"/>
      <c r="P9" s="495"/>
      <c r="Q9" s="495"/>
      <c r="R9" s="496">
        <f t="shared" si="5"/>
        <v>0</v>
      </c>
      <c r="S9" s="556">
        <f t="shared" si="6"/>
        <v>41650</v>
      </c>
      <c r="T9" s="565"/>
      <c r="U9" s="497">
        <f t="shared" si="1"/>
        <v>0.39382953181272506</v>
      </c>
      <c r="V9" s="497">
        <f t="shared" si="2"/>
        <v>0.022256902761104442</v>
      </c>
      <c r="W9" s="497">
        <f t="shared" si="3"/>
        <v>0.17032412965186075</v>
      </c>
      <c r="X9" s="497">
        <f t="shared" si="4"/>
        <v>0.41358943577430973</v>
      </c>
      <c r="Y9" s="497">
        <f t="shared" si="7"/>
        <v>1</v>
      </c>
      <c r="Z9" s="497"/>
    </row>
    <row r="10" spans="1:26" s="502" customFormat="1" ht="26.25" customHeight="1">
      <c r="A10" s="498" t="s">
        <v>521</v>
      </c>
      <c r="B10" s="499">
        <f aca="true" t="shared" si="8" ref="B10:K10">SUM(B7:B9)</f>
        <v>0</v>
      </c>
      <c r="C10" s="499">
        <f t="shared" si="8"/>
        <v>0</v>
      </c>
      <c r="D10" s="499">
        <f t="shared" si="8"/>
        <v>92746</v>
      </c>
      <c r="E10" s="499">
        <f t="shared" si="8"/>
        <v>30976</v>
      </c>
      <c r="F10" s="499">
        <f t="shared" si="8"/>
        <v>567901</v>
      </c>
      <c r="G10" s="499">
        <f t="shared" si="8"/>
        <v>301901</v>
      </c>
      <c r="H10" s="499">
        <f t="shared" si="8"/>
        <v>99905</v>
      </c>
      <c r="I10" s="499">
        <f t="shared" si="8"/>
        <v>99905</v>
      </c>
      <c r="J10" s="499">
        <f t="shared" si="8"/>
        <v>67848</v>
      </c>
      <c r="K10" s="499">
        <f t="shared" si="8"/>
        <v>35791</v>
      </c>
      <c r="L10" s="559">
        <f aca="true" t="shared" si="9" ref="L10:Q10">SUM(L7:L9)</f>
        <v>828400</v>
      </c>
      <c r="M10" s="496">
        <f t="shared" si="9"/>
        <v>468573</v>
      </c>
      <c r="N10" s="500">
        <f t="shared" si="9"/>
        <v>0</v>
      </c>
      <c r="O10" s="499">
        <f t="shared" si="9"/>
        <v>0</v>
      </c>
      <c r="P10" s="499">
        <f t="shared" si="9"/>
        <v>0</v>
      </c>
      <c r="Q10" s="499">
        <f t="shared" si="9"/>
        <v>0</v>
      </c>
      <c r="R10" s="496">
        <f t="shared" si="5"/>
        <v>0</v>
      </c>
      <c r="S10" s="557">
        <f t="shared" si="6"/>
        <v>468573</v>
      </c>
      <c r="T10" s="566"/>
      <c r="U10" s="501">
        <f t="shared" si="1"/>
        <v>0.06610709537254601</v>
      </c>
      <c r="V10" s="501">
        <f t="shared" si="2"/>
        <v>0.6442987538761303</v>
      </c>
      <c r="W10" s="501">
        <f t="shared" si="3"/>
        <v>0.2132111752064246</v>
      </c>
      <c r="X10" s="501">
        <f t="shared" si="4"/>
        <v>0.07638297554489909</v>
      </c>
      <c r="Y10" s="501">
        <f t="shared" si="7"/>
        <v>1</v>
      </c>
      <c r="Z10" s="501"/>
    </row>
    <row r="11" spans="1:26" ht="18.75" customHeight="1">
      <c r="A11" s="492" t="s">
        <v>522</v>
      </c>
      <c r="B11" s="493"/>
      <c r="C11" s="493"/>
      <c r="D11" s="493">
        <v>13559</v>
      </c>
      <c r="E11" s="493">
        <v>7728</v>
      </c>
      <c r="F11" s="493">
        <v>20946</v>
      </c>
      <c r="G11" s="493">
        <v>20946</v>
      </c>
      <c r="H11" s="493">
        <v>15199</v>
      </c>
      <c r="I11" s="493">
        <v>15199</v>
      </c>
      <c r="J11" s="493">
        <v>45595</v>
      </c>
      <c r="K11" s="493">
        <f>29361-16330</f>
        <v>13031</v>
      </c>
      <c r="L11" s="493">
        <f aca="true" t="shared" si="10" ref="L11:M15">D11+F11+H11+J11</f>
        <v>95299</v>
      </c>
      <c r="M11" s="493">
        <f t="shared" si="10"/>
        <v>56904</v>
      </c>
      <c r="N11" s="494"/>
      <c r="O11" s="495"/>
      <c r="P11" s="495"/>
      <c r="Q11" s="495"/>
      <c r="R11" s="496"/>
      <c r="S11" s="556">
        <f t="shared" si="6"/>
        <v>56904</v>
      </c>
      <c r="T11" s="565">
        <f>M11-'i.k'!O10</f>
        <v>16415</v>
      </c>
      <c r="U11" s="497">
        <f t="shared" si="1"/>
        <v>0.13580767608603964</v>
      </c>
      <c r="V11" s="497">
        <f t="shared" si="2"/>
        <v>0.3680936313791649</v>
      </c>
      <c r="W11" s="497">
        <f t="shared" si="3"/>
        <v>0.26709897371010827</v>
      </c>
      <c r="X11" s="497">
        <f t="shared" si="4"/>
        <v>0.2289997188246872</v>
      </c>
      <c r="Y11" s="497">
        <f t="shared" si="7"/>
        <v>1</v>
      </c>
      <c r="Z11" s="521">
        <f>S11-'i.k'!O10</f>
        <v>16415</v>
      </c>
    </row>
    <row r="12" spans="1:26" ht="18.75" customHeight="1">
      <c r="A12" s="492" t="s">
        <v>523</v>
      </c>
      <c r="B12" s="493"/>
      <c r="C12" s="493"/>
      <c r="D12" s="493">
        <f>27707-14000</f>
        <v>13707</v>
      </c>
      <c r="E12" s="493">
        <v>1297</v>
      </c>
      <c r="F12" s="493">
        <v>2527</v>
      </c>
      <c r="G12" s="493">
        <v>2527</v>
      </c>
      <c r="H12" s="493"/>
      <c r="I12" s="493"/>
      <c r="J12" s="493">
        <v>14000</v>
      </c>
      <c r="K12" s="493">
        <f>6549+3505</f>
        <v>10054</v>
      </c>
      <c r="L12" s="493">
        <f t="shared" si="10"/>
        <v>30234</v>
      </c>
      <c r="M12" s="493">
        <f t="shared" si="10"/>
        <v>13878</v>
      </c>
      <c r="N12" s="494"/>
      <c r="O12" s="495"/>
      <c r="P12" s="495"/>
      <c r="Q12" s="495"/>
      <c r="R12" s="496"/>
      <c r="S12" s="556">
        <f t="shared" si="6"/>
        <v>13878</v>
      </c>
      <c r="T12" s="565">
        <f>M12-'i.k'!O11</f>
        <v>0</v>
      </c>
      <c r="U12" s="497">
        <f t="shared" si="1"/>
        <v>0.09345727050007206</v>
      </c>
      <c r="V12" s="497">
        <f t="shared" si="2"/>
        <v>0.18208675601671712</v>
      </c>
      <c r="W12" s="497">
        <f t="shared" si="3"/>
        <v>0</v>
      </c>
      <c r="X12" s="497">
        <f t="shared" si="4"/>
        <v>0.7244559734832109</v>
      </c>
      <c r="Y12" s="497">
        <f t="shared" si="7"/>
        <v>1</v>
      </c>
      <c r="Z12" s="521">
        <f>S12-'i.k'!O11</f>
        <v>0</v>
      </c>
    </row>
    <row r="13" spans="1:26" ht="18.75" customHeight="1">
      <c r="A13" s="492" t="s">
        <v>524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>
        <f t="shared" si="10"/>
        <v>0</v>
      </c>
      <c r="M13" s="493">
        <f t="shared" si="10"/>
        <v>0</v>
      </c>
      <c r="N13" s="494"/>
      <c r="O13" s="495"/>
      <c r="P13" s="495"/>
      <c r="Q13" s="495"/>
      <c r="R13" s="496"/>
      <c r="S13" s="556"/>
      <c r="T13" s="565"/>
      <c r="U13" s="497"/>
      <c r="V13" s="497"/>
      <c r="W13" s="497"/>
      <c r="X13" s="497"/>
      <c r="Y13" s="497">
        <f t="shared" si="7"/>
        <v>0</v>
      </c>
      <c r="Z13" s="521">
        <f>S13-'i.k'!O12</f>
        <v>-4670</v>
      </c>
    </row>
    <row r="14" spans="1:26" ht="18.75" customHeight="1">
      <c r="A14" s="492" t="s">
        <v>525</v>
      </c>
      <c r="B14" s="493"/>
      <c r="C14" s="493"/>
      <c r="D14" s="493">
        <v>2174</v>
      </c>
      <c r="E14" s="493">
        <v>0</v>
      </c>
      <c r="F14" s="493">
        <v>532</v>
      </c>
      <c r="G14" s="493">
        <v>532</v>
      </c>
      <c r="H14" s="493"/>
      <c r="I14" s="493"/>
      <c r="J14" s="493">
        <v>7155</v>
      </c>
      <c r="K14" s="493">
        <v>4138</v>
      </c>
      <c r="L14" s="493">
        <f t="shared" si="10"/>
        <v>9861</v>
      </c>
      <c r="M14" s="493">
        <f t="shared" si="10"/>
        <v>4670</v>
      </c>
      <c r="N14" s="494"/>
      <c r="O14" s="495"/>
      <c r="P14" s="495"/>
      <c r="Q14" s="495"/>
      <c r="R14" s="496">
        <f t="shared" si="5"/>
        <v>0</v>
      </c>
      <c r="S14" s="556">
        <f t="shared" si="6"/>
        <v>4670</v>
      </c>
      <c r="T14" s="565">
        <f>M14-'i.k'!O12</f>
        <v>0</v>
      </c>
      <c r="U14" s="497">
        <f>E14/$M14</f>
        <v>0</v>
      </c>
      <c r="V14" s="497">
        <f>G14/$M14</f>
        <v>0.1139186295503212</v>
      </c>
      <c r="W14" s="497">
        <f>I14/$M14</f>
        <v>0</v>
      </c>
      <c r="X14" s="497">
        <f>K14/$M14</f>
        <v>0.8860813704496788</v>
      </c>
      <c r="Y14" s="497">
        <f t="shared" si="7"/>
        <v>1</v>
      </c>
      <c r="Z14" s="521">
        <f>S14-'i.k'!O13</f>
        <v>-5115</v>
      </c>
    </row>
    <row r="15" spans="1:26" ht="18.75" customHeight="1">
      <c r="A15" s="169" t="s">
        <v>526</v>
      </c>
      <c r="B15" s="493"/>
      <c r="C15" s="493"/>
      <c r="D15" s="493">
        <v>15520</v>
      </c>
      <c r="E15" s="493">
        <v>1098</v>
      </c>
      <c r="F15" s="493"/>
      <c r="G15" s="493"/>
      <c r="H15" s="493"/>
      <c r="I15" s="493"/>
      <c r="J15" s="493">
        <v>6695</v>
      </c>
      <c r="K15" s="493">
        <v>8687</v>
      </c>
      <c r="L15" s="493">
        <f t="shared" si="10"/>
        <v>22215</v>
      </c>
      <c r="M15" s="493">
        <f t="shared" si="10"/>
        <v>9785</v>
      </c>
      <c r="N15" s="494"/>
      <c r="O15" s="495"/>
      <c r="P15" s="495"/>
      <c r="Q15" s="495"/>
      <c r="R15" s="496">
        <f t="shared" si="5"/>
        <v>0</v>
      </c>
      <c r="S15" s="556">
        <f t="shared" si="6"/>
        <v>9785</v>
      </c>
      <c r="T15" s="565">
        <f>M15-'i.k'!O13</f>
        <v>0</v>
      </c>
      <c r="U15" s="497">
        <f>E15/$M15</f>
        <v>0.11221257026060297</v>
      </c>
      <c r="V15" s="497">
        <f>G15/$M15</f>
        <v>0</v>
      </c>
      <c r="W15" s="497">
        <f>I15/$M15</f>
        <v>0</v>
      </c>
      <c r="X15" s="497">
        <f>K15/$M15</f>
        <v>0.8877874297393971</v>
      </c>
      <c r="Y15" s="497">
        <f t="shared" si="7"/>
        <v>1</v>
      </c>
      <c r="Z15" s="521">
        <f>S15-'i.k'!O14</f>
        <v>-59037</v>
      </c>
    </row>
    <row r="16" spans="1:26" s="502" customFormat="1" ht="26.25" customHeight="1" thickBot="1">
      <c r="A16" s="498" t="s">
        <v>527</v>
      </c>
      <c r="B16" s="499">
        <f aca="true" t="shared" si="11" ref="B16:M16">SUM(B11:B15)</f>
        <v>0</v>
      </c>
      <c r="C16" s="499">
        <f t="shared" si="11"/>
        <v>0</v>
      </c>
      <c r="D16" s="499">
        <f t="shared" si="11"/>
        <v>44960</v>
      </c>
      <c r="E16" s="499">
        <f t="shared" si="11"/>
        <v>10123</v>
      </c>
      <c r="F16" s="499">
        <f t="shared" si="11"/>
        <v>24005</v>
      </c>
      <c r="G16" s="499">
        <f t="shared" si="11"/>
        <v>24005</v>
      </c>
      <c r="H16" s="499">
        <f t="shared" si="11"/>
        <v>15199</v>
      </c>
      <c r="I16" s="499">
        <f t="shared" si="11"/>
        <v>15199</v>
      </c>
      <c r="J16" s="499">
        <f t="shared" si="11"/>
        <v>73445</v>
      </c>
      <c r="K16" s="499">
        <f t="shared" si="11"/>
        <v>35910</v>
      </c>
      <c r="L16" s="499">
        <f t="shared" si="11"/>
        <v>157609</v>
      </c>
      <c r="M16" s="499">
        <f t="shared" si="11"/>
        <v>85237</v>
      </c>
      <c r="N16" s="500"/>
      <c r="O16" s="499"/>
      <c r="P16" s="499"/>
      <c r="Q16" s="499"/>
      <c r="R16" s="496">
        <f t="shared" si="5"/>
        <v>0</v>
      </c>
      <c r="S16" s="557">
        <f t="shared" si="6"/>
        <v>85237</v>
      </c>
      <c r="T16" s="565">
        <f>M16-'i.k'!O14</f>
        <v>16415</v>
      </c>
      <c r="U16" s="501">
        <f>E16/$M16</f>
        <v>0.11876297851871839</v>
      </c>
      <c r="V16" s="501">
        <f>G16/$M16</f>
        <v>0.28162652369276253</v>
      </c>
      <c r="W16" s="501">
        <f>I16/$M16</f>
        <v>0.17831458169574246</v>
      </c>
      <c r="X16" s="501">
        <f>K16/$M16</f>
        <v>0.4212959160927766</v>
      </c>
      <c r="Y16" s="501">
        <f t="shared" si="7"/>
        <v>1</v>
      </c>
      <c r="Z16" s="501"/>
    </row>
    <row r="17" spans="1:20" s="502" customFormat="1" ht="26.25" customHeight="1" thickBot="1">
      <c r="A17" s="503" t="s">
        <v>29</v>
      </c>
      <c r="B17" s="504"/>
      <c r="C17" s="504"/>
      <c r="D17" s="504"/>
      <c r="E17" s="504"/>
      <c r="F17" s="504"/>
      <c r="G17" s="504"/>
      <c r="H17" s="504"/>
      <c r="I17" s="504"/>
      <c r="J17" s="504"/>
      <c r="K17" s="504"/>
      <c r="L17" s="560"/>
      <c r="M17" s="505"/>
      <c r="N17" s="506"/>
      <c r="O17" s="504"/>
      <c r="P17" s="504"/>
      <c r="Q17" s="504"/>
      <c r="R17" s="505"/>
      <c r="S17" s="558"/>
      <c r="T17" s="566"/>
    </row>
    <row r="18" spans="1:20" ht="26.25" customHeight="1">
      <c r="A18" s="507" t="s">
        <v>31</v>
      </c>
      <c r="B18" s="508"/>
      <c r="C18" s="508"/>
      <c r="D18" s="550"/>
      <c r="E18" s="495"/>
      <c r="F18" s="495"/>
      <c r="G18" s="495"/>
      <c r="H18" s="495"/>
      <c r="I18" s="495"/>
      <c r="J18" s="495"/>
      <c r="K18" s="495"/>
      <c r="L18" s="561"/>
      <c r="M18" s="496"/>
      <c r="N18" s="494"/>
      <c r="O18" s="495"/>
      <c r="P18" s="495"/>
      <c r="Q18" s="495"/>
      <c r="R18" s="496"/>
      <c r="S18" s="557"/>
      <c r="T18" s="566"/>
    </row>
    <row r="19" spans="1:20" ht="26.25" customHeight="1" thickBot="1">
      <c r="A19" s="509" t="s">
        <v>33</v>
      </c>
      <c r="B19" s="495"/>
      <c r="C19" s="495"/>
      <c r="D19" s="495"/>
      <c r="E19" s="495"/>
      <c r="F19" s="495"/>
      <c r="G19" s="495"/>
      <c r="H19" s="495"/>
      <c r="I19" s="495"/>
      <c r="J19" s="495"/>
      <c r="K19" s="495"/>
      <c r="L19" s="561"/>
      <c r="M19" s="496"/>
      <c r="N19" s="494"/>
      <c r="O19" s="495"/>
      <c r="P19" s="495"/>
      <c r="Q19" s="495"/>
      <c r="R19" s="496"/>
      <c r="S19" s="557"/>
      <c r="T19" s="566"/>
    </row>
    <row r="20" spans="1:20" ht="26.25" customHeight="1" thickBot="1">
      <c r="A20" s="510" t="s">
        <v>35</v>
      </c>
      <c r="B20" s="511"/>
      <c r="C20" s="511"/>
      <c r="D20" s="511"/>
      <c r="E20" s="511"/>
      <c r="F20" s="511"/>
      <c r="G20" s="511"/>
      <c r="H20" s="511"/>
      <c r="I20" s="511"/>
      <c r="J20" s="511"/>
      <c r="K20" s="511"/>
      <c r="L20" s="562"/>
      <c r="M20" s="505"/>
      <c r="N20" s="512"/>
      <c r="O20" s="511"/>
      <c r="P20" s="511"/>
      <c r="Q20" s="511"/>
      <c r="R20" s="505"/>
      <c r="S20" s="558"/>
      <c r="T20" s="566"/>
    </row>
  </sheetData>
  <sheetProtection/>
  <mergeCells count="22">
    <mergeCell ref="H4:K4"/>
    <mergeCell ref="L4:M5"/>
    <mergeCell ref="D4:E5"/>
    <mergeCell ref="F4:G5"/>
    <mergeCell ref="U4:U5"/>
    <mergeCell ref="V4:V5"/>
    <mergeCell ref="W4:W5"/>
    <mergeCell ref="X4:X5"/>
    <mergeCell ref="N4:N5"/>
    <mergeCell ref="O4:O5"/>
    <mergeCell ref="P4:Q4"/>
    <mergeCell ref="R4:R5"/>
    <mergeCell ref="A1:S1"/>
    <mergeCell ref="A2:S2"/>
    <mergeCell ref="A3:A5"/>
    <mergeCell ref="B3:M3"/>
    <mergeCell ref="N3:R3"/>
    <mergeCell ref="S3:S5"/>
    <mergeCell ref="B4:B5"/>
    <mergeCell ref="C4:C5"/>
    <mergeCell ref="H5:I5"/>
    <mergeCell ref="J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6"/>
  <sheetViews>
    <sheetView zoomScale="80" zoomScaleNormal="80" zoomScalePageLayoutView="0" workbookViewId="0" topLeftCell="A1">
      <selection activeCell="J14" sqref="J13:J14"/>
    </sheetView>
  </sheetViews>
  <sheetFormatPr defaultColWidth="9.140625" defaultRowHeight="48.75" customHeight="1"/>
  <cols>
    <col min="1" max="1" width="27.28125" style="519" customWidth="1"/>
    <col min="2" max="3" width="15.421875" style="519" customWidth="1"/>
    <col min="4" max="5" width="16.8515625" style="519" customWidth="1"/>
    <col min="6" max="7" width="15.421875" style="519" customWidth="1"/>
    <col min="8" max="9" width="12.8515625" style="519" customWidth="1"/>
    <col min="10" max="10" width="11.28125" style="519" customWidth="1"/>
    <col min="11" max="11" width="13.8515625" style="520" customWidth="1"/>
    <col min="12" max="13" width="16.00390625" style="519" customWidth="1"/>
    <col min="14" max="14" width="14.28125" style="520" customWidth="1"/>
    <col min="15" max="15" width="14.28125" style="520" bestFit="1" customWidth="1"/>
    <col min="16" max="16" width="23.421875" style="519" customWidth="1"/>
    <col min="17" max="17" width="9.28125" style="519" bestFit="1" customWidth="1"/>
    <col min="18" max="21" width="9.140625" style="519" customWidth="1"/>
    <col min="22" max="22" width="13.57421875" style="519" customWidth="1"/>
    <col min="23" max="24" width="10.8515625" style="519" bestFit="1" customWidth="1"/>
    <col min="25" max="16384" width="9.140625" style="519" customWidth="1"/>
  </cols>
  <sheetData>
    <row r="1" spans="1:25" s="221" customFormat="1" ht="27" customHeight="1">
      <c r="A1" s="791" t="s">
        <v>528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513"/>
      <c r="Q1" s="513"/>
      <c r="R1" s="513"/>
      <c r="S1" s="513"/>
      <c r="T1" s="513"/>
      <c r="U1" s="513"/>
      <c r="V1" s="513"/>
      <c r="W1" s="513"/>
      <c r="X1" s="513"/>
      <c r="Y1" s="513"/>
    </row>
    <row r="2" spans="1:15" s="221" customFormat="1" ht="25.5" customHeight="1">
      <c r="A2" s="792" t="s">
        <v>193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</row>
    <row r="3" spans="1:15" s="514" customFormat="1" ht="48.75" customHeight="1">
      <c r="A3" s="693" t="s">
        <v>11</v>
      </c>
      <c r="B3" s="790" t="s">
        <v>36</v>
      </c>
      <c r="C3" s="790"/>
      <c r="D3" s="790"/>
      <c r="E3" s="790"/>
      <c r="F3" s="790"/>
      <c r="G3" s="790"/>
      <c r="H3" s="790"/>
      <c r="I3" s="790"/>
      <c r="J3" s="790"/>
      <c r="K3" s="790"/>
      <c r="L3" s="790" t="s">
        <v>37</v>
      </c>
      <c r="M3" s="790"/>
      <c r="N3" s="790" t="s">
        <v>40</v>
      </c>
      <c r="O3" s="790"/>
    </row>
    <row r="4" spans="1:15" s="514" customFormat="1" ht="48.75" customHeight="1">
      <c r="A4" s="693"/>
      <c r="B4" s="790" t="s">
        <v>213</v>
      </c>
      <c r="C4" s="790"/>
      <c r="D4" s="790" t="s">
        <v>214</v>
      </c>
      <c r="E4" s="790"/>
      <c r="F4" s="790" t="s">
        <v>215</v>
      </c>
      <c r="G4" s="790"/>
      <c r="H4" s="790" t="s">
        <v>330</v>
      </c>
      <c r="I4" s="790"/>
      <c r="J4" s="790" t="s">
        <v>55</v>
      </c>
      <c r="K4" s="790"/>
      <c r="L4" s="790" t="s">
        <v>217</v>
      </c>
      <c r="M4" s="790"/>
      <c r="N4" s="790"/>
      <c r="O4" s="790"/>
    </row>
    <row r="5" spans="1:15" s="514" customFormat="1" ht="48.75" customHeight="1">
      <c r="A5" s="693"/>
      <c r="B5" s="213" t="s">
        <v>554</v>
      </c>
      <c r="C5" s="213" t="s">
        <v>94</v>
      </c>
      <c r="D5" s="213" t="s">
        <v>554</v>
      </c>
      <c r="E5" s="213" t="s">
        <v>94</v>
      </c>
      <c r="F5" s="213" t="s">
        <v>554</v>
      </c>
      <c r="G5" s="213" t="s">
        <v>94</v>
      </c>
      <c r="H5" s="213" t="s">
        <v>554</v>
      </c>
      <c r="I5" s="213" t="s">
        <v>94</v>
      </c>
      <c r="J5" s="213" t="s">
        <v>554</v>
      </c>
      <c r="K5" s="213" t="s">
        <v>94</v>
      </c>
      <c r="L5" s="213" t="s">
        <v>554</v>
      </c>
      <c r="M5" s="213" t="s">
        <v>94</v>
      </c>
      <c r="N5" s="213" t="s">
        <v>554</v>
      </c>
      <c r="O5" s="213" t="s">
        <v>94</v>
      </c>
    </row>
    <row r="6" spans="1:17" s="221" customFormat="1" ht="48.75" customHeight="1">
      <c r="A6" s="318" t="s">
        <v>518</v>
      </c>
      <c r="B6" s="515">
        <v>451902</v>
      </c>
      <c r="C6" s="515">
        <v>147326</v>
      </c>
      <c r="D6" s="515">
        <v>69125</v>
      </c>
      <c r="E6" s="515">
        <v>28950</v>
      </c>
      <c r="F6" s="515">
        <v>133712</v>
      </c>
      <c r="G6" s="515">
        <v>84854</v>
      </c>
      <c r="H6" s="515">
        <v>10000</v>
      </c>
      <c r="I6" s="515">
        <v>8548</v>
      </c>
      <c r="J6" s="563">
        <f aca="true" t="shared" si="0" ref="J6:K8">B6+D6+F6+H6</f>
        <v>664739</v>
      </c>
      <c r="K6" s="563">
        <f t="shared" si="0"/>
        <v>269678</v>
      </c>
      <c r="L6" s="515">
        <v>1136</v>
      </c>
      <c r="M6" s="515">
        <v>1136</v>
      </c>
      <c r="N6" s="517">
        <f aca="true" t="shared" si="1" ref="N6:O8">J6+L6</f>
        <v>665875</v>
      </c>
      <c r="O6" s="517">
        <f t="shared" si="1"/>
        <v>270814</v>
      </c>
      <c r="Q6" s="516"/>
    </row>
    <row r="7" spans="1:17" s="221" customFormat="1" ht="48.75" customHeight="1">
      <c r="A7" s="318" t="s">
        <v>519</v>
      </c>
      <c r="B7" s="515">
        <v>42853</v>
      </c>
      <c r="C7" s="515">
        <v>18089</v>
      </c>
      <c r="D7" s="515">
        <v>6994</v>
      </c>
      <c r="E7" s="515">
        <v>3613</v>
      </c>
      <c r="F7" s="515">
        <v>24027</v>
      </c>
      <c r="G7" s="515">
        <v>7975</v>
      </c>
      <c r="H7" s="515"/>
      <c r="I7" s="515"/>
      <c r="J7" s="563">
        <f t="shared" si="0"/>
        <v>73874</v>
      </c>
      <c r="K7" s="563">
        <f t="shared" si="0"/>
        <v>29677</v>
      </c>
      <c r="L7" s="515">
        <v>108</v>
      </c>
      <c r="M7" s="515">
        <v>108</v>
      </c>
      <c r="N7" s="517">
        <f t="shared" si="1"/>
        <v>73982</v>
      </c>
      <c r="O7" s="517">
        <f t="shared" si="1"/>
        <v>29785</v>
      </c>
      <c r="Q7" s="516"/>
    </row>
    <row r="8" spans="1:25" s="221" customFormat="1" ht="48.75" customHeight="1">
      <c r="A8" s="318" t="s">
        <v>520</v>
      </c>
      <c r="B8" s="515">
        <v>38176</v>
      </c>
      <c r="C8" s="515">
        <v>17445</v>
      </c>
      <c r="D8" s="515">
        <v>5726</v>
      </c>
      <c r="E8" s="515">
        <v>3688</v>
      </c>
      <c r="F8" s="515">
        <v>44391</v>
      </c>
      <c r="G8" s="515">
        <v>19098</v>
      </c>
      <c r="H8" s="515"/>
      <c r="I8" s="515"/>
      <c r="J8" s="563">
        <f t="shared" si="0"/>
        <v>88293</v>
      </c>
      <c r="K8" s="563">
        <f t="shared" si="0"/>
        <v>40231</v>
      </c>
      <c r="L8" s="515">
        <v>250</v>
      </c>
      <c r="M8" s="515">
        <v>250</v>
      </c>
      <c r="N8" s="517">
        <f t="shared" si="1"/>
        <v>88543</v>
      </c>
      <c r="O8" s="517">
        <f t="shared" si="1"/>
        <v>40481</v>
      </c>
      <c r="Q8" s="516"/>
      <c r="U8" s="521"/>
      <c r="V8" s="521"/>
      <c r="W8" s="521"/>
      <c r="X8" s="521"/>
      <c r="Y8" s="521"/>
    </row>
    <row r="9" spans="1:25" s="513" customFormat="1" ht="48.75" customHeight="1">
      <c r="A9" s="325" t="s">
        <v>521</v>
      </c>
      <c r="B9" s="517">
        <f>SUM(B6:B8)</f>
        <v>532931</v>
      </c>
      <c r="C9" s="517">
        <f aca="true" t="shared" si="2" ref="C9:N9">SUM(C6:C8)</f>
        <v>182860</v>
      </c>
      <c r="D9" s="517">
        <f t="shared" si="2"/>
        <v>81845</v>
      </c>
      <c r="E9" s="517">
        <f t="shared" si="2"/>
        <v>36251</v>
      </c>
      <c r="F9" s="517">
        <f t="shared" si="2"/>
        <v>202130</v>
      </c>
      <c r="G9" s="517">
        <f t="shared" si="2"/>
        <v>111927</v>
      </c>
      <c r="H9" s="517">
        <f t="shared" si="2"/>
        <v>10000</v>
      </c>
      <c r="I9" s="517">
        <f t="shared" si="2"/>
        <v>8548</v>
      </c>
      <c r="J9" s="517">
        <f t="shared" si="2"/>
        <v>826906</v>
      </c>
      <c r="K9" s="517">
        <f t="shared" si="2"/>
        <v>339586</v>
      </c>
      <c r="L9" s="517">
        <f t="shared" si="2"/>
        <v>1494</v>
      </c>
      <c r="M9" s="517">
        <f t="shared" si="2"/>
        <v>1494</v>
      </c>
      <c r="N9" s="517">
        <f t="shared" si="2"/>
        <v>828400</v>
      </c>
      <c r="O9" s="517">
        <f>SUM(O6:O8)</f>
        <v>341080</v>
      </c>
      <c r="Q9" s="518"/>
      <c r="U9" s="521"/>
      <c r="V9" s="521">
        <v>451902521</v>
      </c>
      <c r="W9" s="521">
        <v>69124548</v>
      </c>
      <c r="X9" s="521"/>
      <c r="Y9" s="521"/>
    </row>
    <row r="10" spans="1:25" s="221" customFormat="1" ht="48.75" customHeight="1">
      <c r="A10" s="318" t="s">
        <v>522</v>
      </c>
      <c r="B10" s="515">
        <v>53636</v>
      </c>
      <c r="C10" s="515">
        <v>22284</v>
      </c>
      <c r="D10" s="515">
        <v>7109</v>
      </c>
      <c r="E10" s="515">
        <v>4560</v>
      </c>
      <c r="F10" s="515">
        <v>20537</v>
      </c>
      <c r="G10" s="515">
        <v>13628</v>
      </c>
      <c r="H10" s="515"/>
      <c r="I10" s="515"/>
      <c r="J10" s="563">
        <f aca="true" t="shared" si="3" ref="J10:K13">B10+D10+F10</f>
        <v>81282</v>
      </c>
      <c r="K10" s="563">
        <f t="shared" si="3"/>
        <v>40472</v>
      </c>
      <c r="L10" s="515">
        <v>17</v>
      </c>
      <c r="M10" s="515">
        <v>17</v>
      </c>
      <c r="N10" s="563">
        <f aca="true" t="shared" si="4" ref="N10:O13">J10+L10</f>
        <v>81299</v>
      </c>
      <c r="O10" s="517">
        <f t="shared" si="4"/>
        <v>40489</v>
      </c>
      <c r="P10" s="521">
        <f>'i.b'!S11-'i.k'!O10</f>
        <v>16415</v>
      </c>
      <c r="Q10" s="516"/>
      <c r="U10" s="521"/>
      <c r="V10" s="521">
        <f>V9*0.5-B6</f>
        <v>225499358.5</v>
      </c>
      <c r="W10" s="521">
        <f>W9*0.5-D6</f>
        <v>34493149</v>
      </c>
      <c r="X10" s="521">
        <f>SUM(V10:W10)</f>
        <v>259992507.5</v>
      </c>
      <c r="Y10" s="521"/>
    </row>
    <row r="11" spans="1:25" s="221" customFormat="1" ht="48.75" customHeight="1">
      <c r="A11" s="318" t="s">
        <v>523</v>
      </c>
      <c r="B11" s="515">
        <v>16626</v>
      </c>
      <c r="C11" s="515">
        <v>5660</v>
      </c>
      <c r="D11" s="515">
        <v>2910</v>
      </c>
      <c r="E11" s="515">
        <v>1004</v>
      </c>
      <c r="F11" s="515">
        <v>8909</v>
      </c>
      <c r="G11" s="515">
        <v>5426</v>
      </c>
      <c r="H11" s="515"/>
      <c r="I11" s="515"/>
      <c r="J11" s="563">
        <f t="shared" si="3"/>
        <v>28445</v>
      </c>
      <c r="K11" s="563">
        <f t="shared" si="3"/>
        <v>12090</v>
      </c>
      <c r="L11" s="515">
        <v>1788</v>
      </c>
      <c r="M11" s="515">
        <v>1788</v>
      </c>
      <c r="N11" s="563">
        <f t="shared" si="4"/>
        <v>30233</v>
      </c>
      <c r="O11" s="517">
        <f t="shared" si="4"/>
        <v>13878</v>
      </c>
      <c r="P11" s="521">
        <f>'i.b'!S12-'i.k'!O11</f>
        <v>0</v>
      </c>
      <c r="Q11" s="516"/>
      <c r="U11" s="521"/>
      <c r="V11" s="521"/>
      <c r="W11" s="521"/>
      <c r="X11" s="521"/>
      <c r="Y11" s="521"/>
    </row>
    <row r="12" spans="1:25" s="221" customFormat="1" ht="48.75" customHeight="1">
      <c r="A12" s="318" t="s">
        <v>525</v>
      </c>
      <c r="B12" s="515">
        <v>2453</v>
      </c>
      <c r="C12" s="515">
        <v>939</v>
      </c>
      <c r="D12" s="515">
        <v>430</v>
      </c>
      <c r="E12" s="515">
        <v>123</v>
      </c>
      <c r="F12" s="515">
        <v>6978</v>
      </c>
      <c r="G12" s="515">
        <v>3608</v>
      </c>
      <c r="H12" s="515"/>
      <c r="I12" s="515"/>
      <c r="J12" s="563">
        <f t="shared" si="3"/>
        <v>9861</v>
      </c>
      <c r="K12" s="563">
        <f t="shared" si="3"/>
        <v>4670</v>
      </c>
      <c r="L12" s="515"/>
      <c r="M12" s="515"/>
      <c r="N12" s="563">
        <f t="shared" si="4"/>
        <v>9861</v>
      </c>
      <c r="O12" s="517">
        <f t="shared" si="4"/>
        <v>4670</v>
      </c>
      <c r="P12" s="521">
        <f>'i.b'!S13-'i.k'!O12</f>
        <v>-4670</v>
      </c>
      <c r="Q12" s="516"/>
      <c r="U12" s="521"/>
      <c r="V12" s="521"/>
      <c r="W12" s="521"/>
      <c r="X12" s="521"/>
      <c r="Y12" s="521"/>
    </row>
    <row r="13" spans="1:17" s="221" customFormat="1" ht="48.75" customHeight="1">
      <c r="A13" s="318" t="s">
        <v>526</v>
      </c>
      <c r="B13" s="515">
        <v>10701</v>
      </c>
      <c r="C13" s="515">
        <v>5292</v>
      </c>
      <c r="D13" s="515">
        <v>1873</v>
      </c>
      <c r="E13" s="515">
        <v>926</v>
      </c>
      <c r="F13" s="515">
        <v>9616</v>
      </c>
      <c r="G13" s="515">
        <v>3542</v>
      </c>
      <c r="H13" s="515"/>
      <c r="I13" s="515"/>
      <c r="J13" s="563">
        <f t="shared" si="3"/>
        <v>22190</v>
      </c>
      <c r="K13" s="563">
        <f t="shared" si="3"/>
        <v>9760</v>
      </c>
      <c r="L13" s="515">
        <v>25</v>
      </c>
      <c r="M13" s="515">
        <v>25</v>
      </c>
      <c r="N13" s="563">
        <f t="shared" si="4"/>
        <v>22215</v>
      </c>
      <c r="O13" s="517">
        <f t="shared" si="4"/>
        <v>9785</v>
      </c>
      <c r="P13" s="521">
        <f>'i.b'!S14-'i.k'!O13</f>
        <v>-5115</v>
      </c>
      <c r="Q13" s="516"/>
    </row>
    <row r="14" spans="1:17" s="513" customFormat="1" ht="48.75" customHeight="1">
      <c r="A14" s="325" t="s">
        <v>527</v>
      </c>
      <c r="B14" s="517">
        <f aca="true" t="shared" si="5" ref="B14:O14">SUM(B10:B13)</f>
        <v>83416</v>
      </c>
      <c r="C14" s="517">
        <f t="shared" si="5"/>
        <v>34175</v>
      </c>
      <c r="D14" s="517">
        <f t="shared" si="5"/>
        <v>12322</v>
      </c>
      <c r="E14" s="517">
        <f t="shared" si="5"/>
        <v>6613</v>
      </c>
      <c r="F14" s="517">
        <f t="shared" si="5"/>
        <v>46040</v>
      </c>
      <c r="G14" s="517">
        <f t="shared" si="5"/>
        <v>26204</v>
      </c>
      <c r="H14" s="517">
        <f t="shared" si="5"/>
        <v>0</v>
      </c>
      <c r="I14" s="517">
        <f t="shared" si="5"/>
        <v>0</v>
      </c>
      <c r="J14" s="517">
        <f t="shared" si="5"/>
        <v>141778</v>
      </c>
      <c r="K14" s="517">
        <f t="shared" si="5"/>
        <v>66992</v>
      </c>
      <c r="L14" s="517">
        <f t="shared" si="5"/>
        <v>1830</v>
      </c>
      <c r="M14" s="517">
        <f t="shared" si="5"/>
        <v>1830</v>
      </c>
      <c r="N14" s="517">
        <f t="shared" si="5"/>
        <v>143608</v>
      </c>
      <c r="O14" s="517">
        <f t="shared" si="5"/>
        <v>68822</v>
      </c>
      <c r="Q14" s="518"/>
    </row>
    <row r="15" ht="48.75" customHeight="1">
      <c r="F15" s="519">
        <v>26203903</v>
      </c>
    </row>
    <row r="16" ht="48.75" customHeight="1">
      <c r="F16" s="522">
        <f>F15-F14</f>
        <v>26157863</v>
      </c>
    </row>
  </sheetData>
  <sheetProtection/>
  <mergeCells count="12">
    <mergeCell ref="B4:C4"/>
    <mergeCell ref="D4:E4"/>
    <mergeCell ref="F4:G4"/>
    <mergeCell ref="H4:I4"/>
    <mergeCell ref="J4:K4"/>
    <mergeCell ref="L4:M4"/>
    <mergeCell ref="A1:O1"/>
    <mergeCell ref="A2:O2"/>
    <mergeCell ref="A3:A5"/>
    <mergeCell ref="B3:K3"/>
    <mergeCell ref="L3:M3"/>
    <mergeCell ref="N3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3:M27"/>
  <sheetViews>
    <sheetView zoomScalePageLayoutView="0" workbookViewId="0" topLeftCell="A1">
      <selection activeCell="J14" sqref="J13:J14"/>
    </sheetView>
  </sheetViews>
  <sheetFormatPr defaultColWidth="9.140625" defaultRowHeight="12.75"/>
  <cols>
    <col min="1" max="1" width="37.140625" style="90" customWidth="1"/>
    <col min="2" max="3" width="17.421875" style="90" customWidth="1"/>
    <col min="4" max="4" width="14.28125" style="90" customWidth="1"/>
    <col min="5" max="5" width="14.7109375" style="533" customWidth="1"/>
    <col min="6" max="6" width="16.57421875" style="90" customWidth="1"/>
    <col min="7" max="7" width="9.140625" style="90" customWidth="1"/>
    <col min="8" max="8" width="12.421875" style="90" bestFit="1" customWidth="1"/>
    <col min="9" max="10" width="9.140625" style="90" customWidth="1"/>
    <col min="11" max="11" width="12.421875" style="90" bestFit="1" customWidth="1"/>
    <col min="12" max="12" width="16.00390625" style="90" customWidth="1"/>
    <col min="13" max="13" width="15.28125" style="90" customWidth="1"/>
    <col min="14" max="16384" width="9.140625" style="90" customWidth="1"/>
  </cols>
  <sheetData>
    <row r="3" spans="1:5" s="205" customFormat="1" ht="31.5">
      <c r="A3" s="110"/>
      <c r="B3" s="110" t="s">
        <v>142</v>
      </c>
      <c r="C3" s="110" t="s">
        <v>157</v>
      </c>
      <c r="D3" s="110" t="s">
        <v>529</v>
      </c>
      <c r="E3" s="527" t="s">
        <v>530</v>
      </c>
    </row>
    <row r="4" spans="1:11" ht="21" customHeight="1">
      <c r="A4" s="175" t="s">
        <v>531</v>
      </c>
      <c r="B4" s="134">
        <v>23247000</v>
      </c>
      <c r="C4" s="134">
        <v>23247000</v>
      </c>
      <c r="D4" s="134">
        <v>9724694</v>
      </c>
      <c r="E4" s="528">
        <f aca="true" t="shared" si="0" ref="E4:E12">D4/C4</f>
        <v>0.41832038542607647</v>
      </c>
      <c r="F4" s="178">
        <f>C4*0.5-D4</f>
        <v>1898806</v>
      </c>
      <c r="G4" s="178"/>
      <c r="H4" s="178">
        <f>SUM(D4:D8)</f>
        <v>239383328</v>
      </c>
      <c r="I4" s="178"/>
      <c r="J4" s="178"/>
      <c r="K4" s="178">
        <f>SUM(B4:B5)</f>
        <v>112454000</v>
      </c>
    </row>
    <row r="5" spans="1:11" ht="21" customHeight="1">
      <c r="A5" s="175" t="s">
        <v>532</v>
      </c>
      <c r="B5" s="134">
        <v>89207000</v>
      </c>
      <c r="C5" s="134">
        <v>89207000</v>
      </c>
      <c r="D5" s="134">
        <v>41798009</v>
      </c>
      <c r="E5" s="528">
        <f t="shared" si="0"/>
        <v>0.46855077516338406</v>
      </c>
      <c r="F5" s="178">
        <f aca="true" t="shared" si="1" ref="F5:F11">C5*0.5-D5</f>
        <v>2805491</v>
      </c>
      <c r="G5" s="178"/>
      <c r="H5" s="178"/>
      <c r="I5" s="178"/>
      <c r="J5" s="178"/>
      <c r="K5" s="178"/>
    </row>
    <row r="6" spans="1:11" ht="21" customHeight="1">
      <c r="A6" s="175" t="s">
        <v>533</v>
      </c>
      <c r="B6" s="134">
        <v>413513000</v>
      </c>
      <c r="C6" s="134">
        <v>413513000</v>
      </c>
      <c r="D6" s="134">
        <v>187818425</v>
      </c>
      <c r="E6" s="528">
        <f t="shared" si="0"/>
        <v>0.45420198397631995</v>
      </c>
      <c r="F6" s="178">
        <f t="shared" si="1"/>
        <v>18938075</v>
      </c>
      <c r="G6" s="178"/>
      <c r="H6" s="178"/>
      <c r="I6" s="178"/>
      <c r="J6" s="178"/>
      <c r="K6" s="178"/>
    </row>
    <row r="7" spans="1:11" ht="21" customHeight="1">
      <c r="A7" s="175" t="s">
        <v>534</v>
      </c>
      <c r="B7" s="134">
        <v>50066000</v>
      </c>
      <c r="C7" s="134">
        <v>50066000</v>
      </c>
      <c r="D7" s="134">
        <v>0</v>
      </c>
      <c r="E7" s="528">
        <f t="shared" si="0"/>
        <v>0</v>
      </c>
      <c r="F7" s="178">
        <f t="shared" si="1"/>
        <v>25033000</v>
      </c>
      <c r="G7" s="178"/>
      <c r="H7" s="178"/>
      <c r="I7" s="178"/>
      <c r="J7" s="178"/>
      <c r="K7" s="178"/>
    </row>
    <row r="8" spans="1:11" ht="21" customHeight="1">
      <c r="A8" s="175" t="s">
        <v>535</v>
      </c>
      <c r="B8" s="134">
        <v>870000</v>
      </c>
      <c r="C8" s="134">
        <v>870000</v>
      </c>
      <c r="D8" s="134">
        <v>42200</v>
      </c>
      <c r="E8" s="528">
        <f t="shared" si="0"/>
        <v>0.04850574712643678</v>
      </c>
      <c r="F8" s="178">
        <f t="shared" si="1"/>
        <v>392800</v>
      </c>
      <c r="G8" s="178"/>
      <c r="H8" s="178"/>
      <c r="I8" s="178"/>
      <c r="J8" s="178"/>
      <c r="K8" s="178"/>
    </row>
    <row r="9" spans="1:11" ht="21" customHeight="1">
      <c r="A9" s="175" t="s">
        <v>536</v>
      </c>
      <c r="B9" s="134">
        <v>1412000</v>
      </c>
      <c r="C9" s="134">
        <v>1412000</v>
      </c>
      <c r="D9" s="134">
        <v>527647</v>
      </c>
      <c r="E9" s="528">
        <f t="shared" si="0"/>
        <v>0.3736876770538244</v>
      </c>
      <c r="F9" s="178">
        <f t="shared" si="1"/>
        <v>178353</v>
      </c>
      <c r="G9" s="178"/>
      <c r="H9" s="178"/>
      <c r="I9" s="178"/>
      <c r="J9" s="178"/>
      <c r="K9" s="178">
        <f>SUM(B9:B11)</f>
        <v>3138000</v>
      </c>
    </row>
    <row r="10" spans="1:11" ht="21" customHeight="1">
      <c r="A10" s="175" t="s">
        <v>537</v>
      </c>
      <c r="B10" s="134">
        <v>1163000</v>
      </c>
      <c r="C10" s="134">
        <v>1163000</v>
      </c>
      <c r="D10" s="134">
        <v>793948</v>
      </c>
      <c r="E10" s="528">
        <f t="shared" si="0"/>
        <v>0.6826723989681858</v>
      </c>
      <c r="F10" s="178">
        <f t="shared" si="1"/>
        <v>-212448</v>
      </c>
      <c r="G10" s="178"/>
      <c r="H10" s="178"/>
      <c r="I10" s="178"/>
      <c r="J10" s="178"/>
      <c r="K10" s="178"/>
    </row>
    <row r="11" spans="1:11" ht="21" customHeight="1">
      <c r="A11" s="175" t="s">
        <v>538</v>
      </c>
      <c r="B11" s="134">
        <v>563000</v>
      </c>
      <c r="C11" s="134">
        <v>563000</v>
      </c>
      <c r="D11" s="134">
        <v>201600</v>
      </c>
      <c r="E11" s="528">
        <f t="shared" si="0"/>
        <v>0.3580817051509769</v>
      </c>
      <c r="F11" s="178">
        <f t="shared" si="1"/>
        <v>79900</v>
      </c>
      <c r="G11" s="178"/>
      <c r="H11" s="178"/>
      <c r="I11" s="178"/>
      <c r="J11" s="178"/>
      <c r="K11" s="178"/>
    </row>
    <row r="12" spans="1:11" s="531" customFormat="1" ht="25.5" customHeight="1">
      <c r="A12" s="122"/>
      <c r="B12" s="409">
        <f>SUM(B4:B11)</f>
        <v>580041000</v>
      </c>
      <c r="C12" s="409">
        <f>SUM(C4:C11)</f>
        <v>580041000</v>
      </c>
      <c r="D12" s="409">
        <f>SUM(D4:D11)</f>
        <v>240906523</v>
      </c>
      <c r="E12" s="529">
        <f t="shared" si="0"/>
        <v>0.4153267148356754</v>
      </c>
      <c r="F12" s="178">
        <f>C12*0.5-D12</f>
        <v>49113977</v>
      </c>
      <c r="G12" s="530"/>
      <c r="H12" s="530"/>
      <c r="I12" s="530"/>
      <c r="J12" s="530"/>
      <c r="K12" s="530"/>
    </row>
    <row r="13" spans="2:11" s="531" customFormat="1" ht="15.75">
      <c r="B13" s="530"/>
      <c r="C13" s="530"/>
      <c r="D13" s="530"/>
      <c r="E13" s="532"/>
      <c r="F13" s="530"/>
      <c r="G13" s="530"/>
      <c r="H13" s="530"/>
      <c r="I13" s="530"/>
      <c r="J13" s="530"/>
      <c r="K13" s="530"/>
    </row>
    <row r="15" spans="1:5" ht="24.75" customHeight="1">
      <c r="A15" s="793" t="s">
        <v>539</v>
      </c>
      <c r="B15" s="793"/>
      <c r="C15" s="793"/>
      <c r="D15" s="793"/>
      <c r="E15" s="793"/>
    </row>
    <row r="16" spans="1:5" ht="31.5">
      <c r="A16" s="110"/>
      <c r="B16" s="110" t="s">
        <v>142</v>
      </c>
      <c r="C16" s="110" t="s">
        <v>157</v>
      </c>
      <c r="D16" s="110" t="s">
        <v>529</v>
      </c>
      <c r="E16" s="527" t="s">
        <v>530</v>
      </c>
    </row>
    <row r="17" spans="1:12" ht="15.75">
      <c r="A17" s="175" t="s">
        <v>531</v>
      </c>
      <c r="B17" s="134">
        <v>23247000</v>
      </c>
      <c r="C17" s="134">
        <v>23247000</v>
      </c>
      <c r="D17" s="134">
        <v>19435735</v>
      </c>
      <c r="E17" s="528">
        <f aca="true" t="shared" si="2" ref="E17:E25">D17/C17</f>
        <v>0.8360534692648514</v>
      </c>
      <c r="K17" s="178">
        <f>SUM(B17:B18)</f>
        <v>112454000</v>
      </c>
      <c r="L17" s="178">
        <f>SUM(C17:C18)</f>
        <v>112454000</v>
      </c>
    </row>
    <row r="18" spans="1:5" ht="15.75">
      <c r="A18" s="175" t="s">
        <v>532</v>
      </c>
      <c r="B18" s="134">
        <v>89207000</v>
      </c>
      <c r="C18" s="134">
        <v>89207000</v>
      </c>
      <c r="D18" s="134">
        <v>87234353</v>
      </c>
      <c r="E18" s="528">
        <f t="shared" si="2"/>
        <v>0.9778868586545899</v>
      </c>
    </row>
    <row r="19" spans="1:6" ht="15.75">
      <c r="A19" s="175" t="s">
        <v>533</v>
      </c>
      <c r="B19" s="134">
        <v>413513000</v>
      </c>
      <c r="C19" s="134">
        <v>413513000</v>
      </c>
      <c r="D19" s="134">
        <v>429529170</v>
      </c>
      <c r="E19" s="528">
        <f t="shared" si="2"/>
        <v>1.0387319624776004</v>
      </c>
      <c r="F19" s="178">
        <f>SUM(D17:D21)</f>
        <v>588637958</v>
      </c>
    </row>
    <row r="20" spans="1:5" ht="15.75">
      <c r="A20" s="175" t="s">
        <v>534</v>
      </c>
      <c r="B20" s="134">
        <v>50066000</v>
      </c>
      <c r="C20" s="134">
        <v>50066000</v>
      </c>
      <c r="D20" s="134">
        <v>51632700</v>
      </c>
      <c r="E20" s="528">
        <f t="shared" si="2"/>
        <v>1.0312926936443894</v>
      </c>
    </row>
    <row r="21" spans="1:5" ht="15.75">
      <c r="A21" s="175" t="s">
        <v>535</v>
      </c>
      <c r="B21" s="134">
        <v>870000</v>
      </c>
      <c r="C21" s="134">
        <v>870000</v>
      </c>
      <c r="D21" s="134">
        <v>806000</v>
      </c>
      <c r="E21" s="528">
        <f t="shared" si="2"/>
        <v>0.9264367816091954</v>
      </c>
    </row>
    <row r="22" spans="1:13" ht="15.75">
      <c r="A22" s="175" t="s">
        <v>536</v>
      </c>
      <c r="B22" s="134">
        <v>1412000</v>
      </c>
      <c r="C22" s="134">
        <v>1412000</v>
      </c>
      <c r="D22" s="134">
        <v>1911063</v>
      </c>
      <c r="E22" s="528">
        <f t="shared" si="2"/>
        <v>1.3534440509915013</v>
      </c>
      <c r="K22" s="178">
        <f>SUM(B22:B24)</f>
        <v>3138000</v>
      </c>
      <c r="L22" s="178">
        <f>SUM(C22:C24)</f>
        <v>3138000</v>
      </c>
      <c r="M22" s="178">
        <f>SUM(D22:D24)</f>
        <v>3939430</v>
      </c>
    </row>
    <row r="23" spans="1:5" ht="15.75">
      <c r="A23" s="175" t="s">
        <v>537</v>
      </c>
      <c r="B23" s="134">
        <v>1163000</v>
      </c>
      <c r="C23" s="134">
        <v>1163000</v>
      </c>
      <c r="D23" s="134">
        <v>1937087</v>
      </c>
      <c r="E23" s="528">
        <f t="shared" si="2"/>
        <v>1.6655950128976784</v>
      </c>
    </row>
    <row r="24" spans="1:5" ht="15.75">
      <c r="A24" s="175" t="s">
        <v>538</v>
      </c>
      <c r="B24" s="134">
        <v>563000</v>
      </c>
      <c r="C24" s="134">
        <v>563000</v>
      </c>
      <c r="D24" s="134">
        <v>91280</v>
      </c>
      <c r="E24" s="528">
        <f t="shared" si="2"/>
        <v>0.16213143872113678</v>
      </c>
    </row>
    <row r="25" spans="1:5" ht="15.75">
      <c r="A25" s="122"/>
      <c r="B25" s="409">
        <f>SUM(B17:B24)</f>
        <v>580041000</v>
      </c>
      <c r="C25" s="409">
        <f>SUM(C17:C24)</f>
        <v>580041000</v>
      </c>
      <c r="D25" s="409">
        <f>SUM(D17:D24)</f>
        <v>592577388</v>
      </c>
      <c r="E25" s="529">
        <f t="shared" si="2"/>
        <v>1.0216129342580955</v>
      </c>
    </row>
    <row r="26" ht="15.75">
      <c r="D26" s="90">
        <v>517338658</v>
      </c>
    </row>
    <row r="27" ht="15.75">
      <c r="D27" s="178">
        <f>D26-D25</f>
        <v>-75238730</v>
      </c>
    </row>
  </sheetData>
  <sheetProtection/>
  <mergeCells count="1">
    <mergeCell ref="A15:E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Y35"/>
  <sheetViews>
    <sheetView zoomScale="80" zoomScaleNormal="80" zoomScalePageLayoutView="0" workbookViewId="0" topLeftCell="A1">
      <pane xSplit="2" ySplit="10" topLeftCell="AH25" activePane="bottomRight" state="frozen"/>
      <selection pane="topLeft" activeCell="J14" sqref="J13:J14"/>
      <selection pane="topRight" activeCell="J14" sqref="J13:J14"/>
      <selection pane="bottomLeft" activeCell="J14" sqref="J13:J14"/>
      <selection pane="bottomRight" activeCell="J14" sqref="J13:J14"/>
    </sheetView>
  </sheetViews>
  <sheetFormatPr defaultColWidth="9.140625" defaultRowHeight="12.75"/>
  <cols>
    <col min="1" max="1" width="5.7109375" style="76" customWidth="1"/>
    <col min="2" max="2" width="44.28125" style="76" customWidth="1"/>
    <col min="3" max="5" width="20.421875" style="76" customWidth="1"/>
    <col min="6" max="11" width="18.421875" style="76" customWidth="1"/>
    <col min="12" max="14" width="16.140625" style="76" customWidth="1"/>
    <col min="15" max="17" width="19.57421875" style="76" customWidth="1"/>
    <col min="18" max="18" width="15.8515625" style="76" customWidth="1"/>
    <col min="19" max="19" width="15.421875" style="76" customWidth="1"/>
    <col min="20" max="21" width="13.8515625" style="76" customWidth="1"/>
    <col min="22" max="22" width="15.421875" style="76" customWidth="1"/>
    <col min="23" max="23" width="15.28125" style="76" customWidth="1"/>
    <col min="24" max="26" width="16.140625" style="76" customWidth="1"/>
    <col min="27" max="38" width="17.57421875" style="76" customWidth="1"/>
    <col min="39" max="39" width="16.421875" style="76" customWidth="1"/>
    <col min="40" max="40" width="16.8515625" style="76" customWidth="1"/>
    <col min="41" max="41" width="17.140625" style="76" customWidth="1"/>
    <col min="42" max="42" width="17.8515625" style="76" customWidth="1"/>
    <col min="43" max="44" width="15.8515625" style="76" customWidth="1"/>
    <col min="45" max="47" width="8.8515625" style="76" customWidth="1"/>
    <col min="48" max="48" width="20.7109375" style="76" customWidth="1"/>
    <col min="49" max="51" width="16.140625" style="76" customWidth="1"/>
    <col min="52" max="16384" width="9.140625" style="76" customWidth="1"/>
  </cols>
  <sheetData>
    <row r="1" spans="1:47" ht="15.75">
      <c r="A1" s="23"/>
      <c r="C1" s="460"/>
      <c r="D1" s="460"/>
      <c r="E1" s="460"/>
      <c r="F1" s="460"/>
      <c r="G1" s="460"/>
      <c r="H1" s="460"/>
      <c r="I1" s="460"/>
      <c r="J1" s="460"/>
      <c r="K1" s="40" t="s">
        <v>481</v>
      </c>
      <c r="L1" s="460"/>
      <c r="O1" s="460"/>
      <c r="Z1" s="40" t="s">
        <v>481</v>
      </c>
      <c r="AI1" s="40" t="s">
        <v>481</v>
      </c>
      <c r="AU1" s="40" t="s">
        <v>481</v>
      </c>
    </row>
    <row r="2" spans="1:15" ht="15.75">
      <c r="A2" s="2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47" ht="15.75">
      <c r="A3" s="23"/>
      <c r="C3" s="603" t="s">
        <v>489</v>
      </c>
      <c r="D3" s="603"/>
      <c r="E3" s="603"/>
      <c r="F3" s="603"/>
      <c r="G3" s="603"/>
      <c r="H3" s="603"/>
      <c r="I3" s="603"/>
      <c r="J3" s="603"/>
      <c r="K3" s="603"/>
      <c r="L3" s="603" t="s">
        <v>489</v>
      </c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 t="s">
        <v>489</v>
      </c>
      <c r="AB3" s="603"/>
      <c r="AC3" s="603"/>
      <c r="AD3" s="603"/>
      <c r="AE3" s="603"/>
      <c r="AF3" s="603"/>
      <c r="AG3" s="603"/>
      <c r="AH3" s="603"/>
      <c r="AI3" s="603"/>
      <c r="AJ3" s="603" t="s">
        <v>489</v>
      </c>
      <c r="AK3" s="603"/>
      <c r="AL3" s="603"/>
      <c r="AM3" s="603"/>
      <c r="AN3" s="603"/>
      <c r="AO3" s="603"/>
      <c r="AP3" s="603"/>
      <c r="AQ3" s="603"/>
      <c r="AR3" s="603"/>
      <c r="AS3" s="603"/>
      <c r="AT3" s="603"/>
      <c r="AU3" s="603"/>
    </row>
    <row r="4" spans="1:47" ht="15.75">
      <c r="A4" s="23"/>
      <c r="B4" s="87"/>
      <c r="C4" s="87"/>
      <c r="D4" s="87"/>
      <c r="E4" s="87"/>
      <c r="F4" s="87"/>
      <c r="G4" s="87"/>
      <c r="H4" s="87"/>
      <c r="I4" s="87"/>
      <c r="J4" s="87"/>
      <c r="K4" s="2" t="s">
        <v>193</v>
      </c>
      <c r="L4" s="87"/>
      <c r="M4" s="87"/>
      <c r="O4" s="87"/>
      <c r="P4" s="88"/>
      <c r="Q4" s="88"/>
      <c r="R4" s="88"/>
      <c r="Z4" s="2" t="s">
        <v>193</v>
      </c>
      <c r="AI4" s="2" t="s">
        <v>193</v>
      </c>
      <c r="AU4" s="2" t="s">
        <v>193</v>
      </c>
    </row>
    <row r="5" spans="1:18" ht="15.75">
      <c r="A5" s="23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54"/>
      <c r="P5" s="89"/>
      <c r="Q5" s="88"/>
      <c r="R5" s="88"/>
    </row>
    <row r="6" spans="1:47" ht="15.75">
      <c r="A6" s="77"/>
      <c r="B6" s="52" t="s">
        <v>0</v>
      </c>
      <c r="C6" s="52" t="s">
        <v>1</v>
      </c>
      <c r="D6" s="52" t="s">
        <v>2</v>
      </c>
      <c r="E6" s="52" t="s">
        <v>3</v>
      </c>
      <c r="F6" s="52" t="s">
        <v>312</v>
      </c>
      <c r="G6" s="52" t="s">
        <v>5</v>
      </c>
      <c r="H6" s="52" t="s">
        <v>80</v>
      </c>
      <c r="I6" s="52" t="s">
        <v>6</v>
      </c>
      <c r="J6" s="52" t="s">
        <v>7</v>
      </c>
      <c r="K6" s="52" t="s">
        <v>38</v>
      </c>
      <c r="L6" s="52" t="s">
        <v>8</v>
      </c>
      <c r="M6" s="52" t="s">
        <v>91</v>
      </c>
      <c r="N6" s="52" t="s">
        <v>39</v>
      </c>
      <c r="O6" s="52" t="s">
        <v>0</v>
      </c>
      <c r="P6" s="52" t="s">
        <v>1</v>
      </c>
      <c r="Q6" s="52" t="s">
        <v>2</v>
      </c>
      <c r="R6" s="52" t="s">
        <v>3</v>
      </c>
      <c r="S6" s="52" t="s">
        <v>4</v>
      </c>
      <c r="T6" s="52" t="s">
        <v>5</v>
      </c>
      <c r="U6" s="52" t="s">
        <v>80</v>
      </c>
      <c r="V6" s="52" t="s">
        <v>6</v>
      </c>
      <c r="W6" s="52" t="s">
        <v>7</v>
      </c>
      <c r="X6" s="429" t="s">
        <v>38</v>
      </c>
      <c r="Y6" s="429" t="s">
        <v>8</v>
      </c>
      <c r="Z6" s="429" t="s">
        <v>91</v>
      </c>
      <c r="AA6" s="52" t="s">
        <v>0</v>
      </c>
      <c r="AB6" s="52" t="s">
        <v>1</v>
      </c>
      <c r="AC6" s="52" t="s">
        <v>2</v>
      </c>
      <c r="AD6" s="52" t="s">
        <v>3</v>
      </c>
      <c r="AE6" s="52" t="s">
        <v>312</v>
      </c>
      <c r="AF6" s="52" t="s">
        <v>5</v>
      </c>
      <c r="AG6" s="52"/>
      <c r="AH6" s="52"/>
      <c r="AI6" s="52"/>
      <c r="AJ6" s="52" t="s">
        <v>80</v>
      </c>
      <c r="AK6" s="52" t="s">
        <v>6</v>
      </c>
      <c r="AL6" s="52" t="s">
        <v>7</v>
      </c>
      <c r="AM6" s="429"/>
      <c r="AN6" s="429"/>
      <c r="AO6" s="429"/>
      <c r="AP6" s="52" t="s">
        <v>38</v>
      </c>
      <c r="AQ6" s="52" t="s">
        <v>8</v>
      </c>
      <c r="AR6" s="52" t="s">
        <v>91</v>
      </c>
      <c r="AS6" s="306" t="s">
        <v>329</v>
      </c>
      <c r="AT6" s="306" t="s">
        <v>9</v>
      </c>
      <c r="AU6" s="306" t="s">
        <v>92</v>
      </c>
    </row>
    <row r="7" spans="1:47" ht="24.75" customHeight="1">
      <c r="A7" s="599" t="s">
        <v>10</v>
      </c>
      <c r="B7" s="600" t="s">
        <v>11</v>
      </c>
      <c r="C7" s="572" t="s">
        <v>36</v>
      </c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596" t="s">
        <v>55</v>
      </c>
      <c r="Y7" s="596"/>
      <c r="Z7" s="596"/>
      <c r="AA7" s="572" t="s">
        <v>37</v>
      </c>
      <c r="AB7" s="572"/>
      <c r="AC7" s="572"/>
      <c r="AD7" s="572"/>
      <c r="AE7" s="572"/>
      <c r="AF7" s="572"/>
      <c r="AG7" s="572"/>
      <c r="AH7" s="572"/>
      <c r="AI7" s="572"/>
      <c r="AJ7" s="572"/>
      <c r="AK7" s="572"/>
      <c r="AL7" s="572"/>
      <c r="AM7" s="596" t="s">
        <v>69</v>
      </c>
      <c r="AN7" s="596"/>
      <c r="AO7" s="596"/>
      <c r="AP7" s="572" t="s">
        <v>40</v>
      </c>
      <c r="AQ7" s="572"/>
      <c r="AR7" s="572"/>
      <c r="AS7" s="572" t="s">
        <v>315</v>
      </c>
      <c r="AT7" s="572"/>
      <c r="AU7" s="572"/>
    </row>
    <row r="8" spans="1:47" ht="36.75" customHeight="1">
      <c r="A8" s="599"/>
      <c r="B8" s="600"/>
      <c r="C8" s="572" t="s">
        <v>213</v>
      </c>
      <c r="D8" s="572"/>
      <c r="E8" s="572"/>
      <c r="F8" s="572" t="s">
        <v>214</v>
      </c>
      <c r="G8" s="572"/>
      <c r="H8" s="572"/>
      <c r="I8" s="572" t="s">
        <v>215</v>
      </c>
      <c r="J8" s="572"/>
      <c r="K8" s="572"/>
      <c r="L8" s="572" t="s">
        <v>216</v>
      </c>
      <c r="M8" s="572"/>
      <c r="N8" s="572"/>
      <c r="O8" s="572" t="s">
        <v>330</v>
      </c>
      <c r="P8" s="572"/>
      <c r="Q8" s="572"/>
      <c r="R8" s="572" t="s">
        <v>44</v>
      </c>
      <c r="S8" s="572"/>
      <c r="T8" s="572"/>
      <c r="U8" s="572" t="s">
        <v>331</v>
      </c>
      <c r="V8" s="572"/>
      <c r="W8" s="572"/>
      <c r="X8" s="596"/>
      <c r="Y8" s="596"/>
      <c r="Z8" s="596"/>
      <c r="AA8" s="572" t="s">
        <v>217</v>
      </c>
      <c r="AB8" s="572"/>
      <c r="AC8" s="572"/>
      <c r="AD8" s="572" t="s">
        <v>332</v>
      </c>
      <c r="AE8" s="572"/>
      <c r="AF8" s="572"/>
      <c r="AG8" s="572" t="s">
        <v>46</v>
      </c>
      <c r="AH8" s="572"/>
      <c r="AI8" s="572"/>
      <c r="AJ8" s="572" t="s">
        <v>452</v>
      </c>
      <c r="AK8" s="572"/>
      <c r="AL8" s="572"/>
      <c r="AM8" s="596"/>
      <c r="AN8" s="596"/>
      <c r="AO8" s="596"/>
      <c r="AP8" s="572"/>
      <c r="AQ8" s="572"/>
      <c r="AR8" s="572"/>
      <c r="AS8" s="598" t="s">
        <v>318</v>
      </c>
      <c r="AT8" s="598" t="s">
        <v>319</v>
      </c>
      <c r="AU8" s="598" t="s">
        <v>97</v>
      </c>
    </row>
    <row r="9" spans="1:47" ht="49.5" customHeight="1">
      <c r="A9" s="599"/>
      <c r="B9" s="600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 t="s">
        <v>333</v>
      </c>
      <c r="V9" s="572"/>
      <c r="W9" s="572"/>
      <c r="X9" s="596"/>
      <c r="Y9" s="596"/>
      <c r="Z9" s="596"/>
      <c r="AA9" s="572"/>
      <c r="AB9" s="572"/>
      <c r="AC9" s="572"/>
      <c r="AD9" s="572" t="s">
        <v>334</v>
      </c>
      <c r="AE9" s="572"/>
      <c r="AF9" s="572"/>
      <c r="AG9" s="572"/>
      <c r="AH9" s="572"/>
      <c r="AI9" s="572"/>
      <c r="AJ9" s="572"/>
      <c r="AK9" s="572"/>
      <c r="AL9" s="572"/>
      <c r="AM9" s="596"/>
      <c r="AN9" s="596"/>
      <c r="AO9" s="596"/>
      <c r="AP9" s="572"/>
      <c r="AQ9" s="572"/>
      <c r="AR9" s="572"/>
      <c r="AS9" s="598"/>
      <c r="AT9" s="598"/>
      <c r="AU9" s="598"/>
    </row>
    <row r="10" spans="1:47" ht="78.75" customHeight="1">
      <c r="A10" s="599"/>
      <c r="B10" s="600"/>
      <c r="C10" s="213" t="s">
        <v>142</v>
      </c>
      <c r="D10" s="213" t="s">
        <v>157</v>
      </c>
      <c r="E10" s="213" t="s">
        <v>94</v>
      </c>
      <c r="F10" s="213" t="s">
        <v>142</v>
      </c>
      <c r="G10" s="213" t="s">
        <v>157</v>
      </c>
      <c r="H10" s="213" t="s">
        <v>94</v>
      </c>
      <c r="I10" s="213" t="s">
        <v>142</v>
      </c>
      <c r="J10" s="213" t="s">
        <v>157</v>
      </c>
      <c r="K10" s="213" t="s">
        <v>94</v>
      </c>
      <c r="L10" s="213" t="s">
        <v>142</v>
      </c>
      <c r="M10" s="213" t="s">
        <v>157</v>
      </c>
      <c r="N10" s="213" t="s">
        <v>94</v>
      </c>
      <c r="O10" s="213" t="s">
        <v>142</v>
      </c>
      <c r="P10" s="213" t="s">
        <v>157</v>
      </c>
      <c r="Q10" s="213" t="s">
        <v>94</v>
      </c>
      <c r="R10" s="213" t="s">
        <v>142</v>
      </c>
      <c r="S10" s="213" t="s">
        <v>157</v>
      </c>
      <c r="T10" s="213" t="s">
        <v>94</v>
      </c>
      <c r="U10" s="213" t="s">
        <v>142</v>
      </c>
      <c r="V10" s="213" t="s">
        <v>157</v>
      </c>
      <c r="W10" s="213" t="s">
        <v>94</v>
      </c>
      <c r="X10" s="214" t="s">
        <v>142</v>
      </c>
      <c r="Y10" s="214" t="s">
        <v>157</v>
      </c>
      <c r="Z10" s="214" t="s">
        <v>94</v>
      </c>
      <c r="AA10" s="213" t="s">
        <v>142</v>
      </c>
      <c r="AB10" s="213" t="s">
        <v>157</v>
      </c>
      <c r="AC10" s="213" t="s">
        <v>94</v>
      </c>
      <c r="AD10" s="213" t="s">
        <v>142</v>
      </c>
      <c r="AE10" s="213" t="s">
        <v>157</v>
      </c>
      <c r="AF10" s="213" t="s">
        <v>94</v>
      </c>
      <c r="AG10" s="213" t="s">
        <v>142</v>
      </c>
      <c r="AH10" s="213" t="s">
        <v>157</v>
      </c>
      <c r="AI10" s="213" t="s">
        <v>94</v>
      </c>
      <c r="AJ10" s="213" t="s">
        <v>142</v>
      </c>
      <c r="AK10" s="213" t="s">
        <v>157</v>
      </c>
      <c r="AL10" s="213" t="s">
        <v>94</v>
      </c>
      <c r="AM10" s="214" t="s">
        <v>142</v>
      </c>
      <c r="AN10" s="214" t="s">
        <v>157</v>
      </c>
      <c r="AO10" s="214" t="s">
        <v>94</v>
      </c>
      <c r="AP10" s="213" t="s">
        <v>142</v>
      </c>
      <c r="AQ10" s="213" t="s">
        <v>157</v>
      </c>
      <c r="AR10" s="213" t="s">
        <v>94</v>
      </c>
      <c r="AS10" s="598"/>
      <c r="AT10" s="598"/>
      <c r="AU10" s="598"/>
    </row>
    <row r="11" spans="1:51" s="90" customFormat="1" ht="72" customHeight="1">
      <c r="A11" s="419" t="s">
        <v>15</v>
      </c>
      <c r="B11" s="49" t="s">
        <v>183</v>
      </c>
      <c r="C11" s="92">
        <v>403296249</v>
      </c>
      <c r="D11" s="92">
        <v>532931359</v>
      </c>
      <c r="E11" s="92">
        <v>182860321</v>
      </c>
      <c r="F11" s="92">
        <v>73970000</v>
      </c>
      <c r="G11" s="92">
        <v>81844524</v>
      </c>
      <c r="H11" s="92">
        <v>36250663</v>
      </c>
      <c r="I11" s="92">
        <v>194161000</v>
      </c>
      <c r="J11" s="92">
        <v>202129805</v>
      </c>
      <c r="K11" s="92">
        <v>111926698</v>
      </c>
      <c r="L11" s="92">
        <v>0</v>
      </c>
      <c r="M11" s="92">
        <v>0</v>
      </c>
      <c r="N11" s="92">
        <v>0</v>
      </c>
      <c r="O11" s="92">
        <v>3500000</v>
      </c>
      <c r="P11" s="92">
        <v>10000000</v>
      </c>
      <c r="Q11" s="92">
        <v>8547810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284">
        <f aca="true" t="shared" si="0" ref="X11:Z14">C11+F11+I11+L11+O11+R11+U11</f>
        <v>674927249</v>
      </c>
      <c r="Y11" s="284">
        <f t="shared" si="0"/>
        <v>826905688</v>
      </c>
      <c r="Z11" s="284">
        <f t="shared" si="0"/>
        <v>339585492</v>
      </c>
      <c r="AA11" s="92">
        <v>0</v>
      </c>
      <c r="AB11" s="92">
        <v>1494068</v>
      </c>
      <c r="AC11" s="92">
        <v>1494068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  <c r="AL11" s="92">
        <v>0</v>
      </c>
      <c r="AM11" s="284">
        <f aca="true" t="shared" si="1" ref="AM11:AO14">AA11+AD11+AJ11</f>
        <v>0</v>
      </c>
      <c r="AN11" s="284">
        <f t="shared" si="1"/>
        <v>1494068</v>
      </c>
      <c r="AO11" s="284">
        <f t="shared" si="1"/>
        <v>1494068</v>
      </c>
      <c r="AP11" s="92">
        <f aca="true" t="shared" si="2" ref="AP11:AR14">X11+AM11</f>
        <v>674927249</v>
      </c>
      <c r="AQ11" s="92">
        <f t="shared" si="2"/>
        <v>828399756</v>
      </c>
      <c r="AR11" s="92">
        <f t="shared" si="2"/>
        <v>341079560</v>
      </c>
      <c r="AS11" s="222">
        <f aca="true" t="shared" si="3" ref="AS11:AS18">Z11/Y11</f>
        <v>0.4106701609724566</v>
      </c>
      <c r="AT11" s="222">
        <f>AO11/AN11</f>
        <v>1</v>
      </c>
      <c r="AU11" s="222">
        <f aca="true" t="shared" si="4" ref="AU11:AU18">AR11/AQ11</f>
        <v>0.4117330522246074</v>
      </c>
      <c r="AV11" s="178">
        <f aca="true" t="shared" si="5" ref="AV11:AV17">AQ11-AP11</f>
        <v>153472507</v>
      </c>
      <c r="AW11" s="178"/>
      <c r="AX11" s="178">
        <f>Y11*0.5-Z11</f>
        <v>73867352</v>
      </c>
      <c r="AY11" s="172"/>
    </row>
    <row r="12" spans="1:51" s="90" customFormat="1" ht="44.25" customHeight="1">
      <c r="A12" s="419" t="s">
        <v>21</v>
      </c>
      <c r="B12" s="49" t="s">
        <v>24</v>
      </c>
      <c r="C12" s="92">
        <v>60840000</v>
      </c>
      <c r="D12" s="92">
        <v>83416042</v>
      </c>
      <c r="E12" s="92">
        <v>34175310</v>
      </c>
      <c r="F12" s="92">
        <v>10599125</v>
      </c>
      <c r="G12" s="92">
        <v>12322559</v>
      </c>
      <c r="H12" s="92">
        <v>6612996</v>
      </c>
      <c r="I12" s="92">
        <v>50677000</v>
      </c>
      <c r="J12" s="92">
        <v>46040272</v>
      </c>
      <c r="K12" s="92">
        <v>26203903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284">
        <f t="shared" si="0"/>
        <v>122116125</v>
      </c>
      <c r="Y12" s="284">
        <f t="shared" si="0"/>
        <v>141778873</v>
      </c>
      <c r="Z12" s="284">
        <f t="shared" si="0"/>
        <v>66992209</v>
      </c>
      <c r="AA12" s="92">
        <v>0</v>
      </c>
      <c r="AB12" s="92">
        <v>1829778</v>
      </c>
      <c r="AC12" s="92">
        <v>1829778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2">
        <v>0</v>
      </c>
      <c r="AL12" s="92">
        <v>0</v>
      </c>
      <c r="AM12" s="284">
        <f t="shared" si="1"/>
        <v>0</v>
      </c>
      <c r="AN12" s="284">
        <f t="shared" si="1"/>
        <v>1829778</v>
      </c>
      <c r="AO12" s="284">
        <f t="shared" si="1"/>
        <v>1829778</v>
      </c>
      <c r="AP12" s="92">
        <f t="shared" si="2"/>
        <v>122116125</v>
      </c>
      <c r="AQ12" s="92">
        <f t="shared" si="2"/>
        <v>143608651</v>
      </c>
      <c r="AR12" s="92">
        <f t="shared" si="2"/>
        <v>68821987</v>
      </c>
      <c r="AS12" s="222">
        <f t="shared" si="3"/>
        <v>0.47251193060336993</v>
      </c>
      <c r="AT12" s="222">
        <f>AO12/AN12</f>
        <v>1</v>
      </c>
      <c r="AU12" s="222">
        <f t="shared" si="4"/>
        <v>0.4792328771335649</v>
      </c>
      <c r="AV12" s="178">
        <f t="shared" si="5"/>
        <v>21492526</v>
      </c>
      <c r="AW12" s="178"/>
      <c r="AX12" s="178">
        <f aca="true" t="shared" si="6" ref="AX12:AX18">Y12*0.5-Z12</f>
        <v>3897227.5</v>
      </c>
      <c r="AY12" s="172"/>
    </row>
    <row r="13" spans="1:51" s="90" customFormat="1" ht="48" customHeight="1">
      <c r="A13" s="419" t="s">
        <v>22</v>
      </c>
      <c r="B13" s="49" t="s">
        <v>28</v>
      </c>
      <c r="C13" s="92">
        <v>27515000</v>
      </c>
      <c r="D13" s="92">
        <v>32783249</v>
      </c>
      <c r="E13" s="92">
        <v>16389097</v>
      </c>
      <c r="F13" s="92">
        <v>4822000</v>
      </c>
      <c r="G13" s="92">
        <v>5208247</v>
      </c>
      <c r="H13" s="92">
        <v>2917973</v>
      </c>
      <c r="I13" s="92">
        <v>7758000</v>
      </c>
      <c r="J13" s="92">
        <v>7528594</v>
      </c>
      <c r="K13" s="92">
        <v>4745023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284">
        <f t="shared" si="0"/>
        <v>40095000</v>
      </c>
      <c r="Y13" s="284">
        <f t="shared" si="0"/>
        <v>45520090</v>
      </c>
      <c r="Z13" s="284">
        <f t="shared" si="0"/>
        <v>24052093</v>
      </c>
      <c r="AA13" s="92">
        <v>0</v>
      </c>
      <c r="AB13" s="92">
        <v>2483270</v>
      </c>
      <c r="AC13" s="92">
        <v>439254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284">
        <f t="shared" si="1"/>
        <v>0</v>
      </c>
      <c r="AN13" s="284">
        <f t="shared" si="1"/>
        <v>2483270</v>
      </c>
      <c r="AO13" s="284">
        <f t="shared" si="1"/>
        <v>439254</v>
      </c>
      <c r="AP13" s="92">
        <f t="shared" si="2"/>
        <v>40095000</v>
      </c>
      <c r="AQ13" s="92">
        <f t="shared" si="2"/>
        <v>48003360</v>
      </c>
      <c r="AR13" s="92">
        <f t="shared" si="2"/>
        <v>24491347</v>
      </c>
      <c r="AS13" s="222">
        <f t="shared" si="3"/>
        <v>0.528384126657043</v>
      </c>
      <c r="AT13" s="222">
        <f>AO13/AN13</f>
        <v>0.17688531653827413</v>
      </c>
      <c r="AU13" s="222">
        <f t="shared" si="4"/>
        <v>0.5102006817856083</v>
      </c>
      <c r="AV13" s="178">
        <f t="shared" si="5"/>
        <v>7908360</v>
      </c>
      <c r="AW13" s="178"/>
      <c r="AX13" s="178">
        <f t="shared" si="6"/>
        <v>-1292048</v>
      </c>
      <c r="AY13" s="172"/>
    </row>
    <row r="14" spans="1:51" s="90" customFormat="1" ht="40.5" customHeight="1">
      <c r="A14" s="419" t="s">
        <v>51</v>
      </c>
      <c r="B14" s="49" t="s">
        <v>26</v>
      </c>
      <c r="C14" s="92">
        <v>14734000</v>
      </c>
      <c r="D14" s="92">
        <v>16603706</v>
      </c>
      <c r="E14" s="92">
        <v>7935590</v>
      </c>
      <c r="F14" s="92">
        <v>2579000</v>
      </c>
      <c r="G14" s="92">
        <v>2857246</v>
      </c>
      <c r="H14" s="92">
        <v>1351147</v>
      </c>
      <c r="I14" s="92">
        <v>6007000</v>
      </c>
      <c r="J14" s="92">
        <v>6007000</v>
      </c>
      <c r="K14" s="92">
        <v>3536630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284">
        <f t="shared" si="0"/>
        <v>23320000</v>
      </c>
      <c r="Y14" s="284">
        <f t="shared" si="0"/>
        <v>25467952</v>
      </c>
      <c r="Z14" s="284">
        <f t="shared" si="0"/>
        <v>12823367</v>
      </c>
      <c r="AA14" s="92">
        <v>0</v>
      </c>
      <c r="AB14" s="92"/>
      <c r="AC14" s="92"/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0</v>
      </c>
      <c r="AM14" s="284">
        <f t="shared" si="1"/>
        <v>0</v>
      </c>
      <c r="AN14" s="284">
        <f t="shared" si="1"/>
        <v>0</v>
      </c>
      <c r="AO14" s="284">
        <f t="shared" si="1"/>
        <v>0</v>
      </c>
      <c r="AP14" s="92">
        <f t="shared" si="2"/>
        <v>23320000</v>
      </c>
      <c r="AQ14" s="92">
        <f t="shared" si="2"/>
        <v>25467952</v>
      </c>
      <c r="AR14" s="92">
        <f t="shared" si="2"/>
        <v>12823367</v>
      </c>
      <c r="AS14" s="222">
        <f t="shared" si="3"/>
        <v>0.5035099406501159</v>
      </c>
      <c r="AT14" s="222"/>
      <c r="AU14" s="222">
        <f t="shared" si="4"/>
        <v>0.5035099406501159</v>
      </c>
      <c r="AV14" s="178">
        <f t="shared" si="5"/>
        <v>2147952</v>
      </c>
      <c r="AW14" s="178"/>
      <c r="AX14" s="178">
        <f t="shared" si="6"/>
        <v>-89391</v>
      </c>
      <c r="AY14" s="172"/>
    </row>
    <row r="15" spans="1:51" ht="46.5" customHeight="1">
      <c r="A15" s="419" t="s">
        <v>53</v>
      </c>
      <c r="B15" s="426" t="s">
        <v>324</v>
      </c>
      <c r="C15" s="95">
        <f>SUM(C11:C14)</f>
        <v>506385249</v>
      </c>
      <c r="D15" s="95">
        <f>SUM(D11:D14)</f>
        <v>665734356</v>
      </c>
      <c r="E15" s="95">
        <f aca="true" t="shared" si="7" ref="E15:AA15">SUM(E11:E14)</f>
        <v>241360318</v>
      </c>
      <c r="F15" s="95">
        <f t="shared" si="7"/>
        <v>91970125</v>
      </c>
      <c r="G15" s="95">
        <f t="shared" si="7"/>
        <v>102232576</v>
      </c>
      <c r="H15" s="95">
        <f t="shared" si="7"/>
        <v>47132779</v>
      </c>
      <c r="I15" s="95">
        <f t="shared" si="7"/>
        <v>258603000</v>
      </c>
      <c r="J15" s="95">
        <f t="shared" si="7"/>
        <v>261705671</v>
      </c>
      <c r="K15" s="95">
        <f t="shared" si="7"/>
        <v>146412254</v>
      </c>
      <c r="L15" s="95">
        <f t="shared" si="7"/>
        <v>0</v>
      </c>
      <c r="M15" s="95">
        <f t="shared" si="7"/>
        <v>0</v>
      </c>
      <c r="N15" s="95">
        <f t="shared" si="7"/>
        <v>0</v>
      </c>
      <c r="O15" s="95">
        <f t="shared" si="7"/>
        <v>3500000</v>
      </c>
      <c r="P15" s="95">
        <f t="shared" si="7"/>
        <v>10000000</v>
      </c>
      <c r="Q15" s="95">
        <f t="shared" si="7"/>
        <v>8547810</v>
      </c>
      <c r="R15" s="95">
        <f t="shared" si="7"/>
        <v>0</v>
      </c>
      <c r="S15" s="95">
        <f t="shared" si="7"/>
        <v>0</v>
      </c>
      <c r="T15" s="95">
        <f t="shared" si="7"/>
        <v>0</v>
      </c>
      <c r="U15" s="95">
        <f t="shared" si="7"/>
        <v>0</v>
      </c>
      <c r="V15" s="95">
        <f t="shared" si="7"/>
        <v>0</v>
      </c>
      <c r="W15" s="95">
        <f t="shared" si="7"/>
        <v>0</v>
      </c>
      <c r="X15" s="95">
        <f>SUM(X11:X14)</f>
        <v>860458374</v>
      </c>
      <c r="Y15" s="95">
        <f>SUM(Y11:Y14)</f>
        <v>1039672603</v>
      </c>
      <c r="Z15" s="95">
        <f>SUM(Z11:Z14)</f>
        <v>443453161</v>
      </c>
      <c r="AA15" s="95">
        <f t="shared" si="7"/>
        <v>0</v>
      </c>
      <c r="AB15" s="95">
        <f>SUM(AB11:AB14)</f>
        <v>5807116</v>
      </c>
      <c r="AC15" s="95">
        <f>SUM(AC11:AC14)</f>
        <v>3763100</v>
      </c>
      <c r="AD15" s="95">
        <f aca="true" t="shared" si="8" ref="AD15:AR15">SUM(AD11:AD14)</f>
        <v>0</v>
      </c>
      <c r="AE15" s="95">
        <f t="shared" si="8"/>
        <v>0</v>
      </c>
      <c r="AF15" s="95">
        <f t="shared" si="8"/>
        <v>0</v>
      </c>
      <c r="AG15" s="95">
        <f>SUM(AG11:AG14)</f>
        <v>0</v>
      </c>
      <c r="AH15" s="95">
        <f>SUM(AH11:AH14)</f>
        <v>0</v>
      </c>
      <c r="AI15" s="95">
        <f>SUM(AI11:AI14)</f>
        <v>0</v>
      </c>
      <c r="AJ15" s="95">
        <f t="shared" si="8"/>
        <v>0</v>
      </c>
      <c r="AK15" s="95">
        <f t="shared" si="8"/>
        <v>0</v>
      </c>
      <c r="AL15" s="95">
        <f t="shared" si="8"/>
        <v>0</v>
      </c>
      <c r="AM15" s="424">
        <f t="shared" si="8"/>
        <v>0</v>
      </c>
      <c r="AN15" s="424">
        <f t="shared" si="8"/>
        <v>5807116</v>
      </c>
      <c r="AO15" s="424">
        <f t="shared" si="8"/>
        <v>3763100</v>
      </c>
      <c r="AP15" s="95">
        <f t="shared" si="8"/>
        <v>860458374</v>
      </c>
      <c r="AQ15" s="95">
        <f t="shared" si="8"/>
        <v>1045479719</v>
      </c>
      <c r="AR15" s="95">
        <f t="shared" si="8"/>
        <v>447216261</v>
      </c>
      <c r="AS15" s="222">
        <f t="shared" si="3"/>
        <v>0.42653154437310875</v>
      </c>
      <c r="AT15" s="222">
        <f>AO15/AN15</f>
        <v>0.648015297094117</v>
      </c>
      <c r="AU15" s="222">
        <f t="shared" si="4"/>
        <v>0.42776177564473633</v>
      </c>
      <c r="AV15" s="178">
        <f t="shared" si="5"/>
        <v>185021345</v>
      </c>
      <c r="AW15" s="178"/>
      <c r="AX15" s="178">
        <f t="shared" si="6"/>
        <v>76383140.5</v>
      </c>
      <c r="AY15" s="172"/>
    </row>
    <row r="16" spans="1:51" s="90" customFormat="1" ht="51" customHeight="1">
      <c r="A16" s="419" t="s">
        <v>47</v>
      </c>
      <c r="B16" s="49" t="s">
        <v>31</v>
      </c>
      <c r="C16" s="92">
        <v>292700000</v>
      </c>
      <c r="D16" s="92">
        <v>274014600</v>
      </c>
      <c r="E16" s="92">
        <v>126917840</v>
      </c>
      <c r="F16" s="92">
        <v>58314000</v>
      </c>
      <c r="G16" s="92">
        <v>53338828</v>
      </c>
      <c r="H16" s="92">
        <v>25318490</v>
      </c>
      <c r="I16" s="92">
        <v>205628000</v>
      </c>
      <c r="J16" s="92">
        <v>195783178</v>
      </c>
      <c r="K16" s="92">
        <v>81227895</v>
      </c>
      <c r="L16" s="92">
        <v>0</v>
      </c>
      <c r="M16" s="92">
        <v>0</v>
      </c>
      <c r="N16" s="92">
        <v>0</v>
      </c>
      <c r="O16" s="92">
        <v>0</v>
      </c>
      <c r="P16" s="92">
        <v>556517</v>
      </c>
      <c r="Q16" s="92">
        <v>556517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284">
        <f aca="true" t="shared" si="9" ref="X16:Z17">C16+F16+I16+L16+O16+R16+U16</f>
        <v>556642000</v>
      </c>
      <c r="Y16" s="284">
        <f t="shared" si="9"/>
        <v>523693123</v>
      </c>
      <c r="Z16" s="284">
        <f t="shared" si="9"/>
        <v>234020742</v>
      </c>
      <c r="AA16" s="92"/>
      <c r="AB16" s="92">
        <v>3288305</v>
      </c>
      <c r="AC16" s="92">
        <v>3188718</v>
      </c>
      <c r="AD16" s="92">
        <v>0</v>
      </c>
      <c r="AE16" s="92">
        <v>1000000</v>
      </c>
      <c r="AF16" s="92">
        <v>1000000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284">
        <f>AA16+AD16+AJ16</f>
        <v>0</v>
      </c>
      <c r="AN16" s="284">
        <f>AB16+AE16+AK16</f>
        <v>4288305</v>
      </c>
      <c r="AO16" s="284">
        <f>AC16+AF16+AL16</f>
        <v>4188718</v>
      </c>
      <c r="AP16" s="92">
        <f aca="true" t="shared" si="10" ref="AP16:AR17">X16+AM16</f>
        <v>556642000</v>
      </c>
      <c r="AQ16" s="92">
        <f t="shared" si="10"/>
        <v>527981428</v>
      </c>
      <c r="AR16" s="92">
        <f t="shared" si="10"/>
        <v>238209460</v>
      </c>
      <c r="AS16" s="222">
        <f t="shared" si="3"/>
        <v>0.44686617357012726</v>
      </c>
      <c r="AT16" s="222">
        <f>AO16/AN16</f>
        <v>0.976777071593555</v>
      </c>
      <c r="AU16" s="222">
        <f t="shared" si="4"/>
        <v>0.4511701498712565</v>
      </c>
      <c r="AV16" s="178">
        <f t="shared" si="5"/>
        <v>-28660572</v>
      </c>
      <c r="AW16" s="178"/>
      <c r="AX16" s="178">
        <f t="shared" si="6"/>
        <v>27825819.5</v>
      </c>
      <c r="AY16" s="172"/>
    </row>
    <row r="17" spans="1:51" s="90" customFormat="1" ht="36" customHeight="1">
      <c r="A17" s="419" t="s">
        <v>23</v>
      </c>
      <c r="B17" s="49" t="s">
        <v>49</v>
      </c>
      <c r="C17" s="92">
        <v>231541000</v>
      </c>
      <c r="D17" s="92">
        <v>274878081</v>
      </c>
      <c r="E17" s="92">
        <v>131588402</v>
      </c>
      <c r="F17" s="92">
        <v>27056000</v>
      </c>
      <c r="G17" s="92">
        <v>34671938</v>
      </c>
      <c r="H17" s="92">
        <v>16917381</v>
      </c>
      <c r="I17" s="92">
        <v>346088680</v>
      </c>
      <c r="J17" s="92">
        <v>490947920</v>
      </c>
      <c r="K17" s="92">
        <v>294127230</v>
      </c>
      <c r="L17" s="427">
        <v>115700000</v>
      </c>
      <c r="M17" s="427">
        <v>116380000</v>
      </c>
      <c r="N17" s="427">
        <v>25766942</v>
      </c>
      <c r="O17" s="430">
        <v>1014637642</v>
      </c>
      <c r="P17" s="430">
        <v>1018796789</v>
      </c>
      <c r="Q17" s="430">
        <v>507365318</v>
      </c>
      <c r="R17" s="430">
        <v>48539585</v>
      </c>
      <c r="S17" s="430">
        <f>5!F29</f>
        <v>402400729</v>
      </c>
      <c r="T17" s="430">
        <v>0</v>
      </c>
      <c r="U17" s="430">
        <f>53889082</f>
        <v>53889082</v>
      </c>
      <c r="V17" s="430">
        <f>53889082+187233054</f>
        <v>241122136</v>
      </c>
      <c r="W17" s="430">
        <f>53889082+187233054</f>
        <v>241122136</v>
      </c>
      <c r="X17" s="284">
        <f t="shared" si="9"/>
        <v>1837451989</v>
      </c>
      <c r="Y17" s="284">
        <f t="shared" si="9"/>
        <v>2579197593</v>
      </c>
      <c r="Z17" s="284">
        <f t="shared" si="9"/>
        <v>1216887409</v>
      </c>
      <c r="AA17" s="428">
        <v>104777000</v>
      </c>
      <c r="AB17" s="428">
        <f>1039434362+431339314</f>
        <v>1470773676</v>
      </c>
      <c r="AC17" s="428">
        <f>689313636+312104536</f>
        <v>1001418172</v>
      </c>
      <c r="AD17" s="92">
        <v>17200000</v>
      </c>
      <c r="AE17" s="92">
        <v>21097723</v>
      </c>
      <c r="AF17" s="92">
        <v>5395223</v>
      </c>
      <c r="AG17" s="92">
        <v>1496973084</v>
      </c>
      <c r="AH17" s="92">
        <f>5!F59</f>
        <v>201341191</v>
      </c>
      <c r="AI17" s="92">
        <v>0</v>
      </c>
      <c r="AJ17" s="92">
        <v>27778000</v>
      </c>
      <c r="AK17" s="92">
        <v>27778000</v>
      </c>
      <c r="AL17" s="92">
        <v>13888888</v>
      </c>
      <c r="AM17" s="284">
        <f>AA17+AD17+AG17+AJ17</f>
        <v>1646728084</v>
      </c>
      <c r="AN17" s="284">
        <f>AB17+AE17+AH17+AK17</f>
        <v>1720990590</v>
      </c>
      <c r="AO17" s="284">
        <f>AC17+AF17+AI17+AL17</f>
        <v>1020702283</v>
      </c>
      <c r="AP17" s="92">
        <f t="shared" si="10"/>
        <v>3484180073</v>
      </c>
      <c r="AQ17" s="92">
        <f t="shared" si="10"/>
        <v>4300188183</v>
      </c>
      <c r="AR17" s="92">
        <f t="shared" si="10"/>
        <v>2237589692</v>
      </c>
      <c r="AS17" s="222">
        <f t="shared" si="3"/>
        <v>0.4718085238225484</v>
      </c>
      <c r="AT17" s="222">
        <f>AO17/AN17</f>
        <v>0.5930899848789992</v>
      </c>
      <c r="AU17" s="222">
        <f t="shared" si="4"/>
        <v>0.5203469236174123</v>
      </c>
      <c r="AV17" s="178">
        <f t="shared" si="5"/>
        <v>816008110</v>
      </c>
      <c r="AW17" s="178"/>
      <c r="AX17" s="178">
        <f t="shared" si="6"/>
        <v>72711387.5</v>
      </c>
      <c r="AY17" s="172"/>
    </row>
    <row r="18" spans="1:51" ht="46.5" customHeight="1">
      <c r="A18" s="419" t="s">
        <v>25</v>
      </c>
      <c r="B18" s="426" t="s">
        <v>35</v>
      </c>
      <c r="C18" s="95">
        <f aca="true" t="shared" si="11" ref="C18:AR18">SUM(C15:C17)</f>
        <v>1030626249</v>
      </c>
      <c r="D18" s="95">
        <f t="shared" si="11"/>
        <v>1214627037</v>
      </c>
      <c r="E18" s="95">
        <f t="shared" si="11"/>
        <v>499866560</v>
      </c>
      <c r="F18" s="95">
        <f t="shared" si="11"/>
        <v>177340125</v>
      </c>
      <c r="G18" s="95">
        <f t="shared" si="11"/>
        <v>190243342</v>
      </c>
      <c r="H18" s="95">
        <f t="shared" si="11"/>
        <v>89368650</v>
      </c>
      <c r="I18" s="95">
        <f t="shared" si="11"/>
        <v>810319680</v>
      </c>
      <c r="J18" s="95">
        <f t="shared" si="11"/>
        <v>948436769</v>
      </c>
      <c r="K18" s="95">
        <f t="shared" si="11"/>
        <v>521767379</v>
      </c>
      <c r="L18" s="95">
        <f t="shared" si="11"/>
        <v>115700000</v>
      </c>
      <c r="M18" s="95">
        <f t="shared" si="11"/>
        <v>116380000</v>
      </c>
      <c r="N18" s="95">
        <f t="shared" si="11"/>
        <v>25766942</v>
      </c>
      <c r="O18" s="95">
        <f t="shared" si="11"/>
        <v>1018137642</v>
      </c>
      <c r="P18" s="95">
        <f t="shared" si="11"/>
        <v>1029353306</v>
      </c>
      <c r="Q18" s="95">
        <f t="shared" si="11"/>
        <v>516469645</v>
      </c>
      <c r="R18" s="95">
        <f t="shared" si="11"/>
        <v>48539585</v>
      </c>
      <c r="S18" s="95">
        <f t="shared" si="11"/>
        <v>402400729</v>
      </c>
      <c r="T18" s="95">
        <f t="shared" si="11"/>
        <v>0</v>
      </c>
      <c r="U18" s="95">
        <f t="shared" si="11"/>
        <v>53889082</v>
      </c>
      <c r="V18" s="95">
        <f t="shared" si="11"/>
        <v>241122136</v>
      </c>
      <c r="W18" s="95">
        <f t="shared" si="11"/>
        <v>241122136</v>
      </c>
      <c r="X18" s="424">
        <f t="shared" si="11"/>
        <v>3254552363</v>
      </c>
      <c r="Y18" s="424">
        <f t="shared" si="11"/>
        <v>4142563319</v>
      </c>
      <c r="Z18" s="424">
        <f t="shared" si="11"/>
        <v>1894361312</v>
      </c>
      <c r="AA18" s="95">
        <f t="shared" si="11"/>
        <v>104777000</v>
      </c>
      <c r="AB18" s="95">
        <f t="shared" si="11"/>
        <v>1479869097</v>
      </c>
      <c r="AC18" s="95">
        <f t="shared" si="11"/>
        <v>1008369990</v>
      </c>
      <c r="AD18" s="95">
        <f t="shared" si="11"/>
        <v>17200000</v>
      </c>
      <c r="AE18" s="95">
        <f t="shared" si="11"/>
        <v>22097723</v>
      </c>
      <c r="AF18" s="95">
        <f t="shared" si="11"/>
        <v>6395223</v>
      </c>
      <c r="AG18" s="95">
        <f>SUM(AG15:AG17)</f>
        <v>1496973084</v>
      </c>
      <c r="AH18" s="95">
        <f>SUM(AH15:AH17)</f>
        <v>201341191</v>
      </c>
      <c r="AI18" s="95">
        <f>SUM(AI15:AI17)</f>
        <v>0</v>
      </c>
      <c r="AJ18" s="95">
        <f t="shared" si="11"/>
        <v>27778000</v>
      </c>
      <c r="AK18" s="95">
        <f t="shared" si="11"/>
        <v>27778000</v>
      </c>
      <c r="AL18" s="95">
        <f t="shared" si="11"/>
        <v>13888888</v>
      </c>
      <c r="AM18" s="424">
        <f t="shared" si="11"/>
        <v>1646728084</v>
      </c>
      <c r="AN18" s="424">
        <f t="shared" si="11"/>
        <v>1731086011</v>
      </c>
      <c r="AO18" s="424">
        <f t="shared" si="11"/>
        <v>1028654101</v>
      </c>
      <c r="AP18" s="95">
        <f t="shared" si="11"/>
        <v>4901280447</v>
      </c>
      <c r="AQ18" s="95">
        <f t="shared" si="11"/>
        <v>5873649330</v>
      </c>
      <c r="AR18" s="95">
        <f t="shared" si="11"/>
        <v>2923015413</v>
      </c>
      <c r="AS18" s="222">
        <f t="shared" si="3"/>
        <v>0.45729205955922286</v>
      </c>
      <c r="AT18" s="222">
        <f>AO18/AN18</f>
        <v>0.5942247204723093</v>
      </c>
      <c r="AU18" s="222">
        <f t="shared" si="4"/>
        <v>0.49764894851153807</v>
      </c>
      <c r="AV18" s="178">
        <f>AQ18-AP18</f>
        <v>972368883</v>
      </c>
      <c r="AW18" s="178"/>
      <c r="AX18" s="178">
        <f t="shared" si="6"/>
        <v>176920347.5</v>
      </c>
      <c r="AY18" s="172">
        <f>AQ18-AP18</f>
        <v>972368883</v>
      </c>
    </row>
    <row r="19" spans="16:47" ht="15.75">
      <c r="P19" s="76">
        <f>1622538709-603741920</f>
        <v>1018796789</v>
      </c>
      <c r="R19" s="172">
        <v>1545512669</v>
      </c>
      <c r="S19" s="172">
        <v>603741920</v>
      </c>
      <c r="X19" s="287">
        <f>C18+F18+I18+L18+O18+R18+U18-X18</f>
        <v>0</v>
      </c>
      <c r="Y19" s="287">
        <f>D18+G18+J18+M18+P18+S18+V18-Y18</f>
        <v>0</v>
      </c>
      <c r="Z19" s="287">
        <f>E18+H18+K18+N18+Q18+T18+W18-Z18</f>
        <v>0</v>
      </c>
      <c r="AM19" s="287">
        <f>AA18+AD18+AJ18-AM18</f>
        <v>-1496973084</v>
      </c>
      <c r="AN19" s="287">
        <f>AB18+AE18+AK18-AN18</f>
        <v>-201341191</v>
      </c>
      <c r="AO19" s="287">
        <f>AC18+AF18+AL18-AO18</f>
        <v>0</v>
      </c>
      <c r="AP19" s="288">
        <f>X18+AM18-AP18</f>
        <v>0</v>
      </c>
      <c r="AQ19" s="288">
        <f>Y18+AN18-AQ18</f>
        <v>0</v>
      </c>
      <c r="AR19" s="288">
        <f>Z18+AO18-AR18</f>
        <v>0</v>
      </c>
      <c r="AS19" s="288"/>
      <c r="AT19" s="288"/>
      <c r="AU19" s="288"/>
    </row>
    <row r="20" spans="18:49" ht="15.75">
      <c r="R20" s="172">
        <f>R19-R17-AG17</f>
        <v>0</v>
      </c>
      <c r="S20" s="172">
        <f>S19-S17-AH17</f>
        <v>0</v>
      </c>
      <c r="X20" s="287"/>
      <c r="Y20" s="287"/>
      <c r="Z20" s="287"/>
      <c r="AM20" s="287"/>
      <c r="AN20" s="287"/>
      <c r="AO20" s="287"/>
      <c r="AP20" s="288">
        <f>1!AM17</f>
        <v>3484180073</v>
      </c>
      <c r="AQ20" s="288">
        <f>1!AN17</f>
        <v>4300188183</v>
      </c>
      <c r="AR20" s="288">
        <v>2237589692</v>
      </c>
      <c r="AS20" s="288"/>
      <c r="AT20" s="288"/>
      <c r="AU20" s="288"/>
      <c r="AW20" s="76">
        <v>5604749194</v>
      </c>
    </row>
    <row r="21" spans="16:49" ht="15.75">
      <c r="P21" s="431">
        <f>P22+S22</f>
        <v>1633095226</v>
      </c>
      <c r="X21" s="287"/>
      <c r="Y21" s="287"/>
      <c r="Z21" s="287"/>
      <c r="AM21" s="287"/>
      <c r="AN21" s="287"/>
      <c r="AO21" s="287"/>
      <c r="AP21" s="288">
        <f>AP20-AP17</f>
        <v>0</v>
      </c>
      <c r="AQ21" s="288">
        <f>AQ20-AQ17</f>
        <v>0</v>
      </c>
      <c r="AR21" s="288">
        <f>AR20-AR17</f>
        <v>0</v>
      </c>
      <c r="AS21" s="288"/>
      <c r="AT21" s="288"/>
      <c r="AU21" s="288"/>
      <c r="AW21" s="76">
        <v>840172265</v>
      </c>
    </row>
    <row r="22" spans="1:49" s="289" customFormat="1" ht="15">
      <c r="A22" s="289" t="s">
        <v>326</v>
      </c>
      <c r="C22" s="289">
        <v>1030626249</v>
      </c>
      <c r="D22" s="289">
        <v>1214627037</v>
      </c>
      <c r="E22" s="289">
        <v>499866560</v>
      </c>
      <c r="F22" s="289">
        <v>177340125</v>
      </c>
      <c r="G22" s="289">
        <v>190243342</v>
      </c>
      <c r="H22" s="289">
        <v>89368650</v>
      </c>
      <c r="I22" s="289">
        <v>810319680</v>
      </c>
      <c r="J22" s="289">
        <v>948436769</v>
      </c>
      <c r="K22" s="289">
        <v>521767379</v>
      </c>
      <c r="L22" s="289">
        <v>115700000</v>
      </c>
      <c r="M22" s="289">
        <v>116380000</v>
      </c>
      <c r="N22" s="289">
        <v>25766942</v>
      </c>
      <c r="O22" s="289">
        <v>1018137642</v>
      </c>
      <c r="P22" s="289">
        <v>1029353306</v>
      </c>
      <c r="Q22" s="289">
        <v>516469645</v>
      </c>
      <c r="R22" s="289">
        <v>1545512669</v>
      </c>
      <c r="S22" s="289">
        <v>603741920</v>
      </c>
      <c r="T22" s="289">
        <v>0</v>
      </c>
      <c r="U22" s="289">
        <v>53889082</v>
      </c>
      <c r="V22" s="289">
        <f>53889082+187233054</f>
        <v>241122136</v>
      </c>
      <c r="W22" s="289">
        <f>53889082+187233054</f>
        <v>241122136</v>
      </c>
      <c r="X22" s="290"/>
      <c r="Y22" s="290"/>
      <c r="Z22" s="290"/>
      <c r="AA22" s="289">
        <f>104777000</f>
        <v>104777000</v>
      </c>
      <c r="AB22" s="289">
        <f>1048529783+431339314</f>
        <v>1479869097</v>
      </c>
      <c r="AC22" s="289">
        <f>696265454+312104536</f>
        <v>1008369990</v>
      </c>
      <c r="AD22" s="289">
        <v>17200000</v>
      </c>
      <c r="AE22" s="289">
        <v>22097723</v>
      </c>
      <c r="AF22" s="289">
        <v>6395223</v>
      </c>
      <c r="AM22" s="290"/>
      <c r="AN22" s="290"/>
      <c r="AO22" s="290"/>
      <c r="AP22" s="289">
        <f>4819613365+671583519</f>
        <v>5491196884</v>
      </c>
      <c r="AQ22" s="289">
        <f>5604749194+840172265</f>
        <v>6444921459</v>
      </c>
      <c r="AR22" s="289">
        <f>2668004389+542546257</f>
        <v>3210550646</v>
      </c>
      <c r="AW22" s="289">
        <f>SUM(AW20:AW21)</f>
        <v>6444921459</v>
      </c>
    </row>
    <row r="23" spans="3:49" s="289" customFormat="1" ht="15.75" thickBot="1">
      <c r="C23" s="289">
        <f aca="true" t="shared" si="12" ref="C23:Q23">C22-C18</f>
        <v>0</v>
      </c>
      <c r="D23" s="289">
        <f t="shared" si="12"/>
        <v>0</v>
      </c>
      <c r="E23" s="289">
        <f t="shared" si="12"/>
        <v>0</v>
      </c>
      <c r="F23" s="289">
        <f t="shared" si="12"/>
        <v>0</v>
      </c>
      <c r="G23" s="289">
        <f t="shared" si="12"/>
        <v>0</v>
      </c>
      <c r="H23" s="289">
        <f t="shared" si="12"/>
        <v>0</v>
      </c>
      <c r="I23" s="289">
        <f t="shared" si="12"/>
        <v>0</v>
      </c>
      <c r="J23" s="289">
        <f t="shared" si="12"/>
        <v>0</v>
      </c>
      <c r="K23" s="289">
        <f t="shared" si="12"/>
        <v>0</v>
      </c>
      <c r="L23" s="289">
        <f t="shared" si="12"/>
        <v>0</v>
      </c>
      <c r="M23" s="289">
        <f t="shared" si="12"/>
        <v>0</v>
      </c>
      <c r="N23" s="289">
        <f t="shared" si="12"/>
        <v>0</v>
      </c>
      <c r="O23" s="289">
        <f t="shared" si="12"/>
        <v>0</v>
      </c>
      <c r="P23" s="289">
        <f t="shared" si="12"/>
        <v>0</v>
      </c>
      <c r="Q23" s="289">
        <f t="shared" si="12"/>
        <v>0</v>
      </c>
      <c r="R23" s="289">
        <f>R22-R18-AG17</f>
        <v>0</v>
      </c>
      <c r="S23" s="289">
        <f>S22-S18-AH18</f>
        <v>0</v>
      </c>
      <c r="T23" s="289">
        <f aca="true" t="shared" si="13" ref="T23:AF23">T22-T18</f>
        <v>0</v>
      </c>
      <c r="U23" s="289">
        <f t="shared" si="13"/>
        <v>0</v>
      </c>
      <c r="V23" s="289">
        <f t="shared" si="13"/>
        <v>0</v>
      </c>
      <c r="W23" s="289">
        <f t="shared" si="13"/>
        <v>0</v>
      </c>
      <c r="AA23" s="289">
        <f t="shared" si="13"/>
        <v>0</v>
      </c>
      <c r="AB23" s="289">
        <f t="shared" si="13"/>
        <v>0</v>
      </c>
      <c r="AC23" s="289">
        <f t="shared" si="13"/>
        <v>0</v>
      </c>
      <c r="AD23" s="289">
        <f t="shared" si="13"/>
        <v>0</v>
      </c>
      <c r="AE23" s="289">
        <f t="shared" si="13"/>
        <v>0</v>
      </c>
      <c r="AF23" s="289">
        <f t="shared" si="13"/>
        <v>0</v>
      </c>
      <c r="AM23" s="290"/>
      <c r="AN23" s="290"/>
      <c r="AO23" s="290"/>
      <c r="AP23" s="289">
        <f>AP22-AP18</f>
        <v>589916437</v>
      </c>
      <c r="AQ23" s="289">
        <f>AQ22-AQ18</f>
        <v>571272129</v>
      </c>
      <c r="AR23" s="289">
        <f>AR22-AR18</f>
        <v>287535233</v>
      </c>
      <c r="AS23" s="289">
        <v>571272129</v>
      </c>
      <c r="AW23" s="289" t="s">
        <v>153</v>
      </c>
    </row>
    <row r="24" spans="1:51" ht="36" customHeight="1">
      <c r="A24" s="585" t="s">
        <v>10</v>
      </c>
      <c r="B24" s="617" t="s">
        <v>11</v>
      </c>
      <c r="C24" s="620" t="s">
        <v>36</v>
      </c>
      <c r="D24" s="591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611" t="s">
        <v>55</v>
      </c>
      <c r="Y24" s="612"/>
      <c r="Z24" s="613"/>
      <c r="AA24" s="591" t="s">
        <v>37</v>
      </c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611" t="s">
        <v>69</v>
      </c>
      <c r="AN24" s="612"/>
      <c r="AO24" s="613"/>
      <c r="AP24" s="604" t="s">
        <v>40</v>
      </c>
      <c r="AQ24" s="605"/>
      <c r="AR24" s="606"/>
      <c r="AS24" s="431">
        <f>AS23-AQ23</f>
        <v>0</v>
      </c>
      <c r="AW24" s="535">
        <f>U18+AJ18</f>
        <v>81667082</v>
      </c>
      <c r="AX24" s="535">
        <f>V18+AK18</f>
        <v>268900136</v>
      </c>
      <c r="AY24" s="535">
        <f>W18+AL18</f>
        <v>255011024</v>
      </c>
    </row>
    <row r="25" spans="1:51" ht="15.75" customHeight="1">
      <c r="A25" s="586"/>
      <c r="B25" s="618"/>
      <c r="C25" s="574" t="s">
        <v>213</v>
      </c>
      <c r="D25" s="575"/>
      <c r="E25" s="576"/>
      <c r="F25" s="574" t="s">
        <v>214</v>
      </c>
      <c r="G25" s="575"/>
      <c r="H25" s="576"/>
      <c r="I25" s="574" t="s">
        <v>215</v>
      </c>
      <c r="J25" s="575"/>
      <c r="K25" s="576"/>
      <c r="L25" s="574" t="s">
        <v>216</v>
      </c>
      <c r="M25" s="575"/>
      <c r="N25" s="576"/>
      <c r="O25" s="574" t="s">
        <v>330</v>
      </c>
      <c r="P25" s="575"/>
      <c r="Q25" s="576"/>
      <c r="R25" s="574" t="s">
        <v>44</v>
      </c>
      <c r="S25" s="575"/>
      <c r="T25" s="576"/>
      <c r="U25" s="580"/>
      <c r="V25" s="580"/>
      <c r="W25" s="580"/>
      <c r="X25" s="614"/>
      <c r="Y25" s="615"/>
      <c r="Z25" s="616"/>
      <c r="AA25" s="574" t="s">
        <v>217</v>
      </c>
      <c r="AB25" s="575"/>
      <c r="AC25" s="576"/>
      <c r="AD25" s="574" t="s">
        <v>332</v>
      </c>
      <c r="AE25" s="575"/>
      <c r="AF25" s="576"/>
      <c r="AG25" s="417"/>
      <c r="AH25" s="417"/>
      <c r="AI25" s="417"/>
      <c r="AJ25" s="574" t="s">
        <v>46</v>
      </c>
      <c r="AK25" s="575"/>
      <c r="AL25" s="576"/>
      <c r="AM25" s="614"/>
      <c r="AN25" s="615"/>
      <c r="AO25" s="616"/>
      <c r="AP25" s="607"/>
      <c r="AQ25" s="581"/>
      <c r="AR25" s="608"/>
      <c r="AW25" s="535">
        <v>589916437</v>
      </c>
      <c r="AX25" s="535">
        <v>571272129</v>
      </c>
      <c r="AY25" s="535">
        <v>287535233</v>
      </c>
    </row>
    <row r="26" spans="1:51" ht="53.25" customHeight="1">
      <c r="A26" s="586"/>
      <c r="B26" s="618"/>
      <c r="C26" s="577"/>
      <c r="D26" s="578"/>
      <c r="E26" s="579"/>
      <c r="F26" s="577"/>
      <c r="G26" s="578"/>
      <c r="H26" s="579"/>
      <c r="I26" s="577"/>
      <c r="J26" s="578"/>
      <c r="K26" s="579"/>
      <c r="L26" s="577"/>
      <c r="M26" s="578"/>
      <c r="N26" s="579"/>
      <c r="O26" s="577"/>
      <c r="P26" s="578"/>
      <c r="Q26" s="579"/>
      <c r="R26" s="577"/>
      <c r="S26" s="578"/>
      <c r="T26" s="579"/>
      <c r="U26" s="584" t="s">
        <v>335</v>
      </c>
      <c r="V26" s="580"/>
      <c r="W26" s="580"/>
      <c r="X26" s="614"/>
      <c r="Y26" s="615"/>
      <c r="Z26" s="616"/>
      <c r="AA26" s="577"/>
      <c r="AB26" s="578"/>
      <c r="AC26" s="579"/>
      <c r="AD26" s="577" t="s">
        <v>334</v>
      </c>
      <c r="AE26" s="578"/>
      <c r="AF26" s="579"/>
      <c r="AG26" s="418"/>
      <c r="AH26" s="418"/>
      <c r="AI26" s="418"/>
      <c r="AJ26" s="577"/>
      <c r="AK26" s="578"/>
      <c r="AL26" s="579"/>
      <c r="AM26" s="614"/>
      <c r="AN26" s="615"/>
      <c r="AO26" s="616"/>
      <c r="AP26" s="609"/>
      <c r="AQ26" s="578"/>
      <c r="AR26" s="610"/>
      <c r="AW26" s="535">
        <f>SUM(AW24:AW25)</f>
        <v>671583519</v>
      </c>
      <c r="AX26" s="535">
        <f>SUM(AX24:AX25)</f>
        <v>840172265</v>
      </c>
      <c r="AY26" s="535">
        <f>SUM(AY24:AY25)</f>
        <v>542546257</v>
      </c>
    </row>
    <row r="27" spans="1:44" ht="28.5">
      <c r="A27" s="587"/>
      <c r="B27" s="619"/>
      <c r="C27" s="213"/>
      <c r="D27" s="213"/>
      <c r="E27" s="213" t="s">
        <v>94</v>
      </c>
      <c r="F27" s="213"/>
      <c r="G27" s="213"/>
      <c r="H27" s="213" t="s">
        <v>94</v>
      </c>
      <c r="I27" s="213"/>
      <c r="J27" s="213"/>
      <c r="K27" s="213" t="s">
        <v>94</v>
      </c>
      <c r="L27" s="213"/>
      <c r="M27" s="213"/>
      <c r="N27" s="213" t="s">
        <v>94</v>
      </c>
      <c r="O27" s="213"/>
      <c r="P27" s="213"/>
      <c r="Q27" s="213" t="s">
        <v>94</v>
      </c>
      <c r="R27" s="213"/>
      <c r="S27" s="213"/>
      <c r="T27" s="213" t="s">
        <v>94</v>
      </c>
      <c r="U27" s="213"/>
      <c r="V27" s="213"/>
      <c r="W27" s="217" t="s">
        <v>94</v>
      </c>
      <c r="X27" s="218"/>
      <c r="Y27" s="214"/>
      <c r="Z27" s="215" t="s">
        <v>94</v>
      </c>
      <c r="AA27" s="216"/>
      <c r="AB27" s="213"/>
      <c r="AC27" s="213" t="s">
        <v>94</v>
      </c>
      <c r="AD27" s="213" t="s">
        <v>142</v>
      </c>
      <c r="AE27" s="213" t="s">
        <v>157</v>
      </c>
      <c r="AF27" s="213" t="s">
        <v>94</v>
      </c>
      <c r="AG27" s="213"/>
      <c r="AH27" s="213"/>
      <c r="AI27" s="213"/>
      <c r="AJ27" s="213" t="s">
        <v>142</v>
      </c>
      <c r="AK27" s="213" t="s">
        <v>157</v>
      </c>
      <c r="AL27" s="213" t="s">
        <v>94</v>
      </c>
      <c r="AM27" s="218" t="s">
        <v>142</v>
      </c>
      <c r="AN27" s="214" t="s">
        <v>157</v>
      </c>
      <c r="AO27" s="215" t="s">
        <v>94</v>
      </c>
      <c r="AP27" s="219" t="s">
        <v>142</v>
      </c>
      <c r="AQ27" s="213" t="s">
        <v>157</v>
      </c>
      <c r="AR27" s="220" t="s">
        <v>94</v>
      </c>
    </row>
    <row r="28" spans="1:44" ht="66" customHeight="1">
      <c r="A28" s="53" t="s">
        <v>15</v>
      </c>
      <c r="B28" s="86" t="s">
        <v>183</v>
      </c>
      <c r="C28" s="91"/>
      <c r="D28" s="244"/>
      <c r="E28" s="240">
        <f>E11/D11</f>
        <v>0.3431217133537079</v>
      </c>
      <c r="F28" s="239"/>
      <c r="G28" s="239"/>
      <c r="H28" s="240">
        <f>H11/G11</f>
        <v>0.4429210560256909</v>
      </c>
      <c r="I28" s="239"/>
      <c r="J28" s="239"/>
      <c r="K28" s="240">
        <f>K11/J11</f>
        <v>0.5537367336796273</v>
      </c>
      <c r="L28" s="239"/>
      <c r="M28" s="239"/>
      <c r="N28" s="240"/>
      <c r="O28" s="239"/>
      <c r="P28" s="239"/>
      <c r="Q28" s="240">
        <f>Q11/P11</f>
        <v>0.854781</v>
      </c>
      <c r="R28" s="239"/>
      <c r="S28" s="239"/>
      <c r="T28" s="240"/>
      <c r="U28" s="239"/>
      <c r="V28" s="239"/>
      <c r="W28" s="240"/>
      <c r="X28" s="241"/>
      <c r="Y28" s="242"/>
      <c r="Z28" s="243">
        <f>Z11/Y11</f>
        <v>0.4106701609724566</v>
      </c>
      <c r="AA28" s="244"/>
      <c r="AB28" s="244"/>
      <c r="AC28" s="240">
        <f>AC11/AB11</f>
        <v>1</v>
      </c>
      <c r="AD28" s="239"/>
      <c r="AE28" s="249"/>
      <c r="AF28" s="240"/>
      <c r="AG28" s="421"/>
      <c r="AH28" s="421"/>
      <c r="AI28" s="421"/>
      <c r="AJ28" s="249"/>
      <c r="AK28" s="249"/>
      <c r="AL28" s="240"/>
      <c r="AM28" s="241"/>
      <c r="AN28" s="242"/>
      <c r="AO28" s="247">
        <f>AO11/AN11</f>
        <v>1</v>
      </c>
      <c r="AP28" s="291"/>
      <c r="AQ28" s="239"/>
      <c r="AR28" s="240">
        <f>AR11/AQ11</f>
        <v>0.4117330522246074</v>
      </c>
    </row>
    <row r="29" spans="1:44" ht="61.5" customHeight="1">
      <c r="A29" s="53" t="s">
        <v>21</v>
      </c>
      <c r="B29" s="86" t="s">
        <v>24</v>
      </c>
      <c r="C29" s="91"/>
      <c r="D29" s="244"/>
      <c r="E29" s="240">
        <f>E12/D12</f>
        <v>0.40969709399542115</v>
      </c>
      <c r="F29" s="239"/>
      <c r="G29" s="239"/>
      <c r="H29" s="240">
        <f aca="true" t="shared" si="14" ref="H29:H35">H12/G12</f>
        <v>0.5366576861186058</v>
      </c>
      <c r="I29" s="239"/>
      <c r="J29" s="239"/>
      <c r="K29" s="240">
        <f aca="true" t="shared" si="15" ref="K29:K35">K12/J12</f>
        <v>0.5691517852023116</v>
      </c>
      <c r="L29" s="239"/>
      <c r="M29" s="239"/>
      <c r="N29" s="240"/>
      <c r="O29" s="239"/>
      <c r="P29" s="239"/>
      <c r="Q29" s="240"/>
      <c r="R29" s="239"/>
      <c r="S29" s="239"/>
      <c r="T29" s="240"/>
      <c r="U29" s="239"/>
      <c r="V29" s="239"/>
      <c r="W29" s="240"/>
      <c r="X29" s="241"/>
      <c r="Y29" s="242"/>
      <c r="Z29" s="243">
        <f aca="true" t="shared" si="16" ref="Z29:Z35">Z12/Y12</f>
        <v>0.47251193060336993</v>
      </c>
      <c r="AA29" s="244"/>
      <c r="AB29" s="244"/>
      <c r="AC29" s="240">
        <f>AC12/AB12</f>
        <v>1</v>
      </c>
      <c r="AD29" s="239"/>
      <c r="AE29" s="249"/>
      <c r="AF29" s="240"/>
      <c r="AG29" s="421"/>
      <c r="AH29" s="421"/>
      <c r="AI29" s="421"/>
      <c r="AJ29" s="249"/>
      <c r="AK29" s="249"/>
      <c r="AL29" s="240"/>
      <c r="AM29" s="241"/>
      <c r="AN29" s="242"/>
      <c r="AO29" s="247">
        <f>AO12/AN12</f>
        <v>1</v>
      </c>
      <c r="AP29" s="291"/>
      <c r="AQ29" s="239"/>
      <c r="AR29" s="240">
        <f aca="true" t="shared" si="17" ref="AR29:AR35">AR12/AQ12</f>
        <v>0.4792328771335649</v>
      </c>
    </row>
    <row r="30" spans="1:44" ht="18.75">
      <c r="A30" s="53" t="s">
        <v>22</v>
      </c>
      <c r="B30" s="86" t="s">
        <v>28</v>
      </c>
      <c r="C30" s="91"/>
      <c r="D30" s="244"/>
      <c r="E30" s="240">
        <f aca="true" t="shared" si="18" ref="E30:E35">E13/D13</f>
        <v>0.49992290269948536</v>
      </c>
      <c r="F30" s="239"/>
      <c r="G30" s="239"/>
      <c r="H30" s="240">
        <f t="shared" si="14"/>
        <v>0.5602601028714652</v>
      </c>
      <c r="I30" s="239"/>
      <c r="J30" s="239"/>
      <c r="K30" s="240">
        <f t="shared" si="15"/>
        <v>0.6302668200729113</v>
      </c>
      <c r="L30" s="239"/>
      <c r="M30" s="239"/>
      <c r="N30" s="240"/>
      <c r="O30" s="239"/>
      <c r="P30" s="239"/>
      <c r="Q30" s="240"/>
      <c r="R30" s="239"/>
      <c r="S30" s="239"/>
      <c r="T30" s="240"/>
      <c r="U30" s="239"/>
      <c r="V30" s="239"/>
      <c r="W30" s="240"/>
      <c r="X30" s="241"/>
      <c r="Y30" s="242"/>
      <c r="Z30" s="243">
        <f t="shared" si="16"/>
        <v>0.528384126657043</v>
      </c>
      <c r="AA30" s="244"/>
      <c r="AB30" s="244"/>
      <c r="AC30" s="240">
        <f>AC13/AB13</f>
        <v>0.17688531653827413</v>
      </c>
      <c r="AD30" s="239"/>
      <c r="AE30" s="239"/>
      <c r="AF30" s="240"/>
      <c r="AG30" s="240"/>
      <c r="AH30" s="240"/>
      <c r="AI30" s="240"/>
      <c r="AJ30" s="239"/>
      <c r="AK30" s="239"/>
      <c r="AL30" s="240"/>
      <c r="AM30" s="241"/>
      <c r="AN30" s="242"/>
      <c r="AO30" s="247">
        <f>AO13/AN13</f>
        <v>0.17688531653827413</v>
      </c>
      <c r="AP30" s="291"/>
      <c r="AQ30" s="239"/>
      <c r="AR30" s="240">
        <f t="shared" si="17"/>
        <v>0.5102006817856083</v>
      </c>
    </row>
    <row r="31" spans="1:44" ht="39" customHeight="1" thickBot="1">
      <c r="A31" s="223" t="s">
        <v>51</v>
      </c>
      <c r="B31" s="285" t="s">
        <v>26</v>
      </c>
      <c r="C31" s="93"/>
      <c r="D31" s="255"/>
      <c r="E31" s="240">
        <f t="shared" si="18"/>
        <v>0.4779408886184807</v>
      </c>
      <c r="F31" s="252"/>
      <c r="G31" s="252"/>
      <c r="H31" s="240">
        <f t="shared" si="14"/>
        <v>0.47288437887392265</v>
      </c>
      <c r="I31" s="252"/>
      <c r="J31" s="252"/>
      <c r="K31" s="240">
        <f t="shared" si="15"/>
        <v>0.5887514566339271</v>
      </c>
      <c r="L31" s="252"/>
      <c r="M31" s="252"/>
      <c r="N31" s="240"/>
      <c r="O31" s="252"/>
      <c r="P31" s="252"/>
      <c r="Q31" s="240"/>
      <c r="R31" s="252"/>
      <c r="S31" s="252"/>
      <c r="T31" s="240"/>
      <c r="U31" s="252"/>
      <c r="V31" s="252"/>
      <c r="W31" s="240"/>
      <c r="X31" s="253"/>
      <c r="Y31" s="254"/>
      <c r="Z31" s="243">
        <f t="shared" si="16"/>
        <v>0.5035099406501159</v>
      </c>
      <c r="AA31" s="255"/>
      <c r="AB31" s="255"/>
      <c r="AC31" s="240"/>
      <c r="AD31" s="255"/>
      <c r="AE31" s="255"/>
      <c r="AF31" s="240"/>
      <c r="AG31" s="422"/>
      <c r="AH31" s="422"/>
      <c r="AI31" s="422"/>
      <c r="AJ31" s="255"/>
      <c r="AK31" s="255"/>
      <c r="AL31" s="240"/>
      <c r="AM31" s="253"/>
      <c r="AN31" s="254"/>
      <c r="AO31" s="247"/>
      <c r="AP31" s="292"/>
      <c r="AQ31" s="252"/>
      <c r="AR31" s="240">
        <f t="shared" si="17"/>
        <v>0.5035099406501159</v>
      </c>
    </row>
    <row r="32" spans="1:44" ht="32.25" customHeight="1" thickBot="1">
      <c r="A32" s="225" t="s">
        <v>53</v>
      </c>
      <c r="B32" s="176" t="s">
        <v>29</v>
      </c>
      <c r="C32" s="177"/>
      <c r="D32" s="264"/>
      <c r="E32" s="227">
        <f t="shared" si="18"/>
        <v>0.3625474873344226</v>
      </c>
      <c r="F32" s="264"/>
      <c r="G32" s="264"/>
      <c r="H32" s="227">
        <f t="shared" si="14"/>
        <v>0.4610348368801741</v>
      </c>
      <c r="I32" s="264"/>
      <c r="J32" s="264"/>
      <c r="K32" s="227">
        <f t="shared" si="15"/>
        <v>0.5594538835958202</v>
      </c>
      <c r="L32" s="264"/>
      <c r="M32" s="264"/>
      <c r="N32" s="227"/>
      <c r="O32" s="264"/>
      <c r="P32" s="264"/>
      <c r="Q32" s="227">
        <f>Q15/P15</f>
        <v>0.854781</v>
      </c>
      <c r="R32" s="264"/>
      <c r="S32" s="264"/>
      <c r="T32" s="227"/>
      <c r="U32" s="264"/>
      <c r="V32" s="264"/>
      <c r="W32" s="227"/>
      <c r="X32" s="261"/>
      <c r="Y32" s="293"/>
      <c r="Z32" s="263">
        <f t="shared" si="16"/>
        <v>0.42653154437310875</v>
      </c>
      <c r="AA32" s="264"/>
      <c r="AB32" s="264"/>
      <c r="AC32" s="227">
        <f>AC15/AB15</f>
        <v>0.648015297094117</v>
      </c>
      <c r="AD32" s="264"/>
      <c r="AE32" s="264"/>
      <c r="AF32" s="227"/>
      <c r="AG32" s="423"/>
      <c r="AH32" s="423"/>
      <c r="AI32" s="423"/>
      <c r="AJ32" s="264"/>
      <c r="AK32" s="264"/>
      <c r="AL32" s="227"/>
      <c r="AM32" s="261"/>
      <c r="AN32" s="293"/>
      <c r="AO32" s="267">
        <f>AO15/AN15</f>
        <v>0.648015297094117</v>
      </c>
      <c r="AP32" s="294"/>
      <c r="AQ32" s="264"/>
      <c r="AR32" s="227">
        <f t="shared" si="17"/>
        <v>0.42776177564473633</v>
      </c>
    </row>
    <row r="33" spans="1:44" ht="37.5" customHeight="1">
      <c r="A33" s="229" t="s">
        <v>47</v>
      </c>
      <c r="B33" s="286" t="s">
        <v>31</v>
      </c>
      <c r="C33" s="96"/>
      <c r="D33" s="274"/>
      <c r="E33" s="295">
        <f t="shared" si="18"/>
        <v>0.46317911527341976</v>
      </c>
      <c r="F33" s="271"/>
      <c r="G33" s="271"/>
      <c r="H33" s="295">
        <f t="shared" si="14"/>
        <v>0.47467278433639376</v>
      </c>
      <c r="I33" s="271"/>
      <c r="J33" s="271"/>
      <c r="K33" s="295">
        <f t="shared" si="15"/>
        <v>0.41488699810562885</v>
      </c>
      <c r="L33" s="271"/>
      <c r="M33" s="275"/>
      <c r="N33" s="295"/>
      <c r="O33" s="275"/>
      <c r="P33" s="275"/>
      <c r="Q33" s="295"/>
      <c r="R33" s="275"/>
      <c r="S33" s="275"/>
      <c r="T33" s="295"/>
      <c r="U33" s="275"/>
      <c r="V33" s="275"/>
      <c r="W33" s="295"/>
      <c r="X33" s="296"/>
      <c r="Y33" s="277"/>
      <c r="Z33" s="297">
        <f t="shared" si="16"/>
        <v>0.44686617357012726</v>
      </c>
      <c r="AA33" s="274"/>
      <c r="AB33" s="274"/>
      <c r="AC33" s="295">
        <f>AC16/AB16</f>
        <v>0.9697147922713982</v>
      </c>
      <c r="AD33" s="271"/>
      <c r="AE33" s="271"/>
      <c r="AF33" s="295"/>
      <c r="AG33" s="295"/>
      <c r="AH33" s="295"/>
      <c r="AI33" s="295"/>
      <c r="AJ33" s="271"/>
      <c r="AK33" s="271"/>
      <c r="AL33" s="295"/>
      <c r="AM33" s="276"/>
      <c r="AN33" s="277"/>
      <c r="AO33" s="298">
        <f>AO16/AN16</f>
        <v>0.976777071593555</v>
      </c>
      <c r="AP33" s="299"/>
      <c r="AQ33" s="275"/>
      <c r="AR33" s="295">
        <f t="shared" si="17"/>
        <v>0.4511701498712565</v>
      </c>
    </row>
    <row r="34" spans="1:44" ht="35.25" customHeight="1" thickBot="1">
      <c r="A34" s="223" t="s">
        <v>23</v>
      </c>
      <c r="B34" s="285" t="s">
        <v>49</v>
      </c>
      <c r="C34" s="93"/>
      <c r="D34" s="255"/>
      <c r="E34" s="240">
        <f t="shared" si="18"/>
        <v>0.4787155146066375</v>
      </c>
      <c r="F34" s="252"/>
      <c r="G34" s="252"/>
      <c r="H34" s="240">
        <f t="shared" si="14"/>
        <v>0.48792718191870327</v>
      </c>
      <c r="I34" s="252"/>
      <c r="J34" s="252"/>
      <c r="K34" s="240">
        <f t="shared" si="15"/>
        <v>0.5991006744666522</v>
      </c>
      <c r="L34" s="300"/>
      <c r="M34" s="301"/>
      <c r="N34" s="240">
        <f>N17/M17</f>
        <v>0.22140352294208626</v>
      </c>
      <c r="O34" s="302"/>
      <c r="P34" s="302"/>
      <c r="Q34" s="240">
        <f>Q17/P17</f>
        <v>0.49800443373796305</v>
      </c>
      <c r="R34" s="302"/>
      <c r="S34" s="302"/>
      <c r="T34" s="240">
        <f>T17/S17</f>
        <v>0</v>
      </c>
      <c r="U34" s="302"/>
      <c r="V34" s="302"/>
      <c r="W34" s="240">
        <f>W17/V17</f>
        <v>1</v>
      </c>
      <c r="X34" s="256"/>
      <c r="Y34" s="257"/>
      <c r="Z34" s="243">
        <f t="shared" si="16"/>
        <v>0.4718085238225484</v>
      </c>
      <c r="AA34" s="279"/>
      <c r="AB34" s="279"/>
      <c r="AC34" s="240">
        <f>AC17/AB17</f>
        <v>0.680878498399233</v>
      </c>
      <c r="AD34" s="252"/>
      <c r="AE34" s="259"/>
      <c r="AF34" s="240">
        <f>AF17/AE17</f>
        <v>0.2557253690362699</v>
      </c>
      <c r="AG34" s="421"/>
      <c r="AH34" s="421"/>
      <c r="AI34" s="421"/>
      <c r="AJ34" s="259"/>
      <c r="AK34" s="259"/>
      <c r="AL34" s="240">
        <f>AL17/AK17</f>
        <v>0.49999596803225577</v>
      </c>
      <c r="AM34" s="256"/>
      <c r="AN34" s="257"/>
      <c r="AO34" s="247">
        <f>AO17/AN17</f>
        <v>0.5930899848789992</v>
      </c>
      <c r="AP34" s="303"/>
      <c r="AQ34" s="302"/>
      <c r="AR34" s="240">
        <f t="shared" si="17"/>
        <v>0.5203469236174123</v>
      </c>
    </row>
    <row r="35" spans="1:44" ht="19.5" thickBot="1">
      <c r="A35" s="225" t="s">
        <v>25</v>
      </c>
      <c r="B35" s="176" t="s">
        <v>35</v>
      </c>
      <c r="C35" s="177"/>
      <c r="D35" s="264"/>
      <c r="E35" s="227">
        <f t="shared" si="18"/>
        <v>0.4115391348727239</v>
      </c>
      <c r="F35" s="264"/>
      <c r="G35" s="264"/>
      <c r="H35" s="227">
        <f t="shared" si="14"/>
        <v>0.46975967232535265</v>
      </c>
      <c r="I35" s="264"/>
      <c r="J35" s="264"/>
      <c r="K35" s="227">
        <f t="shared" si="15"/>
        <v>0.5501340690852107</v>
      </c>
      <c r="L35" s="264"/>
      <c r="M35" s="264"/>
      <c r="N35" s="227">
        <f>N18/M18</f>
        <v>0.22140352294208626</v>
      </c>
      <c r="O35" s="264"/>
      <c r="P35" s="264"/>
      <c r="Q35" s="227">
        <f>Q18/P18</f>
        <v>0.501741862574831</v>
      </c>
      <c r="R35" s="264"/>
      <c r="S35" s="264"/>
      <c r="T35" s="227">
        <f>T18/S18</f>
        <v>0</v>
      </c>
      <c r="U35" s="264"/>
      <c r="V35" s="264"/>
      <c r="W35" s="227">
        <f>W18/V18</f>
        <v>1</v>
      </c>
      <c r="X35" s="261"/>
      <c r="Y35" s="293"/>
      <c r="Z35" s="263">
        <f t="shared" si="16"/>
        <v>0.45729205955922286</v>
      </c>
      <c r="AA35" s="264"/>
      <c r="AB35" s="264"/>
      <c r="AC35" s="227">
        <f>AC18/AB18</f>
        <v>0.6813913420073262</v>
      </c>
      <c r="AD35" s="264"/>
      <c r="AE35" s="264"/>
      <c r="AF35" s="227">
        <f>AF18/AE18</f>
        <v>0.28940642436327035</v>
      </c>
      <c r="AG35" s="423"/>
      <c r="AH35" s="423"/>
      <c r="AI35" s="423"/>
      <c r="AJ35" s="264"/>
      <c r="AK35" s="264"/>
      <c r="AL35" s="227">
        <f>AL18/AK18</f>
        <v>0.49999596803225577</v>
      </c>
      <c r="AM35" s="261"/>
      <c r="AN35" s="293"/>
      <c r="AO35" s="267">
        <f>AO18/AN18</f>
        <v>0.5942247204723093</v>
      </c>
      <c r="AP35" s="294"/>
      <c r="AQ35" s="264"/>
      <c r="AR35" s="227">
        <f t="shared" si="17"/>
        <v>0.49764894851153807</v>
      </c>
    </row>
  </sheetData>
  <sheetProtection/>
  <mergeCells count="45">
    <mergeCell ref="A7:A10"/>
    <mergeCell ref="B7:B10"/>
    <mergeCell ref="C7:W7"/>
    <mergeCell ref="X7:Z9"/>
    <mergeCell ref="R8:T9"/>
    <mergeCell ref="U8:W8"/>
    <mergeCell ref="AS7:AU7"/>
    <mergeCell ref="C8:E9"/>
    <mergeCell ref="F8:H9"/>
    <mergeCell ref="I8:K9"/>
    <mergeCell ref="L8:N9"/>
    <mergeCell ref="O8:Q9"/>
    <mergeCell ref="AS8:AS10"/>
    <mergeCell ref="AT8:AT10"/>
    <mergeCell ref="AU8:AU10"/>
    <mergeCell ref="C25:E26"/>
    <mergeCell ref="F25:H26"/>
    <mergeCell ref="I25:K26"/>
    <mergeCell ref="AA7:AL7"/>
    <mergeCell ref="AM7:AO9"/>
    <mergeCell ref="AP7:AR9"/>
    <mergeCell ref="AJ8:AL9"/>
    <mergeCell ref="AA8:AC9"/>
    <mergeCell ref="AD8:AF9"/>
    <mergeCell ref="AG8:AI9"/>
    <mergeCell ref="A24:A27"/>
    <mergeCell ref="B24:B27"/>
    <mergeCell ref="C24:W24"/>
    <mergeCell ref="X24:Z26"/>
    <mergeCell ref="AA24:AL24"/>
    <mergeCell ref="U9:W9"/>
    <mergeCell ref="U26:W26"/>
    <mergeCell ref="AD25:AF26"/>
    <mergeCell ref="AJ25:AL26"/>
    <mergeCell ref="AA25:AC26"/>
    <mergeCell ref="AP24:AR26"/>
    <mergeCell ref="C3:K3"/>
    <mergeCell ref="L3:Z3"/>
    <mergeCell ref="AA3:AI3"/>
    <mergeCell ref="AJ3:AU3"/>
    <mergeCell ref="L25:N26"/>
    <mergeCell ref="O25:Q26"/>
    <mergeCell ref="R25:T26"/>
    <mergeCell ref="U25:W25"/>
    <mergeCell ref="AM24:AO26"/>
  </mergeCells>
  <printOptions/>
  <pageMargins left="0.3937007874015748" right="0.3937007874015748" top="0.7874015748031497" bottom="0.3937007874015748" header="0.31496062992125984" footer="0.11811023622047245"/>
  <pageSetup horizontalDpi="600" verticalDpi="600" orientation="landscape" paperSize="9" scale="44" r:id="rId1"/>
  <colBreaks count="3" manualBreakCount="3">
    <brk id="11" max="17" man="1"/>
    <brk id="26" max="17" man="1"/>
    <brk id="35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7"/>
  <sheetViews>
    <sheetView zoomScale="90" zoomScaleNormal="90" zoomScalePageLayoutView="0" workbookViewId="0" topLeftCell="A1">
      <selection activeCell="J14" sqref="J13:J14"/>
    </sheetView>
  </sheetViews>
  <sheetFormatPr defaultColWidth="9.140625" defaultRowHeight="12.75"/>
  <cols>
    <col min="1" max="1" width="3.8515625" style="90" bestFit="1" customWidth="1"/>
    <col min="2" max="2" width="34.00390625" style="112" bestFit="1" customWidth="1"/>
    <col min="3" max="3" width="19.57421875" style="112" bestFit="1" customWidth="1"/>
    <col min="4" max="4" width="37.00390625" style="112" customWidth="1"/>
    <col min="5" max="5" width="20.57421875" style="112" customWidth="1"/>
    <col min="6" max="6" width="9.140625" style="112" customWidth="1"/>
    <col min="7" max="7" width="18.57421875" style="112" bestFit="1" customWidth="1"/>
    <col min="8" max="8" width="20.57421875" style="112" customWidth="1"/>
    <col min="9" max="9" width="15.57421875" style="112" bestFit="1" customWidth="1"/>
    <col min="10" max="16384" width="9.140625" style="112" customWidth="1"/>
  </cols>
  <sheetData>
    <row r="1" spans="1:5" ht="15.75">
      <c r="A1" s="159"/>
      <c r="B1" s="625" t="s">
        <v>482</v>
      </c>
      <c r="C1" s="625"/>
      <c r="D1" s="625"/>
      <c r="E1" s="626"/>
    </row>
    <row r="2" spans="1:5" ht="15.75">
      <c r="A2" s="159"/>
      <c r="B2" s="90"/>
      <c r="C2" s="90"/>
      <c r="D2" s="90"/>
      <c r="E2" s="90"/>
    </row>
    <row r="3" spans="1:5" ht="15.75">
      <c r="A3" s="159"/>
      <c r="B3" s="90"/>
      <c r="C3" s="90"/>
      <c r="D3" s="90"/>
      <c r="E3" s="90"/>
    </row>
    <row r="4" spans="1:5" ht="42.75" customHeight="1">
      <c r="A4" s="159"/>
      <c r="B4" s="581" t="s">
        <v>490</v>
      </c>
      <c r="C4" s="581"/>
      <c r="D4" s="581"/>
      <c r="E4" s="581"/>
    </row>
    <row r="5" spans="1:5" ht="15.75">
      <c r="A5" s="159"/>
      <c r="B5" s="90"/>
      <c r="C5" s="90"/>
      <c r="D5" s="90"/>
      <c r="E5" s="2" t="s">
        <v>193</v>
      </c>
    </row>
    <row r="6" spans="1:5" ht="16.5" thickBot="1">
      <c r="A6" s="160"/>
      <c r="B6" s="161" t="s">
        <v>0</v>
      </c>
      <c r="C6" s="162" t="s">
        <v>1</v>
      </c>
      <c r="D6" s="162" t="s">
        <v>2</v>
      </c>
      <c r="E6" s="162" t="s">
        <v>3</v>
      </c>
    </row>
    <row r="7" spans="1:5" ht="23.25" customHeight="1">
      <c r="A7" s="163" t="s">
        <v>10</v>
      </c>
      <c r="B7" s="627" t="s">
        <v>277</v>
      </c>
      <c r="C7" s="628"/>
      <c r="D7" s="628"/>
      <c r="E7" s="629"/>
    </row>
    <row r="8" spans="1:5" ht="15.75">
      <c r="A8" s="163" t="s">
        <v>15</v>
      </c>
      <c r="B8" s="630" t="s">
        <v>12</v>
      </c>
      <c r="C8" s="631"/>
      <c r="D8" s="631" t="s">
        <v>36</v>
      </c>
      <c r="E8" s="632"/>
    </row>
    <row r="9" spans="1:5" ht="25.5" customHeight="1">
      <c r="A9" s="163" t="s">
        <v>21</v>
      </c>
      <c r="B9" s="75" t="s">
        <v>50</v>
      </c>
      <c r="C9" s="73" t="s">
        <v>181</v>
      </c>
      <c r="D9" s="73" t="s">
        <v>50</v>
      </c>
      <c r="E9" s="74" t="s">
        <v>181</v>
      </c>
    </row>
    <row r="10" spans="1:5" ht="25.5" customHeight="1">
      <c r="A10" s="163" t="s">
        <v>22</v>
      </c>
      <c r="B10" s="179" t="s">
        <v>218</v>
      </c>
      <c r="C10" s="180">
        <f>1!D18</f>
        <v>1383747213</v>
      </c>
      <c r="D10" s="79" t="s">
        <v>41</v>
      </c>
      <c r="E10" s="34">
        <f>2!D18</f>
        <v>1214627037</v>
      </c>
    </row>
    <row r="11" spans="1:5" ht="25.5" customHeight="1">
      <c r="A11" s="163" t="s">
        <v>51</v>
      </c>
      <c r="B11" s="179" t="s">
        <v>17</v>
      </c>
      <c r="C11" s="180">
        <f>1!G18</f>
        <v>580041000</v>
      </c>
      <c r="D11" s="79" t="s">
        <v>52</v>
      </c>
      <c r="E11" s="34">
        <f>2!G18</f>
        <v>190243342</v>
      </c>
    </row>
    <row r="12" spans="1:5" ht="24" customHeight="1">
      <c r="A12" s="163" t="s">
        <v>53</v>
      </c>
      <c r="B12" s="78" t="s">
        <v>16</v>
      </c>
      <c r="C12" s="7">
        <f>1!J18</f>
        <v>466364522</v>
      </c>
      <c r="D12" s="79" t="s">
        <v>42</v>
      </c>
      <c r="E12" s="34">
        <f>2!J18</f>
        <v>948436769</v>
      </c>
    </row>
    <row r="13" spans="1:5" ht="26.25" customHeight="1">
      <c r="A13" s="163" t="s">
        <v>47</v>
      </c>
      <c r="B13" s="78" t="s">
        <v>18</v>
      </c>
      <c r="C13" s="7">
        <f>1!M18</f>
        <v>840227857</v>
      </c>
      <c r="D13" s="181" t="s">
        <v>43</v>
      </c>
      <c r="E13" s="182">
        <f>2!M18</f>
        <v>116380000</v>
      </c>
    </row>
    <row r="14" spans="1:5" ht="36.75" customHeight="1">
      <c r="A14" s="163" t="s">
        <v>23</v>
      </c>
      <c r="B14" s="78"/>
      <c r="C14" s="7"/>
      <c r="D14" s="79" t="s">
        <v>103</v>
      </c>
      <c r="E14" s="34">
        <f>2!P18</f>
        <v>1029353306</v>
      </c>
    </row>
    <row r="15" spans="1:5" ht="31.5" customHeight="1">
      <c r="A15" s="163" t="s">
        <v>25</v>
      </c>
      <c r="B15" s="78"/>
      <c r="C15" s="7"/>
      <c r="D15" s="79" t="s">
        <v>54</v>
      </c>
      <c r="E15" s="462">
        <f>2!S18</f>
        <v>402400729</v>
      </c>
    </row>
    <row r="16" spans="1:5" ht="36" customHeight="1">
      <c r="A16" s="163" t="s">
        <v>27</v>
      </c>
      <c r="B16" s="80"/>
      <c r="C16" s="81"/>
      <c r="D16" s="79" t="s">
        <v>153</v>
      </c>
      <c r="E16" s="34">
        <f>2!V18</f>
        <v>241122136</v>
      </c>
    </row>
    <row r="17" spans="1:5" ht="22.5" customHeight="1">
      <c r="A17" s="163" t="s">
        <v>30</v>
      </c>
      <c r="B17" s="80" t="s">
        <v>146</v>
      </c>
      <c r="C17" s="81">
        <f>SUM(C10:C16)</f>
        <v>3270380592</v>
      </c>
      <c r="D17" s="82" t="s">
        <v>55</v>
      </c>
      <c r="E17" s="83">
        <f>SUM(E10:E16)</f>
        <v>4142563319</v>
      </c>
    </row>
    <row r="18" spans="1:7" ht="19.5" customHeight="1">
      <c r="A18" s="163" t="s">
        <v>48</v>
      </c>
      <c r="B18" s="621" t="s">
        <v>56</v>
      </c>
      <c r="C18" s="622"/>
      <c r="D18" s="622"/>
      <c r="E18" s="84">
        <f>C17-E17</f>
        <v>-872182727</v>
      </c>
      <c r="G18" s="164"/>
    </row>
    <row r="19" spans="1:5" ht="22.5" customHeight="1">
      <c r="A19" s="163" t="s">
        <v>32</v>
      </c>
      <c r="B19" s="623" t="s">
        <v>57</v>
      </c>
      <c r="C19" s="624"/>
      <c r="D19" s="624"/>
      <c r="E19" s="84">
        <f>1!P18</f>
        <v>872182727</v>
      </c>
    </row>
    <row r="20" spans="1:5" ht="21" customHeight="1">
      <c r="A20" s="163" t="s">
        <v>34</v>
      </c>
      <c r="B20" s="621" t="s">
        <v>219</v>
      </c>
      <c r="C20" s="622"/>
      <c r="D20" s="622"/>
      <c r="E20" s="84">
        <f>SUM(E18:E19)</f>
        <v>0</v>
      </c>
    </row>
    <row r="21" spans="1:5" ht="30.75" customHeight="1">
      <c r="A21" s="163" t="s">
        <v>58</v>
      </c>
      <c r="B21" s="638" t="s">
        <v>188</v>
      </c>
      <c r="C21" s="639"/>
      <c r="D21" s="639"/>
      <c r="E21" s="640"/>
    </row>
    <row r="22" spans="1:5" ht="15.75">
      <c r="A22" s="163" t="s">
        <v>59</v>
      </c>
      <c r="B22" s="630" t="s">
        <v>13</v>
      </c>
      <c r="C22" s="631"/>
      <c r="D22" s="631" t="s">
        <v>37</v>
      </c>
      <c r="E22" s="632"/>
    </row>
    <row r="23" spans="1:5" ht="15.75">
      <c r="A23" s="163" t="s">
        <v>60</v>
      </c>
      <c r="B23" s="75" t="s">
        <v>50</v>
      </c>
      <c r="C23" s="73" t="s">
        <v>181</v>
      </c>
      <c r="D23" s="73" t="s">
        <v>50</v>
      </c>
      <c r="E23" s="74" t="s">
        <v>181</v>
      </c>
    </row>
    <row r="24" spans="1:5" ht="32.25" customHeight="1">
      <c r="A24" s="163" t="s">
        <v>61</v>
      </c>
      <c r="B24" s="78" t="s">
        <v>19</v>
      </c>
      <c r="C24" s="7">
        <f>1!Y18</f>
        <v>159027391</v>
      </c>
      <c r="D24" s="79" t="s">
        <v>45</v>
      </c>
      <c r="E24" s="34">
        <f>2!AB18</f>
        <v>1479869097</v>
      </c>
    </row>
    <row r="25" spans="1:5" ht="36" customHeight="1">
      <c r="A25" s="163" t="s">
        <v>62</v>
      </c>
      <c r="B25" s="78" t="s">
        <v>20</v>
      </c>
      <c r="C25" s="7">
        <f>1!AB18</f>
        <v>40500000</v>
      </c>
      <c r="D25" s="79" t="s">
        <v>104</v>
      </c>
      <c r="E25" s="34">
        <f>2!AE18</f>
        <v>22097723</v>
      </c>
    </row>
    <row r="26" spans="1:5" ht="24" customHeight="1">
      <c r="A26" s="163" t="s">
        <v>63</v>
      </c>
      <c r="B26" s="78"/>
      <c r="C26" s="7">
        <v>0</v>
      </c>
      <c r="D26" s="79" t="s">
        <v>66</v>
      </c>
      <c r="E26" s="462">
        <f>2!AH18</f>
        <v>201341191</v>
      </c>
    </row>
    <row r="27" spans="1:5" ht="24" customHeight="1">
      <c r="A27" s="163" t="s">
        <v>64</v>
      </c>
      <c r="B27" s="78"/>
      <c r="C27" s="7"/>
      <c r="D27" s="79" t="s">
        <v>153</v>
      </c>
      <c r="E27" s="34">
        <f>2!AK18</f>
        <v>27778000</v>
      </c>
    </row>
    <row r="28" spans="1:5" ht="24" customHeight="1">
      <c r="A28" s="163" t="s">
        <v>65</v>
      </c>
      <c r="B28" s="80" t="s">
        <v>68</v>
      </c>
      <c r="C28" s="8">
        <f>SUM(C24:C26)</f>
        <v>199527391</v>
      </c>
      <c r="D28" s="82" t="s">
        <v>69</v>
      </c>
      <c r="E28" s="84">
        <f>SUM(E24:E27)</f>
        <v>1731086011</v>
      </c>
    </row>
    <row r="29" spans="1:9" ht="19.5" customHeight="1">
      <c r="A29" s="163" t="s">
        <v>67</v>
      </c>
      <c r="B29" s="621" t="s">
        <v>71</v>
      </c>
      <c r="C29" s="622"/>
      <c r="D29" s="622"/>
      <c r="E29" s="84">
        <f>C28-E28</f>
        <v>-1531558620</v>
      </c>
      <c r="G29" s="164"/>
      <c r="H29" s="164"/>
      <c r="I29" s="164"/>
    </row>
    <row r="30" spans="1:7" ht="19.5" customHeight="1">
      <c r="A30" s="163" t="s">
        <v>70</v>
      </c>
      <c r="B30" s="623" t="s">
        <v>73</v>
      </c>
      <c r="C30" s="624"/>
      <c r="D30" s="624"/>
      <c r="E30" s="84">
        <f>1!AH18</f>
        <v>1531558620</v>
      </c>
      <c r="G30" s="164"/>
    </row>
    <row r="31" spans="1:7" ht="19.5" customHeight="1">
      <c r="A31" s="163" t="s">
        <v>72</v>
      </c>
      <c r="B31" s="621" t="s">
        <v>75</v>
      </c>
      <c r="C31" s="622"/>
      <c r="D31" s="622"/>
      <c r="E31" s="84">
        <f>E29+E30</f>
        <v>0</v>
      </c>
      <c r="G31" s="164"/>
    </row>
    <row r="32" spans="1:7" ht="35.25" customHeight="1">
      <c r="A32" s="163" t="s">
        <v>74</v>
      </c>
      <c r="B32" s="635" t="s">
        <v>105</v>
      </c>
      <c r="C32" s="636"/>
      <c r="D32" s="637"/>
      <c r="E32" s="84">
        <f>SUM(E29:E30)</f>
        <v>0</v>
      </c>
      <c r="G32" s="164"/>
    </row>
    <row r="33" spans="1:7" ht="25.5" customHeight="1" thickBot="1">
      <c r="A33" s="163" t="s">
        <v>76</v>
      </c>
      <c r="B33" s="633" t="s">
        <v>106</v>
      </c>
      <c r="C33" s="634"/>
      <c r="D33" s="634"/>
      <c r="E33" s="85">
        <f>E20+E32</f>
        <v>0</v>
      </c>
      <c r="G33" s="165"/>
    </row>
    <row r="34" spans="2:5" ht="15.75">
      <c r="B34" s="90"/>
      <c r="C34" s="90"/>
      <c r="D34" s="90"/>
      <c r="E34" s="90"/>
    </row>
    <row r="35" ht="15.75">
      <c r="G35" s="164"/>
    </row>
    <row r="37" ht="15.75">
      <c r="G37" s="164"/>
    </row>
  </sheetData>
  <sheetProtection/>
  <mergeCells count="16">
    <mergeCell ref="B33:D33"/>
    <mergeCell ref="B29:D29"/>
    <mergeCell ref="B30:D30"/>
    <mergeCell ref="B31:D31"/>
    <mergeCell ref="B32:D32"/>
    <mergeCell ref="B20:D20"/>
    <mergeCell ref="B21:E21"/>
    <mergeCell ref="B22:C22"/>
    <mergeCell ref="D22:E22"/>
    <mergeCell ref="B18:D18"/>
    <mergeCell ref="B19:D19"/>
    <mergeCell ref="B1:E1"/>
    <mergeCell ref="B4:E4"/>
    <mergeCell ref="B7:E7"/>
    <mergeCell ref="B8:C8"/>
    <mergeCell ref="D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95"/>
  <sheetViews>
    <sheetView zoomScalePageLayoutView="0" workbookViewId="0" topLeftCell="A1">
      <selection activeCell="J14" sqref="J13:J14"/>
    </sheetView>
  </sheetViews>
  <sheetFormatPr defaultColWidth="9.140625" defaultRowHeight="12.75"/>
  <cols>
    <col min="1" max="1" width="5.00390625" style="543" customWidth="1"/>
    <col min="2" max="2" width="6.7109375" style="545" customWidth="1"/>
    <col min="3" max="3" width="9.140625" style="112" customWidth="1"/>
    <col min="4" max="4" width="55.00390625" style="112" customWidth="1"/>
    <col min="5" max="5" width="17.7109375" style="112" customWidth="1"/>
    <col min="6" max="6" width="18.140625" style="112" customWidth="1"/>
    <col min="7" max="7" width="17.28125" style="112" customWidth="1"/>
    <col min="8" max="8" width="15.00390625" style="112" hidden="1" customWidth="1"/>
    <col min="9" max="10" width="14.00390625" style="112" hidden="1" customWidth="1"/>
    <col min="11" max="11" width="13.7109375" style="231" hidden="1" customWidth="1"/>
    <col min="12" max="13" width="9.140625" style="112" hidden="1" customWidth="1"/>
    <col min="14" max="14" width="0" style="112" hidden="1" customWidth="1"/>
    <col min="15" max="16384" width="9.140625" style="112" customWidth="1"/>
  </cols>
  <sheetData>
    <row r="1" spans="1:7" ht="15.75">
      <c r="A1" s="539"/>
      <c r="C1" s="307"/>
      <c r="D1" s="307"/>
      <c r="E1" s="307"/>
      <c r="F1" s="206"/>
      <c r="G1" s="206" t="s">
        <v>483</v>
      </c>
    </row>
    <row r="2" spans="1:7" ht="15.75">
      <c r="A2" s="539"/>
      <c r="B2" s="539"/>
      <c r="C2" s="27"/>
      <c r="D2" s="27"/>
      <c r="E2" s="27"/>
      <c r="F2" s="27"/>
      <c r="G2" s="27"/>
    </row>
    <row r="3" spans="1:7" ht="20.25" customHeight="1">
      <c r="A3" s="539"/>
      <c r="B3" s="207" t="s">
        <v>491</v>
      </c>
      <c r="C3" s="476"/>
      <c r="D3" s="476"/>
      <c r="E3" s="476"/>
      <c r="F3" s="207"/>
      <c r="G3" s="207"/>
    </row>
    <row r="4" spans="1:7" ht="15.75">
      <c r="A4" s="539"/>
      <c r="B4" s="641"/>
      <c r="C4" s="641"/>
      <c r="D4" s="641"/>
      <c r="E4" s="641"/>
      <c r="F4" s="207"/>
      <c r="G4" s="207"/>
    </row>
    <row r="5" spans="1:7" ht="15.75">
      <c r="A5" s="539"/>
      <c r="B5" s="207"/>
      <c r="C5" s="476"/>
      <c r="D5" s="476"/>
      <c r="E5" s="476"/>
      <c r="F5" s="207"/>
      <c r="G5" s="207"/>
    </row>
    <row r="6" spans="1:7" ht="24" customHeight="1">
      <c r="A6" s="540"/>
      <c r="B6" s="540"/>
      <c r="C6" s="159"/>
      <c r="D6" s="159"/>
      <c r="F6" s="166"/>
      <c r="G6" s="166" t="s">
        <v>193</v>
      </c>
    </row>
    <row r="7" spans="1:7" ht="14.25" customHeight="1">
      <c r="A7" s="541"/>
      <c r="B7" s="306" t="s">
        <v>0</v>
      </c>
      <c r="C7" s="306" t="s">
        <v>1</v>
      </c>
      <c r="D7" s="306" t="s">
        <v>2</v>
      </c>
      <c r="E7" s="306" t="s">
        <v>3</v>
      </c>
      <c r="F7" s="306" t="s">
        <v>4</v>
      </c>
      <c r="G7" s="306" t="s">
        <v>5</v>
      </c>
    </row>
    <row r="8" spans="1:7" ht="31.5" customHeight="1">
      <c r="A8" s="642" t="s">
        <v>10</v>
      </c>
      <c r="B8" s="643" t="s">
        <v>11</v>
      </c>
      <c r="C8" s="643"/>
      <c r="D8" s="643"/>
      <c r="E8" s="572" t="s">
        <v>336</v>
      </c>
      <c r="F8" s="572" t="s">
        <v>157</v>
      </c>
      <c r="G8" s="572" t="s">
        <v>94</v>
      </c>
    </row>
    <row r="9" spans="1:7" ht="22.5" customHeight="1">
      <c r="A9" s="642"/>
      <c r="B9" s="643"/>
      <c r="C9" s="643"/>
      <c r="D9" s="643"/>
      <c r="E9" s="572"/>
      <c r="F9" s="572"/>
      <c r="G9" s="572"/>
    </row>
    <row r="10" spans="1:17" ht="21" customHeight="1">
      <c r="A10" s="304" t="s">
        <v>15</v>
      </c>
      <c r="B10" s="119" t="s">
        <v>545</v>
      </c>
      <c r="C10" s="644" t="s">
        <v>546</v>
      </c>
      <c r="D10" s="645"/>
      <c r="E10" s="409">
        <f>E11+E13</f>
        <v>104777000</v>
      </c>
      <c r="F10" s="409">
        <f>F11+F13</f>
        <v>97439314</v>
      </c>
      <c r="G10" s="409">
        <f>G11+G13</f>
        <v>8658000</v>
      </c>
      <c r="Q10" s="112" t="s">
        <v>544</v>
      </c>
    </row>
    <row r="11" spans="1:7" ht="18" customHeight="1">
      <c r="A11" s="304" t="s">
        <v>21</v>
      </c>
      <c r="B11" s="119"/>
      <c r="C11" s="622" t="s">
        <v>154</v>
      </c>
      <c r="D11" s="622"/>
      <c r="E11" s="409">
        <f>SUM(E12:E12)</f>
        <v>0</v>
      </c>
      <c r="F11" s="409"/>
      <c r="G11" s="409"/>
    </row>
    <row r="12" spans="1:7" ht="18" customHeight="1">
      <c r="A12" s="304" t="s">
        <v>22</v>
      </c>
      <c r="B12" s="38"/>
      <c r="C12" s="38"/>
      <c r="D12" s="175"/>
      <c r="E12" s="542"/>
      <c r="F12" s="542"/>
      <c r="G12" s="542"/>
    </row>
    <row r="13" spans="1:7" ht="18" customHeight="1">
      <c r="A13" s="304" t="s">
        <v>51</v>
      </c>
      <c r="B13" s="119"/>
      <c r="C13" s="622" t="s">
        <v>244</v>
      </c>
      <c r="D13" s="622"/>
      <c r="E13" s="409">
        <f>SUM(E14:E41)</f>
        <v>104777000</v>
      </c>
      <c r="F13" s="409">
        <f>SUM(F14:F41)</f>
        <v>97439314</v>
      </c>
      <c r="G13" s="409">
        <f>SUM(G14:G41)</f>
        <v>8658000</v>
      </c>
    </row>
    <row r="14" spans="1:7" ht="18" customHeight="1">
      <c r="A14" s="304" t="s">
        <v>53</v>
      </c>
      <c r="B14" s="38"/>
      <c r="C14" s="38" t="s">
        <v>10</v>
      </c>
      <c r="D14" s="168" t="s">
        <v>220</v>
      </c>
      <c r="E14" s="189">
        <v>360000</v>
      </c>
      <c r="F14" s="415">
        <v>360000</v>
      </c>
      <c r="G14" s="415">
        <v>0</v>
      </c>
    </row>
    <row r="15" spans="1:7" ht="18" customHeight="1">
      <c r="A15" s="304" t="s">
        <v>47</v>
      </c>
      <c r="B15" s="38"/>
      <c r="C15" s="38" t="s">
        <v>15</v>
      </c>
      <c r="D15" s="168" t="s">
        <v>221</v>
      </c>
      <c r="E15" s="189">
        <v>2540000</v>
      </c>
      <c r="F15" s="415">
        <v>2540000</v>
      </c>
      <c r="G15" s="415">
        <v>0</v>
      </c>
    </row>
    <row r="16" spans="1:7" ht="18" customHeight="1">
      <c r="A16" s="304" t="s">
        <v>23</v>
      </c>
      <c r="B16" s="38"/>
      <c r="C16" s="38" t="s">
        <v>21</v>
      </c>
      <c r="D16" s="168" t="s">
        <v>222</v>
      </c>
      <c r="E16" s="189">
        <v>20000000</v>
      </c>
      <c r="F16" s="415">
        <v>12662314</v>
      </c>
      <c r="G16" s="415">
        <v>0</v>
      </c>
    </row>
    <row r="17" spans="1:7" ht="18" customHeight="1">
      <c r="A17" s="304" t="s">
        <v>25</v>
      </c>
      <c r="B17" s="38"/>
      <c r="C17" s="38" t="s">
        <v>22</v>
      </c>
      <c r="D17" s="168" t="s">
        <v>555</v>
      </c>
      <c r="E17" s="189">
        <v>3558000</v>
      </c>
      <c r="F17" s="415">
        <v>3558000</v>
      </c>
      <c r="G17" s="415">
        <v>3558000</v>
      </c>
    </row>
    <row r="18" spans="1:7" ht="18" customHeight="1">
      <c r="A18" s="304" t="s">
        <v>27</v>
      </c>
      <c r="B18" s="38"/>
      <c r="C18" s="38" t="s">
        <v>51</v>
      </c>
      <c r="D18" s="168" t="s">
        <v>223</v>
      </c>
      <c r="E18" s="189">
        <v>3500000</v>
      </c>
      <c r="F18" s="415">
        <v>3500000</v>
      </c>
      <c r="G18" s="415">
        <v>3500000</v>
      </c>
    </row>
    <row r="19" spans="1:7" ht="18" customHeight="1">
      <c r="A19" s="304" t="s">
        <v>30</v>
      </c>
      <c r="B19" s="38"/>
      <c r="C19" s="38" t="s">
        <v>53</v>
      </c>
      <c r="D19" s="168" t="s">
        <v>224</v>
      </c>
      <c r="E19" s="189">
        <v>3302000</v>
      </c>
      <c r="F19" s="415">
        <v>3302000</v>
      </c>
      <c r="G19" s="415">
        <v>0</v>
      </c>
    </row>
    <row r="20" spans="1:7" ht="18" customHeight="1">
      <c r="A20" s="304" t="s">
        <v>48</v>
      </c>
      <c r="B20" s="38"/>
      <c r="C20" s="38" t="s">
        <v>47</v>
      </c>
      <c r="D20" s="168" t="s">
        <v>225</v>
      </c>
      <c r="E20" s="189">
        <v>868000</v>
      </c>
      <c r="F20" s="415">
        <v>868000</v>
      </c>
      <c r="G20" s="415">
        <v>0</v>
      </c>
    </row>
    <row r="21" spans="1:7" ht="18" customHeight="1">
      <c r="A21" s="304" t="s">
        <v>32</v>
      </c>
      <c r="B21" s="38"/>
      <c r="C21" s="38" t="s">
        <v>23</v>
      </c>
      <c r="D21" s="168" t="s">
        <v>226</v>
      </c>
      <c r="E21" s="189">
        <v>2540000</v>
      </c>
      <c r="F21" s="415">
        <v>2540000</v>
      </c>
      <c r="G21" s="415">
        <v>0</v>
      </c>
    </row>
    <row r="22" spans="1:7" ht="18" customHeight="1">
      <c r="A22" s="304" t="s">
        <v>34</v>
      </c>
      <c r="B22" s="38"/>
      <c r="C22" s="38" t="s">
        <v>25</v>
      </c>
      <c r="D22" s="168" t="s">
        <v>227</v>
      </c>
      <c r="E22" s="189">
        <v>1905000</v>
      </c>
      <c r="F22" s="415">
        <v>1905000</v>
      </c>
      <c r="G22" s="415">
        <v>0</v>
      </c>
    </row>
    <row r="23" spans="1:7" ht="18" customHeight="1">
      <c r="A23" s="304" t="s">
        <v>58</v>
      </c>
      <c r="B23" s="38"/>
      <c r="C23" s="38" t="s">
        <v>27</v>
      </c>
      <c r="D23" s="168" t="s">
        <v>228</v>
      </c>
      <c r="E23" s="189">
        <v>5000000</v>
      </c>
      <c r="F23" s="415">
        <v>5000000</v>
      </c>
      <c r="G23" s="415">
        <v>0</v>
      </c>
    </row>
    <row r="24" spans="1:7" ht="18" customHeight="1">
      <c r="A24" s="304" t="s">
        <v>59</v>
      </c>
      <c r="B24" s="38"/>
      <c r="C24" s="38" t="s">
        <v>30</v>
      </c>
      <c r="D24" s="168" t="s">
        <v>229</v>
      </c>
      <c r="E24" s="189">
        <v>1978000</v>
      </c>
      <c r="F24" s="415">
        <v>1978000</v>
      </c>
      <c r="G24" s="415">
        <v>0</v>
      </c>
    </row>
    <row r="25" spans="1:7" ht="18" customHeight="1">
      <c r="A25" s="304" t="s">
        <v>60</v>
      </c>
      <c r="B25" s="38"/>
      <c r="C25" s="38" t="s">
        <v>48</v>
      </c>
      <c r="D25" s="168" t="s">
        <v>230</v>
      </c>
      <c r="E25" s="189">
        <v>2905000</v>
      </c>
      <c r="F25" s="415">
        <v>2905000</v>
      </c>
      <c r="G25" s="415">
        <v>0</v>
      </c>
    </row>
    <row r="26" spans="1:10" ht="18" customHeight="1">
      <c r="A26" s="304" t="s">
        <v>61</v>
      </c>
      <c r="B26" s="38"/>
      <c r="C26" s="38" t="s">
        <v>32</v>
      </c>
      <c r="D26" s="168" t="s">
        <v>155</v>
      </c>
      <c r="E26" s="189">
        <v>6350000</v>
      </c>
      <c r="F26" s="415">
        <v>6350000</v>
      </c>
      <c r="G26" s="415">
        <v>0</v>
      </c>
      <c r="J26" s="231"/>
    </row>
    <row r="27" spans="1:7" ht="18" customHeight="1">
      <c r="A27" s="304" t="s">
        <v>62</v>
      </c>
      <c r="B27" s="38"/>
      <c r="C27" s="38" t="s">
        <v>34</v>
      </c>
      <c r="D27" s="168" t="s">
        <v>231</v>
      </c>
      <c r="E27" s="189">
        <v>3810000</v>
      </c>
      <c r="F27" s="415">
        <v>3810000</v>
      </c>
      <c r="G27" s="415">
        <v>0</v>
      </c>
    </row>
    <row r="28" spans="1:10" ht="18" customHeight="1">
      <c r="A28" s="304" t="s">
        <v>63</v>
      </c>
      <c r="B28" s="38"/>
      <c r="C28" s="38" t="s">
        <v>58</v>
      </c>
      <c r="D28" s="168" t="s">
        <v>232</v>
      </c>
      <c r="E28" s="189">
        <v>2540000</v>
      </c>
      <c r="F28" s="415">
        <v>2540000</v>
      </c>
      <c r="G28" s="415">
        <v>0</v>
      </c>
      <c r="J28" s="231"/>
    </row>
    <row r="29" spans="1:7" ht="18" customHeight="1">
      <c r="A29" s="304" t="s">
        <v>64</v>
      </c>
      <c r="B29" s="38"/>
      <c r="C29" s="38" t="s">
        <v>59</v>
      </c>
      <c r="D29" s="168" t="s">
        <v>233</v>
      </c>
      <c r="E29" s="189">
        <v>6350000</v>
      </c>
      <c r="F29" s="415">
        <v>6350000</v>
      </c>
      <c r="G29" s="415">
        <v>0</v>
      </c>
    </row>
    <row r="30" spans="1:7" ht="18" customHeight="1">
      <c r="A30" s="304" t="s">
        <v>65</v>
      </c>
      <c r="B30" s="38"/>
      <c r="C30" s="38" t="s">
        <v>60</v>
      </c>
      <c r="D30" s="168" t="s">
        <v>234</v>
      </c>
      <c r="E30" s="189">
        <v>2540000</v>
      </c>
      <c r="F30" s="415">
        <v>2540000</v>
      </c>
      <c r="G30" s="415">
        <v>0</v>
      </c>
    </row>
    <row r="31" spans="1:7" ht="18" customHeight="1">
      <c r="A31" s="304" t="s">
        <v>67</v>
      </c>
      <c r="B31" s="38"/>
      <c r="C31" s="38" t="s">
        <v>61</v>
      </c>
      <c r="D31" s="168" t="s">
        <v>235</v>
      </c>
      <c r="E31" s="189">
        <v>6000000</v>
      </c>
      <c r="F31" s="415">
        <v>6000000</v>
      </c>
      <c r="G31" s="415">
        <v>0</v>
      </c>
    </row>
    <row r="32" spans="1:7" ht="18" customHeight="1">
      <c r="A32" s="304" t="s">
        <v>70</v>
      </c>
      <c r="B32" s="38"/>
      <c r="C32" s="38" t="s">
        <v>62</v>
      </c>
      <c r="D32" s="168" t="s">
        <v>236</v>
      </c>
      <c r="E32" s="189">
        <v>4870000</v>
      </c>
      <c r="F32" s="415">
        <v>4870000</v>
      </c>
      <c r="G32" s="415">
        <v>0</v>
      </c>
    </row>
    <row r="33" spans="1:7" ht="18" customHeight="1">
      <c r="A33" s="304" t="s">
        <v>72</v>
      </c>
      <c r="B33" s="38"/>
      <c r="C33" s="38" t="s">
        <v>63</v>
      </c>
      <c r="D33" s="168" t="s">
        <v>556</v>
      </c>
      <c r="E33" s="189">
        <v>5000000</v>
      </c>
      <c r="F33" s="415">
        <v>5000000</v>
      </c>
      <c r="G33" s="415">
        <v>0</v>
      </c>
    </row>
    <row r="34" spans="1:7" ht="18" customHeight="1">
      <c r="A34" s="304" t="s">
        <v>74</v>
      </c>
      <c r="B34" s="38"/>
      <c r="C34" s="38" t="s">
        <v>64</v>
      </c>
      <c r="D34" s="168" t="s">
        <v>237</v>
      </c>
      <c r="E34" s="189">
        <v>700000</v>
      </c>
      <c r="F34" s="415">
        <v>700000</v>
      </c>
      <c r="G34" s="415">
        <v>1050000</v>
      </c>
    </row>
    <row r="35" spans="1:7" ht="18" customHeight="1">
      <c r="A35" s="304" t="s">
        <v>76</v>
      </c>
      <c r="B35" s="38"/>
      <c r="C35" s="38" t="s">
        <v>65</v>
      </c>
      <c r="D35" s="168" t="s">
        <v>238</v>
      </c>
      <c r="E35" s="189">
        <v>300000</v>
      </c>
      <c r="F35" s="415">
        <v>300000</v>
      </c>
      <c r="G35" s="415">
        <v>300000</v>
      </c>
    </row>
    <row r="36" spans="1:7" ht="18" customHeight="1">
      <c r="A36" s="304" t="s">
        <v>77</v>
      </c>
      <c r="B36" s="38"/>
      <c r="C36" s="38" t="s">
        <v>67</v>
      </c>
      <c r="D36" s="168" t="s">
        <v>239</v>
      </c>
      <c r="E36" s="189">
        <v>5341000</v>
      </c>
      <c r="F36" s="415">
        <v>5341000</v>
      </c>
      <c r="G36" s="415">
        <v>0</v>
      </c>
    </row>
    <row r="37" spans="1:7" ht="18" customHeight="1">
      <c r="A37" s="304" t="s">
        <v>78</v>
      </c>
      <c r="B37" s="38"/>
      <c r="C37" s="38" t="s">
        <v>70</v>
      </c>
      <c r="D37" s="168" t="s">
        <v>240</v>
      </c>
      <c r="E37" s="189">
        <v>3000000</v>
      </c>
      <c r="F37" s="415">
        <v>3000000</v>
      </c>
      <c r="G37" s="415">
        <v>0</v>
      </c>
    </row>
    <row r="38" spans="1:7" ht="18" customHeight="1">
      <c r="A38" s="304" t="s">
        <v>79</v>
      </c>
      <c r="B38" s="38"/>
      <c r="C38" s="38" t="s">
        <v>72</v>
      </c>
      <c r="D38" s="168" t="s">
        <v>241</v>
      </c>
      <c r="E38" s="189">
        <v>250000</v>
      </c>
      <c r="F38" s="415">
        <v>250000</v>
      </c>
      <c r="G38" s="415">
        <v>250000</v>
      </c>
    </row>
    <row r="39" spans="1:7" ht="18" customHeight="1">
      <c r="A39" s="304" t="s">
        <v>84</v>
      </c>
      <c r="B39" s="38"/>
      <c r="C39" s="38" t="s">
        <v>74</v>
      </c>
      <c r="D39" s="168" t="s">
        <v>242</v>
      </c>
      <c r="E39" s="189">
        <v>5000000</v>
      </c>
      <c r="F39" s="415">
        <v>5000000</v>
      </c>
      <c r="G39" s="415">
        <v>0</v>
      </c>
    </row>
    <row r="40" spans="1:7" ht="18" customHeight="1">
      <c r="A40" s="304" t="s">
        <v>194</v>
      </c>
      <c r="B40" s="38"/>
      <c r="C40" s="38" t="s">
        <v>76</v>
      </c>
      <c r="D40" s="183" t="s">
        <v>243</v>
      </c>
      <c r="E40" s="190">
        <v>3000000</v>
      </c>
      <c r="F40" s="416">
        <v>3000000</v>
      </c>
      <c r="G40" s="415">
        <v>0</v>
      </c>
    </row>
    <row r="41" spans="1:7" ht="18" customHeight="1">
      <c r="A41" s="304" t="s">
        <v>108</v>
      </c>
      <c r="B41" s="38"/>
      <c r="C41" s="38" t="s">
        <v>77</v>
      </c>
      <c r="D41" s="183" t="s">
        <v>245</v>
      </c>
      <c r="E41" s="190">
        <v>1270000</v>
      </c>
      <c r="F41" s="416">
        <v>1270000</v>
      </c>
      <c r="G41" s="416">
        <v>0</v>
      </c>
    </row>
    <row r="42" spans="1:8" ht="22.5" customHeight="1">
      <c r="A42" s="304" t="s">
        <v>195</v>
      </c>
      <c r="B42" s="119" t="s">
        <v>542</v>
      </c>
      <c r="C42" s="644" t="s">
        <v>543</v>
      </c>
      <c r="D42" s="645"/>
      <c r="E42" s="409">
        <f>SUM(E43:E44)</f>
        <v>0</v>
      </c>
      <c r="F42" s="409">
        <f>SUM(F43:F44)</f>
        <v>0</v>
      </c>
      <c r="G42" s="409">
        <f>SUM(G43:G44)</f>
        <v>0</v>
      </c>
      <c r="H42" s="231"/>
    </row>
    <row r="43" spans="1:8" ht="18" customHeight="1">
      <c r="A43" s="304" t="s">
        <v>199</v>
      </c>
      <c r="B43" s="119"/>
      <c r="C43" s="38" t="s">
        <v>10</v>
      </c>
      <c r="D43" s="305"/>
      <c r="E43" s="134">
        <v>0</v>
      </c>
      <c r="F43" s="134"/>
      <c r="G43" s="134"/>
      <c r="H43" s="231"/>
    </row>
    <row r="44" spans="1:8" ht="18" customHeight="1">
      <c r="A44" s="304" t="s">
        <v>278</v>
      </c>
      <c r="B44" s="119"/>
      <c r="C44" s="38" t="s">
        <v>15</v>
      </c>
      <c r="D44" s="305"/>
      <c r="E44" s="134">
        <v>0</v>
      </c>
      <c r="F44" s="134"/>
      <c r="G44" s="134"/>
      <c r="H44" s="231"/>
    </row>
    <row r="45" spans="1:9" ht="21.75" customHeight="1">
      <c r="A45" s="304" t="s">
        <v>279</v>
      </c>
      <c r="B45" s="119"/>
      <c r="C45" s="122" t="s">
        <v>540</v>
      </c>
      <c r="D45" s="538"/>
      <c r="E45" s="409">
        <f>E42+E10</f>
        <v>104777000</v>
      </c>
      <c r="F45" s="409">
        <f>F42+F10</f>
        <v>97439314</v>
      </c>
      <c r="G45" s="409">
        <f>G42+G10</f>
        <v>8658000</v>
      </c>
      <c r="H45" s="231">
        <f>2!K17</f>
        <v>294127230</v>
      </c>
      <c r="I45" s="231">
        <f>H45-E45</f>
        <v>189350230</v>
      </c>
    </row>
    <row r="46" spans="1:9" ht="36.75" customHeight="1">
      <c r="A46" s="304" t="s">
        <v>280</v>
      </c>
      <c r="B46" s="119" t="s">
        <v>541</v>
      </c>
      <c r="C46" s="649" t="s">
        <v>107</v>
      </c>
      <c r="D46" s="649"/>
      <c r="E46" s="409">
        <f>SUM(E47:E51)</f>
        <v>17200000</v>
      </c>
      <c r="F46" s="409">
        <f>SUM(F47:F51)</f>
        <v>21097723</v>
      </c>
      <c r="G46" s="409">
        <f>SUM(G47:G51)</f>
        <v>5395223</v>
      </c>
      <c r="H46" s="231">
        <f>2!L17</f>
        <v>115700000</v>
      </c>
      <c r="I46" s="231">
        <f>H46-E46</f>
        <v>98500000</v>
      </c>
    </row>
    <row r="47" spans="1:7" ht="18" customHeight="1">
      <c r="A47" s="304" t="s">
        <v>281</v>
      </c>
      <c r="B47" s="38"/>
      <c r="C47" s="38" t="s">
        <v>10</v>
      </c>
      <c r="D47" s="175" t="s">
        <v>190</v>
      </c>
      <c r="E47" s="134">
        <v>10000000</v>
      </c>
      <c r="F47" s="134">
        <v>10000000</v>
      </c>
      <c r="G47" s="134">
        <v>1497500</v>
      </c>
    </row>
    <row r="48" spans="1:7" ht="18" customHeight="1">
      <c r="A48" s="304" t="s">
        <v>200</v>
      </c>
      <c r="B48" s="38"/>
      <c r="C48" s="38" t="s">
        <v>15</v>
      </c>
      <c r="D48" s="39" t="s">
        <v>83</v>
      </c>
      <c r="E48" s="134">
        <v>1000000</v>
      </c>
      <c r="F48" s="134">
        <v>1000000</v>
      </c>
      <c r="G48" s="134">
        <v>0</v>
      </c>
    </row>
    <row r="49" spans="1:7" ht="18" customHeight="1">
      <c r="A49" s="304" t="s">
        <v>109</v>
      </c>
      <c r="B49" s="38"/>
      <c r="C49" s="38" t="s">
        <v>21</v>
      </c>
      <c r="D49" s="39" t="s">
        <v>191</v>
      </c>
      <c r="E49" s="134">
        <v>6200000</v>
      </c>
      <c r="F49" s="134">
        <v>6200000</v>
      </c>
      <c r="G49" s="134">
        <v>0</v>
      </c>
    </row>
    <row r="50" spans="1:7" ht="18" customHeight="1">
      <c r="A50" s="304" t="s">
        <v>201</v>
      </c>
      <c r="B50" s="38"/>
      <c r="C50" s="38" t="s">
        <v>22</v>
      </c>
      <c r="D50" s="39" t="s">
        <v>449</v>
      </c>
      <c r="E50" s="134">
        <v>0</v>
      </c>
      <c r="F50" s="134">
        <v>87723</v>
      </c>
      <c r="G50" s="134">
        <v>87723</v>
      </c>
    </row>
    <row r="51" spans="1:7" ht="18" customHeight="1">
      <c r="A51" s="304" t="s">
        <v>204</v>
      </c>
      <c r="B51" s="38"/>
      <c r="C51" s="38" t="s">
        <v>51</v>
      </c>
      <c r="D51" s="39" t="s">
        <v>450</v>
      </c>
      <c r="E51" s="134">
        <v>0</v>
      </c>
      <c r="F51" s="134">
        <v>3810000</v>
      </c>
      <c r="G51" s="134">
        <v>3810000</v>
      </c>
    </row>
    <row r="52" spans="1:7" ht="31.5" customHeight="1">
      <c r="A52" s="304" t="s">
        <v>205</v>
      </c>
      <c r="B52" s="119" t="s">
        <v>547</v>
      </c>
      <c r="C52" s="432" t="s">
        <v>418</v>
      </c>
      <c r="D52" s="432"/>
      <c r="E52" s="409">
        <f>E45+E46</f>
        <v>121977000</v>
      </c>
      <c r="F52" s="409">
        <f>F45+F46</f>
        <v>118537037</v>
      </c>
      <c r="G52" s="409">
        <f>G45+G46</f>
        <v>14053223</v>
      </c>
    </row>
    <row r="53" spans="1:7" ht="20.25" customHeight="1">
      <c r="A53" s="304" t="s">
        <v>282</v>
      </c>
      <c r="B53" s="119" t="s">
        <v>551</v>
      </c>
      <c r="C53" s="122" t="s">
        <v>549</v>
      </c>
      <c r="D53" s="122"/>
      <c r="E53" s="110"/>
      <c r="F53" s="433"/>
      <c r="G53" s="433"/>
    </row>
    <row r="54" spans="1:10" ht="15.75">
      <c r="A54" s="304" t="s">
        <v>283</v>
      </c>
      <c r="B54" s="434"/>
      <c r="C54" s="122" t="s">
        <v>396</v>
      </c>
      <c r="D54" s="122"/>
      <c r="E54" s="122">
        <f>SUM(E55:E59)</f>
        <v>0</v>
      </c>
      <c r="F54" s="409">
        <f>SUM(F55:F59)</f>
        <v>1494068</v>
      </c>
      <c r="G54" s="409">
        <f>SUM(G55:G59)</f>
        <v>1494068</v>
      </c>
      <c r="H54" s="231">
        <f>E54-2!AA11</f>
        <v>0</v>
      </c>
      <c r="I54" s="231">
        <f>F54-2!AB11</f>
        <v>0</v>
      </c>
      <c r="J54" s="231">
        <f>G54-2!AC11</f>
        <v>0</v>
      </c>
    </row>
    <row r="55" spans="1:7" ht="15" customHeight="1">
      <c r="A55" s="304" t="s">
        <v>284</v>
      </c>
      <c r="B55" s="38"/>
      <c r="C55" s="175" t="s">
        <v>397</v>
      </c>
      <c r="D55" s="175"/>
      <c r="E55" s="175">
        <v>0</v>
      </c>
      <c r="F55" s="410"/>
      <c r="G55" s="410"/>
    </row>
    <row r="56" spans="1:7" ht="15.75">
      <c r="A56" s="304" t="s">
        <v>285</v>
      </c>
      <c r="B56" s="38"/>
      <c r="C56" s="175" t="s">
        <v>398</v>
      </c>
      <c r="D56" s="175"/>
      <c r="E56" s="175">
        <v>0</v>
      </c>
      <c r="F56" s="410">
        <v>44709</v>
      </c>
      <c r="G56" s="410">
        <v>44709</v>
      </c>
    </row>
    <row r="57" spans="1:7" ht="15.75">
      <c r="A57" s="304" t="s">
        <v>286</v>
      </c>
      <c r="B57" s="38"/>
      <c r="C57" s="175" t="s">
        <v>399</v>
      </c>
      <c r="D57" s="175"/>
      <c r="E57" s="175">
        <v>0</v>
      </c>
      <c r="F57" s="410">
        <v>1131723</v>
      </c>
      <c r="G57" s="410">
        <v>1131723</v>
      </c>
    </row>
    <row r="58" spans="1:7" ht="15.75">
      <c r="A58" s="304" t="s">
        <v>206</v>
      </c>
      <c r="B58" s="38"/>
      <c r="C58" s="175" t="s">
        <v>400</v>
      </c>
      <c r="D58" s="175"/>
      <c r="E58" s="175">
        <v>0</v>
      </c>
      <c r="F58" s="410">
        <v>317636</v>
      </c>
      <c r="G58" s="410">
        <v>317636</v>
      </c>
    </row>
    <row r="59" spans="1:7" ht="15.75">
      <c r="A59" s="304" t="s">
        <v>287</v>
      </c>
      <c r="B59" s="38"/>
      <c r="C59" s="175"/>
      <c r="D59" s="175"/>
      <c r="E59" s="175"/>
      <c r="F59" s="410"/>
      <c r="G59" s="410"/>
    </row>
    <row r="60" spans="1:10" ht="15.75">
      <c r="A60" s="304" t="s">
        <v>288</v>
      </c>
      <c r="B60" s="434"/>
      <c r="C60" s="122" t="s">
        <v>401</v>
      </c>
      <c r="D60" s="122"/>
      <c r="E60" s="122">
        <f>SUM(E62:E64)</f>
        <v>0</v>
      </c>
      <c r="F60" s="409">
        <f>SUM(F61:F64)</f>
        <v>1829778</v>
      </c>
      <c r="G60" s="409">
        <f>SUM(G61:G64)</f>
        <v>1829778</v>
      </c>
      <c r="H60" s="231">
        <f>E60-2!AA12</f>
        <v>0</v>
      </c>
      <c r="I60" s="231">
        <f>F60-2!AB12</f>
        <v>0</v>
      </c>
      <c r="J60" s="231">
        <f>G60-2!AC12</f>
        <v>0</v>
      </c>
    </row>
    <row r="61" spans="1:7" ht="15.75">
      <c r="A61" s="304" t="s">
        <v>289</v>
      </c>
      <c r="B61" s="434"/>
      <c r="C61" s="175" t="s">
        <v>402</v>
      </c>
      <c r="D61" s="175"/>
      <c r="E61" s="175">
        <v>0</v>
      </c>
      <c r="F61" s="134"/>
      <c r="G61" s="134"/>
    </row>
    <row r="62" spans="1:7" ht="15.75">
      <c r="A62" s="304" t="s">
        <v>290</v>
      </c>
      <c r="B62" s="38"/>
      <c r="C62" s="175" t="s">
        <v>403</v>
      </c>
      <c r="D62" s="175"/>
      <c r="E62" s="175">
        <v>0</v>
      </c>
      <c r="F62" s="134"/>
      <c r="G62" s="134"/>
    </row>
    <row r="63" spans="1:7" ht="15.75">
      <c r="A63" s="304" t="s">
        <v>291</v>
      </c>
      <c r="B63" s="38"/>
      <c r="C63" s="175" t="s">
        <v>404</v>
      </c>
      <c r="D63" s="175"/>
      <c r="E63" s="175">
        <v>0</v>
      </c>
      <c r="F63" s="134">
        <v>1440770</v>
      </c>
      <c r="G63" s="134">
        <v>1440770</v>
      </c>
    </row>
    <row r="64" spans="1:7" ht="15.75">
      <c r="A64" s="304" t="s">
        <v>292</v>
      </c>
      <c r="B64" s="38"/>
      <c r="C64" s="175" t="s">
        <v>405</v>
      </c>
      <c r="D64" s="175"/>
      <c r="E64" s="175">
        <v>0</v>
      </c>
      <c r="F64" s="134">
        <v>389008</v>
      </c>
      <c r="G64" s="134">
        <v>389008</v>
      </c>
    </row>
    <row r="65" spans="1:10" ht="15.75">
      <c r="A65" s="304" t="s">
        <v>293</v>
      </c>
      <c r="B65" s="38"/>
      <c r="C65" s="122" t="s">
        <v>406</v>
      </c>
      <c r="D65" s="122"/>
      <c r="E65" s="122">
        <v>0</v>
      </c>
      <c r="F65" s="409">
        <v>0</v>
      </c>
      <c r="G65" s="409">
        <v>0</v>
      </c>
      <c r="H65" s="231">
        <f>E65-2!AA14</f>
        <v>0</v>
      </c>
      <c r="I65" s="231">
        <f>F65-2!AB14</f>
        <v>0</v>
      </c>
      <c r="J65" s="231">
        <f>G65-2!AC14</f>
        <v>0</v>
      </c>
    </row>
    <row r="66" spans="1:7" ht="15.75">
      <c r="A66" s="304" t="s">
        <v>294</v>
      </c>
      <c r="B66" s="38"/>
      <c r="C66" s="122" t="s">
        <v>345</v>
      </c>
      <c r="D66" s="122"/>
      <c r="E66" s="122"/>
      <c r="F66" s="409"/>
      <c r="G66" s="409"/>
    </row>
    <row r="67" spans="1:10" ht="15.75">
      <c r="A67" s="304" t="s">
        <v>295</v>
      </c>
      <c r="B67" s="434"/>
      <c r="C67" s="122" t="s">
        <v>407</v>
      </c>
      <c r="D67" s="122"/>
      <c r="E67" s="122">
        <f>SUM(E68:E70)</f>
        <v>0</v>
      </c>
      <c r="F67" s="409">
        <f>SUM(F68:F70)</f>
        <v>2483270</v>
      </c>
      <c r="G67" s="409">
        <f>SUM(G68:G69)</f>
        <v>439254</v>
      </c>
      <c r="H67" s="231">
        <f>E67-2!AA13</f>
        <v>0</v>
      </c>
      <c r="I67" s="231">
        <f>F67-2!AB13</f>
        <v>0</v>
      </c>
      <c r="J67" s="231">
        <f>G67-2!AC13</f>
        <v>0</v>
      </c>
    </row>
    <row r="68" spans="1:7" ht="15.75">
      <c r="A68" s="304" t="s">
        <v>296</v>
      </c>
      <c r="B68" s="434"/>
      <c r="C68" s="175" t="s">
        <v>408</v>
      </c>
      <c r="D68" s="175"/>
      <c r="E68" s="175">
        <v>0</v>
      </c>
      <c r="F68" s="134">
        <v>2342518</v>
      </c>
      <c r="G68" s="134">
        <v>408931</v>
      </c>
    </row>
    <row r="69" spans="1:7" ht="15.75">
      <c r="A69" s="304" t="s">
        <v>297</v>
      </c>
      <c r="B69" s="434"/>
      <c r="C69" s="175" t="s">
        <v>405</v>
      </c>
      <c r="D69" s="175"/>
      <c r="E69" s="175">
        <v>0</v>
      </c>
      <c r="F69" s="134">
        <v>140752</v>
      </c>
      <c r="G69" s="134">
        <v>30323</v>
      </c>
    </row>
    <row r="70" spans="1:7" ht="15.75">
      <c r="A70" s="304" t="s">
        <v>298</v>
      </c>
      <c r="B70" s="38"/>
      <c r="C70" s="175"/>
      <c r="D70" s="175"/>
      <c r="E70" s="175"/>
      <c r="F70" s="134"/>
      <c r="G70" s="134"/>
    </row>
    <row r="71" spans="1:10" ht="15.75">
      <c r="A71" s="304" t="s">
        <v>299</v>
      </c>
      <c r="B71" s="434"/>
      <c r="C71" s="122" t="s">
        <v>409</v>
      </c>
      <c r="D71" s="122"/>
      <c r="E71" s="122">
        <f>SUM(E72:E77)</f>
        <v>0</v>
      </c>
      <c r="F71" s="409">
        <f>SUM(F72:F77)</f>
        <v>3288305</v>
      </c>
      <c r="G71" s="409">
        <f>SUM(G72:G77)</f>
        <v>3188718</v>
      </c>
      <c r="H71" s="231">
        <f>E71-2!AA16</f>
        <v>0</v>
      </c>
      <c r="I71" s="231">
        <f>F71-2!AB16</f>
        <v>0</v>
      </c>
      <c r="J71" s="231">
        <f>G71-2!AC16</f>
        <v>0</v>
      </c>
    </row>
    <row r="72" spans="1:7" ht="15.75">
      <c r="A72" s="304" t="s">
        <v>300</v>
      </c>
      <c r="B72" s="38"/>
      <c r="C72" s="175" t="s">
        <v>403</v>
      </c>
      <c r="D72" s="175"/>
      <c r="E72" s="175">
        <v>0</v>
      </c>
      <c r="F72" s="134">
        <v>23000</v>
      </c>
      <c r="G72" s="134">
        <v>23000</v>
      </c>
    </row>
    <row r="73" spans="1:7" ht="15.75">
      <c r="A73" s="304" t="s">
        <v>301</v>
      </c>
      <c r="B73" s="38"/>
      <c r="C73" s="175" t="s">
        <v>404</v>
      </c>
      <c r="D73" s="175"/>
      <c r="E73" s="175">
        <v>0</v>
      </c>
      <c r="F73" s="134">
        <v>3018606</v>
      </c>
      <c r="G73" s="134">
        <v>2940191</v>
      </c>
    </row>
    <row r="74" spans="1:7" ht="15.75">
      <c r="A74" s="304" t="s">
        <v>302</v>
      </c>
      <c r="B74" s="38"/>
      <c r="C74" s="175" t="s">
        <v>405</v>
      </c>
      <c r="D74" s="175"/>
      <c r="E74" s="175">
        <v>0</v>
      </c>
      <c r="F74" s="134">
        <v>246699</v>
      </c>
      <c r="G74" s="134">
        <v>225527</v>
      </c>
    </row>
    <row r="75" spans="1:7" ht="15.75">
      <c r="A75" s="304" t="s">
        <v>303</v>
      </c>
      <c r="B75" s="38"/>
      <c r="C75" s="175" t="s">
        <v>410</v>
      </c>
      <c r="D75" s="175"/>
      <c r="E75" s="175">
        <v>0</v>
      </c>
      <c r="F75" s="134"/>
      <c r="G75" s="134"/>
    </row>
    <row r="76" spans="1:7" ht="15.75">
      <c r="A76" s="304" t="s">
        <v>304</v>
      </c>
      <c r="B76" s="38"/>
      <c r="C76" s="175" t="s">
        <v>411</v>
      </c>
      <c r="D76" s="175"/>
      <c r="E76" s="175">
        <v>0</v>
      </c>
      <c r="F76" s="134"/>
      <c r="G76" s="134"/>
    </row>
    <row r="77" spans="1:7" ht="15.75">
      <c r="A77" s="304" t="s">
        <v>305</v>
      </c>
      <c r="B77" s="38"/>
      <c r="C77" s="175"/>
      <c r="D77" s="175"/>
      <c r="E77" s="175"/>
      <c r="F77" s="134"/>
      <c r="G77" s="134"/>
    </row>
    <row r="78" spans="1:13" ht="15.75">
      <c r="A78" s="304" t="s">
        <v>306</v>
      </c>
      <c r="B78" s="434"/>
      <c r="C78" s="122" t="s">
        <v>412</v>
      </c>
      <c r="D78" s="122"/>
      <c r="E78" s="409">
        <f>SUM(E80:E85)</f>
        <v>0</v>
      </c>
      <c r="F78" s="409">
        <f>SUM(F80:F85)</f>
        <v>1373334362</v>
      </c>
      <c r="G78" s="409">
        <f>SUM(G80:G85)</f>
        <v>992760172</v>
      </c>
      <c r="H78" s="231">
        <f>E78+E45</f>
        <v>104777000</v>
      </c>
      <c r="I78" s="231">
        <f>F78+F45</f>
        <v>1470773676</v>
      </c>
      <c r="J78" s="231">
        <f>G78+G45</f>
        <v>1001418172</v>
      </c>
      <c r="K78" s="231">
        <f>H78-2!AA17</f>
        <v>0</v>
      </c>
      <c r="L78" s="231">
        <f>I78-2!AB17</f>
        <v>0</v>
      </c>
      <c r="M78" s="231">
        <f>J78-2!AC17</f>
        <v>0</v>
      </c>
    </row>
    <row r="79" spans="1:7" ht="15.75">
      <c r="A79" s="304" t="s">
        <v>307</v>
      </c>
      <c r="B79" s="434"/>
      <c r="C79" s="175" t="s">
        <v>413</v>
      </c>
      <c r="D79" s="175"/>
      <c r="E79" s="134">
        <v>0</v>
      </c>
      <c r="F79" s="134">
        <v>4585000</v>
      </c>
      <c r="G79" s="134">
        <v>4585000</v>
      </c>
    </row>
    <row r="80" spans="1:7" ht="15.75">
      <c r="A80" s="304" t="s">
        <v>308</v>
      </c>
      <c r="B80" s="38"/>
      <c r="C80" s="175" t="s">
        <v>397</v>
      </c>
      <c r="D80" s="175"/>
      <c r="E80" s="175">
        <v>0</v>
      </c>
      <c r="F80" s="134">
        <f>670643406-3500000</f>
        <v>667143406</v>
      </c>
      <c r="G80" s="134">
        <f>469807807-3500000</f>
        <v>466307807</v>
      </c>
    </row>
    <row r="81" spans="1:7" ht="15.75">
      <c r="A81" s="304" t="s">
        <v>309</v>
      </c>
      <c r="B81" s="38"/>
      <c r="C81" s="175" t="s">
        <v>398</v>
      </c>
      <c r="D81" s="175"/>
      <c r="E81" s="175">
        <v>0</v>
      </c>
      <c r="F81" s="134">
        <f>14489984-300000</f>
        <v>14189984</v>
      </c>
      <c r="G81" s="134">
        <f>14489984-300000</f>
        <v>14189984</v>
      </c>
    </row>
    <row r="82" spans="1:7" ht="15.75">
      <c r="A82" s="304" t="s">
        <v>419</v>
      </c>
      <c r="B82" s="38"/>
      <c r="C82" s="175" t="s">
        <v>399</v>
      </c>
      <c r="D82" s="175"/>
      <c r="E82" s="175">
        <v>0</v>
      </c>
      <c r="F82" s="134">
        <v>34359428</v>
      </c>
      <c r="G82" s="134">
        <f>28331227-250000</f>
        <v>28081227</v>
      </c>
    </row>
    <row r="83" spans="1:7" ht="15.75">
      <c r="A83" s="304" t="s">
        <v>420</v>
      </c>
      <c r="B83" s="38"/>
      <c r="C83" s="175" t="s">
        <v>400</v>
      </c>
      <c r="D83" s="175"/>
      <c r="E83" s="175">
        <v>0</v>
      </c>
      <c r="F83" s="134">
        <f>5150245+43636474+181073720</f>
        <v>229860439</v>
      </c>
      <c r="G83" s="134">
        <f>5150245+43636474+126848108</f>
        <v>175634827</v>
      </c>
    </row>
    <row r="84" spans="1:7" ht="15.75">
      <c r="A84" s="304" t="s">
        <v>421</v>
      </c>
      <c r="B84" s="38"/>
      <c r="C84" s="175" t="s">
        <v>410</v>
      </c>
      <c r="D84" s="175"/>
      <c r="E84" s="175">
        <v>0</v>
      </c>
      <c r="F84" s="134">
        <v>337281609</v>
      </c>
      <c r="G84" s="134">
        <v>243395959</v>
      </c>
    </row>
    <row r="85" spans="1:7" ht="15.75">
      <c r="A85" s="304" t="s">
        <v>486</v>
      </c>
      <c r="B85" s="38"/>
      <c r="C85" s="175" t="s">
        <v>411</v>
      </c>
      <c r="D85" s="175"/>
      <c r="E85" s="175">
        <v>0</v>
      </c>
      <c r="F85" s="134">
        <v>90499496</v>
      </c>
      <c r="G85" s="134">
        <v>65150368</v>
      </c>
    </row>
    <row r="86" spans="1:7" ht="22.5" customHeight="1">
      <c r="A86" s="304" t="s">
        <v>422</v>
      </c>
      <c r="B86" s="119" t="s">
        <v>551</v>
      </c>
      <c r="C86" s="122" t="s">
        <v>550</v>
      </c>
      <c r="D86" s="175"/>
      <c r="E86" s="409">
        <f>E78+E71+E67+E65+E60+E54</f>
        <v>0</v>
      </c>
      <c r="F86" s="409">
        <f>F78+F71+F67+F65+F60+F54</f>
        <v>1382429783</v>
      </c>
      <c r="G86" s="409">
        <f>G78+G71+G67+G65+G60+G54</f>
        <v>999711990</v>
      </c>
    </row>
    <row r="87" spans="1:7" ht="15.75" customHeight="1">
      <c r="A87" s="304" t="s">
        <v>423</v>
      </c>
      <c r="B87" s="119" t="s">
        <v>552</v>
      </c>
      <c r="C87" s="648" t="s">
        <v>107</v>
      </c>
      <c r="D87" s="637"/>
      <c r="E87" s="409">
        <f>SUM(E88:E89)</f>
        <v>0</v>
      </c>
      <c r="F87" s="409">
        <f>SUM(F88:F89)</f>
        <v>1000000</v>
      </c>
      <c r="G87" s="409">
        <f>SUM(G88:G89)</f>
        <v>1000000</v>
      </c>
    </row>
    <row r="88" spans="1:7" ht="15.75">
      <c r="A88" s="304" t="s">
        <v>424</v>
      </c>
      <c r="B88" s="38"/>
      <c r="C88" s="644" t="s">
        <v>453</v>
      </c>
      <c r="D88" s="645"/>
      <c r="E88" s="409">
        <v>0</v>
      </c>
      <c r="F88" s="134">
        <v>1000000</v>
      </c>
      <c r="G88" s="134">
        <v>1000000</v>
      </c>
    </row>
    <row r="89" spans="1:7" ht="15.75">
      <c r="A89" s="304" t="s">
        <v>425</v>
      </c>
      <c r="B89" s="38"/>
      <c r="C89" s="646" t="s">
        <v>454</v>
      </c>
      <c r="D89" s="647"/>
      <c r="E89" s="175"/>
      <c r="F89" s="134"/>
      <c r="G89" s="134"/>
    </row>
    <row r="90" spans="1:7" ht="23.25" customHeight="1">
      <c r="A90" s="304" t="s">
        <v>426</v>
      </c>
      <c r="B90" s="119" t="s">
        <v>548</v>
      </c>
      <c r="C90" s="122" t="s">
        <v>414</v>
      </c>
      <c r="D90" s="122"/>
      <c r="E90" s="409">
        <f>E86+E87</f>
        <v>0</v>
      </c>
      <c r="F90" s="409">
        <f>F86+F87</f>
        <v>1383429783</v>
      </c>
      <c r="G90" s="409">
        <f>G86+G87</f>
        <v>1000711990</v>
      </c>
    </row>
    <row r="91" spans="1:7" ht="22.5" customHeight="1">
      <c r="A91" s="304" t="s">
        <v>427</v>
      </c>
      <c r="B91" s="38"/>
      <c r="C91" s="122" t="s">
        <v>417</v>
      </c>
      <c r="D91" s="122"/>
      <c r="E91" s="409">
        <f>E90+E52</f>
        <v>121977000</v>
      </c>
      <c r="F91" s="409">
        <f>F52+F90</f>
        <v>1501966820</v>
      </c>
      <c r="G91" s="409">
        <f>G52+G90</f>
        <v>1014765213</v>
      </c>
    </row>
    <row r="92" spans="1:10" ht="25.5" customHeight="1">
      <c r="A92" s="304" t="s">
        <v>428</v>
      </c>
      <c r="B92" s="534" t="s">
        <v>415</v>
      </c>
      <c r="C92" s="122"/>
      <c r="D92" s="122"/>
      <c r="E92" s="409">
        <f aca="true" t="shared" si="0" ref="E92:G93">E45+E86</f>
        <v>104777000</v>
      </c>
      <c r="F92" s="409">
        <f t="shared" si="0"/>
        <v>1479869097</v>
      </c>
      <c r="G92" s="409">
        <f t="shared" si="0"/>
        <v>1008369990</v>
      </c>
      <c r="H92" s="231">
        <f>2!AA18-4!E78</f>
        <v>104777000</v>
      </c>
      <c r="I92" s="231">
        <f>2!AB18-4!F78</f>
        <v>106534735</v>
      </c>
      <c r="J92" s="231">
        <f>2!AC18-4!G78</f>
        <v>15609818</v>
      </c>
    </row>
    <row r="93" spans="1:7" ht="24.75" customHeight="1">
      <c r="A93" s="304" t="s">
        <v>429</v>
      </c>
      <c r="B93" s="534" t="s">
        <v>416</v>
      </c>
      <c r="C93" s="122"/>
      <c r="D93" s="122"/>
      <c r="E93" s="409">
        <f t="shared" si="0"/>
        <v>17200000</v>
      </c>
      <c r="F93" s="409">
        <f t="shared" si="0"/>
        <v>22097723</v>
      </c>
      <c r="G93" s="409">
        <f t="shared" si="0"/>
        <v>6395223</v>
      </c>
    </row>
    <row r="94" spans="5:7" ht="15.75" hidden="1">
      <c r="E94" s="544">
        <v>17200000</v>
      </c>
      <c r="F94" s="544">
        <v>22097723</v>
      </c>
      <c r="G94" s="544">
        <v>6395223</v>
      </c>
    </row>
    <row r="95" spans="5:7" ht="15.75" hidden="1">
      <c r="E95" s="231">
        <f>E93-E94</f>
        <v>0</v>
      </c>
      <c r="F95" s="231">
        <f>F93-F94</f>
        <v>0</v>
      </c>
      <c r="G95" s="231">
        <f>G93-G94</f>
        <v>0</v>
      </c>
    </row>
  </sheetData>
  <sheetProtection/>
  <mergeCells count="14">
    <mergeCell ref="C42:D42"/>
    <mergeCell ref="C10:D10"/>
    <mergeCell ref="F8:F9"/>
    <mergeCell ref="G8:G9"/>
    <mergeCell ref="C88:D88"/>
    <mergeCell ref="C89:D89"/>
    <mergeCell ref="C87:D87"/>
    <mergeCell ref="C46:D46"/>
    <mergeCell ref="B4:E4"/>
    <mergeCell ref="E8:E9"/>
    <mergeCell ref="C11:D11"/>
    <mergeCell ref="C13:D13"/>
    <mergeCell ref="A8:A9"/>
    <mergeCell ref="B8:D9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5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97"/>
  <sheetViews>
    <sheetView zoomScalePageLayoutView="0" workbookViewId="0" topLeftCell="A1">
      <pane xSplit="2" ySplit="10" topLeftCell="C53" activePane="bottomRight" state="frozen"/>
      <selection pane="topLeft" activeCell="J14" sqref="J13:J14"/>
      <selection pane="topRight" activeCell="J14" sqref="J13:J14"/>
      <selection pane="bottomLeft" activeCell="J14" sqref="J13:J14"/>
      <selection pane="bottomRight" activeCell="J14" sqref="J13:J14"/>
    </sheetView>
  </sheetViews>
  <sheetFormatPr defaultColWidth="8.8515625" defaultRowHeight="12.75"/>
  <cols>
    <col min="1" max="1" width="3.8515625" style="56" customWidth="1"/>
    <col min="2" max="2" width="4.28125" style="56" customWidth="1"/>
    <col min="3" max="3" width="7.140625" style="57" customWidth="1"/>
    <col min="4" max="4" width="82.00390625" style="58" customWidth="1"/>
    <col min="5" max="5" width="16.7109375" style="59" customWidth="1"/>
    <col min="6" max="6" width="15.00390625" style="56" customWidth="1"/>
    <col min="7" max="7" width="13.00390625" style="56" customWidth="1"/>
    <col min="8" max="9" width="15.7109375" style="56" customWidth="1"/>
    <col min="10" max="10" width="17.7109375" style="56" customWidth="1"/>
    <col min="11" max="11" width="8.8515625" style="56" customWidth="1"/>
    <col min="12" max="12" width="12.421875" style="56" customWidth="1"/>
    <col min="13" max="13" width="19.421875" style="56" customWidth="1"/>
    <col min="14" max="15" width="8.8515625" style="0" customWidth="1"/>
    <col min="16" max="16384" width="8.8515625" style="56" customWidth="1"/>
  </cols>
  <sheetData>
    <row r="1" spans="1:5" ht="15.75">
      <c r="A1" s="57"/>
      <c r="B1" s="57"/>
      <c r="D1" s="69"/>
      <c r="E1" s="55"/>
    </row>
    <row r="2" spans="3:7" ht="18.75" customHeight="1">
      <c r="C2" s="76"/>
      <c r="D2" s="76"/>
      <c r="E2" s="76"/>
      <c r="G2" s="120" t="s">
        <v>558</v>
      </c>
    </row>
    <row r="3" spans="2:5" ht="18.75" customHeight="1">
      <c r="B3" s="120"/>
      <c r="C3" s="2"/>
      <c r="D3" s="2"/>
      <c r="E3" s="2"/>
    </row>
    <row r="4" spans="1:7" ht="18.75" customHeight="1">
      <c r="A4" s="656"/>
      <c r="C4" s="657" t="s">
        <v>492</v>
      </c>
      <c r="D4" s="657"/>
      <c r="E4" s="657"/>
      <c r="F4" s="657"/>
      <c r="G4" s="657"/>
    </row>
    <row r="5" spans="1:5" ht="18.75" customHeight="1">
      <c r="A5" s="656"/>
      <c r="C5" s="657"/>
      <c r="D5" s="658"/>
      <c r="E5" s="658"/>
    </row>
    <row r="6" spans="1:7" ht="15.75" customHeight="1">
      <c r="A6" s="57"/>
      <c r="C6" s="68"/>
      <c r="D6" s="69"/>
      <c r="G6" s="435" t="s">
        <v>193</v>
      </c>
    </row>
    <row r="7" spans="1:7" ht="18.75" customHeight="1">
      <c r="A7" s="70"/>
      <c r="B7" s="70"/>
      <c r="C7" s="70" t="s">
        <v>0</v>
      </c>
      <c r="D7" s="70" t="s">
        <v>1</v>
      </c>
      <c r="E7" s="71" t="s">
        <v>2</v>
      </c>
      <c r="F7" s="71" t="s">
        <v>3</v>
      </c>
      <c r="G7" s="71" t="s">
        <v>4</v>
      </c>
    </row>
    <row r="8" spans="1:7" s="60" customFormat="1" ht="36.75" customHeight="1">
      <c r="A8" s="72" t="s">
        <v>10</v>
      </c>
      <c r="B8" s="653" t="s">
        <v>85</v>
      </c>
      <c r="C8" s="654"/>
      <c r="D8" s="655"/>
      <c r="E8" s="308" t="s">
        <v>142</v>
      </c>
      <c r="F8" s="308" t="s">
        <v>323</v>
      </c>
      <c r="G8" s="308" t="s">
        <v>94</v>
      </c>
    </row>
    <row r="9" spans="1:7" s="60" customFormat="1" ht="21" customHeight="1">
      <c r="A9" s="70" t="s">
        <v>15</v>
      </c>
      <c r="B9" s="653" t="s">
        <v>86</v>
      </c>
      <c r="C9" s="654"/>
      <c r="D9" s="654"/>
      <c r="E9" s="61"/>
      <c r="F9" s="61"/>
      <c r="G9" s="61"/>
    </row>
    <row r="10" spans="1:7" s="60" customFormat="1" ht="18.75" customHeight="1">
      <c r="A10" s="70" t="s">
        <v>21</v>
      </c>
      <c r="B10" s="650" t="s">
        <v>87</v>
      </c>
      <c r="C10" s="651"/>
      <c r="D10" s="652"/>
      <c r="E10" s="62"/>
      <c r="F10" s="62"/>
      <c r="G10" s="62"/>
    </row>
    <row r="11" spans="1:7" ht="18.75" customHeight="1">
      <c r="A11" s="70" t="s">
        <v>22</v>
      </c>
      <c r="B11" s="63"/>
      <c r="C11" s="100" t="s">
        <v>10</v>
      </c>
      <c r="D11" s="187" t="s">
        <v>268</v>
      </c>
      <c r="E11" s="188">
        <v>6534173</v>
      </c>
      <c r="F11" s="188">
        <v>6534173</v>
      </c>
      <c r="G11" s="188">
        <v>0</v>
      </c>
    </row>
    <row r="12" spans="1:7" ht="18.75" customHeight="1">
      <c r="A12" s="70" t="s">
        <v>51</v>
      </c>
      <c r="B12" s="63"/>
      <c r="C12" s="100" t="s">
        <v>15</v>
      </c>
      <c r="D12" s="187" t="s">
        <v>189</v>
      </c>
      <c r="E12" s="188">
        <v>770000</v>
      </c>
      <c r="F12" s="188">
        <v>770000</v>
      </c>
      <c r="G12" s="188">
        <v>0</v>
      </c>
    </row>
    <row r="13" spans="1:7" ht="18.75" customHeight="1">
      <c r="A13" s="70" t="s">
        <v>53</v>
      </c>
      <c r="B13" s="63"/>
      <c r="C13" s="100" t="s">
        <v>21</v>
      </c>
      <c r="D13" s="49" t="s">
        <v>184</v>
      </c>
      <c r="E13" s="188">
        <v>1000000</v>
      </c>
      <c r="F13" s="188">
        <v>1000000</v>
      </c>
      <c r="G13" s="188">
        <v>0</v>
      </c>
    </row>
    <row r="14" spans="1:7" ht="18.75" customHeight="1">
      <c r="A14" s="70" t="s">
        <v>47</v>
      </c>
      <c r="B14" s="63"/>
      <c r="C14" s="100" t="s">
        <v>22</v>
      </c>
      <c r="D14" s="187" t="s">
        <v>185</v>
      </c>
      <c r="E14" s="188">
        <v>1850000</v>
      </c>
      <c r="F14" s="188">
        <v>1850000</v>
      </c>
      <c r="G14" s="188">
        <v>0</v>
      </c>
    </row>
    <row r="15" spans="1:7" ht="18.75" customHeight="1">
      <c r="A15" s="70" t="s">
        <v>23</v>
      </c>
      <c r="B15" s="63"/>
      <c r="C15" s="100" t="s">
        <v>51</v>
      </c>
      <c r="D15" s="187" t="s">
        <v>197</v>
      </c>
      <c r="E15" s="188">
        <v>10771206</v>
      </c>
      <c r="F15" s="188">
        <v>14908878</v>
      </c>
      <c r="G15" s="188">
        <v>0</v>
      </c>
    </row>
    <row r="16" spans="1:11" ht="18.75" customHeight="1">
      <c r="A16" s="70" t="s">
        <v>25</v>
      </c>
      <c r="B16" s="63"/>
      <c r="C16" s="100" t="s">
        <v>53</v>
      </c>
      <c r="D16" s="187" t="s">
        <v>196</v>
      </c>
      <c r="E16" s="188">
        <v>6690206</v>
      </c>
      <c r="F16" s="188">
        <v>0</v>
      </c>
      <c r="G16" s="188">
        <v>0</v>
      </c>
      <c r="K16" s="451"/>
    </row>
    <row r="17" spans="1:7" ht="18.75" customHeight="1">
      <c r="A17" s="70" t="s">
        <v>27</v>
      </c>
      <c r="B17" s="63"/>
      <c r="C17" s="100" t="s">
        <v>47</v>
      </c>
      <c r="D17" s="187" t="s">
        <v>192</v>
      </c>
      <c r="E17" s="188">
        <v>5924000</v>
      </c>
      <c r="F17" s="188">
        <f>E17-3175595</f>
        <v>2748405</v>
      </c>
      <c r="G17" s="188">
        <v>0</v>
      </c>
    </row>
    <row r="18" spans="1:7" ht="18.75" customHeight="1">
      <c r="A18" s="70" t="s">
        <v>30</v>
      </c>
      <c r="B18" s="63"/>
      <c r="C18" s="100" t="s">
        <v>23</v>
      </c>
      <c r="D18" s="187" t="s">
        <v>269</v>
      </c>
      <c r="E18" s="188">
        <v>15000000</v>
      </c>
      <c r="F18" s="188">
        <v>-37602</v>
      </c>
      <c r="G18" s="188">
        <v>0</v>
      </c>
    </row>
    <row r="19" spans="1:7" ht="18.75" customHeight="1">
      <c r="A19" s="70" t="s">
        <v>48</v>
      </c>
      <c r="B19" s="63"/>
      <c r="C19" s="100" t="s">
        <v>25</v>
      </c>
      <c r="D19" s="187" t="s">
        <v>455</v>
      </c>
      <c r="E19" s="436">
        <v>0</v>
      </c>
      <c r="F19" s="436">
        <v>1125000</v>
      </c>
      <c r="G19" s="436">
        <v>0</v>
      </c>
    </row>
    <row r="20" spans="1:7" ht="18.75" customHeight="1">
      <c r="A20" s="70" t="s">
        <v>32</v>
      </c>
      <c r="B20" s="63"/>
      <c r="C20" s="100" t="s">
        <v>27</v>
      </c>
      <c r="D20" s="187" t="s">
        <v>456</v>
      </c>
      <c r="E20" s="436">
        <v>0</v>
      </c>
      <c r="F20" s="436">
        <v>8815033</v>
      </c>
      <c r="G20" s="436">
        <v>0</v>
      </c>
    </row>
    <row r="21" spans="1:7" ht="18.75" customHeight="1">
      <c r="A21" s="70" t="s">
        <v>34</v>
      </c>
      <c r="B21" s="63"/>
      <c r="C21" s="100" t="s">
        <v>30</v>
      </c>
      <c r="D21" s="187" t="s">
        <v>479</v>
      </c>
      <c r="E21" s="436">
        <v>0</v>
      </c>
      <c r="F21" s="463">
        <f>447710621-69446861+10517523</f>
        <v>388781283</v>
      </c>
      <c r="G21" s="436">
        <v>0</v>
      </c>
    </row>
    <row r="22" spans="1:7" ht="18.75" customHeight="1">
      <c r="A22" s="70" t="s">
        <v>58</v>
      </c>
      <c r="B22" s="63"/>
      <c r="C22" s="100" t="s">
        <v>48</v>
      </c>
      <c r="D22" s="187" t="s">
        <v>457</v>
      </c>
      <c r="E22" s="436">
        <v>0</v>
      </c>
      <c r="F22" s="436">
        <v>2476683</v>
      </c>
      <c r="G22" s="436">
        <v>0</v>
      </c>
    </row>
    <row r="23" spans="1:7" ht="18.75" customHeight="1">
      <c r="A23" s="70" t="s">
        <v>59</v>
      </c>
      <c r="B23" s="63"/>
      <c r="C23" s="100" t="s">
        <v>32</v>
      </c>
      <c r="D23" s="437" t="s">
        <v>458</v>
      </c>
      <c r="E23" s="436">
        <v>0</v>
      </c>
      <c r="F23" s="436">
        <v>-1137300</v>
      </c>
      <c r="G23" s="436">
        <v>0</v>
      </c>
    </row>
    <row r="24" spans="1:7" ht="18.75" customHeight="1">
      <c r="A24" s="70" t="s">
        <v>60</v>
      </c>
      <c r="B24" s="63"/>
      <c r="C24" s="100" t="s">
        <v>34</v>
      </c>
      <c r="D24" s="437" t="s">
        <v>459</v>
      </c>
      <c r="E24" s="436">
        <v>0</v>
      </c>
      <c r="F24" s="436">
        <v>-7000000</v>
      </c>
      <c r="G24" s="436">
        <v>0</v>
      </c>
    </row>
    <row r="25" spans="1:7" ht="18.75" customHeight="1">
      <c r="A25" s="70" t="s">
        <v>61</v>
      </c>
      <c r="B25" s="63"/>
      <c r="C25" s="100" t="s">
        <v>58</v>
      </c>
      <c r="D25" s="469" t="s">
        <v>460</v>
      </c>
      <c r="E25" s="188">
        <v>0</v>
      </c>
      <c r="F25" s="436">
        <v>-300000</v>
      </c>
      <c r="G25" s="436">
        <v>0</v>
      </c>
    </row>
    <row r="26" spans="1:7" ht="18.75" customHeight="1">
      <c r="A26" s="70" t="s">
        <v>62</v>
      </c>
      <c r="B26" s="63"/>
      <c r="C26" s="100" t="s">
        <v>59</v>
      </c>
      <c r="D26" s="187" t="s">
        <v>461</v>
      </c>
      <c r="E26" s="436">
        <v>0</v>
      </c>
      <c r="F26" s="436">
        <v>-141322771</v>
      </c>
      <c r="G26" s="436">
        <v>0</v>
      </c>
    </row>
    <row r="27" spans="1:7" ht="18.75" customHeight="1">
      <c r="A27" s="70" t="s">
        <v>63</v>
      </c>
      <c r="B27" s="63"/>
      <c r="C27" s="100" t="s">
        <v>60</v>
      </c>
      <c r="D27" s="437" t="s">
        <v>462</v>
      </c>
      <c r="E27" s="436">
        <v>0</v>
      </c>
      <c r="F27" s="436">
        <v>146188947</v>
      </c>
      <c r="G27" s="436">
        <v>0</v>
      </c>
    </row>
    <row r="28" spans="1:7" ht="18.75" customHeight="1">
      <c r="A28" s="70" t="s">
        <v>64</v>
      </c>
      <c r="B28" s="63"/>
      <c r="C28" s="100" t="s">
        <v>61</v>
      </c>
      <c r="D28" s="437" t="s">
        <v>463</v>
      </c>
      <c r="E28" s="436">
        <v>0</v>
      </c>
      <c r="F28" s="436">
        <v>-23000000</v>
      </c>
      <c r="G28" s="436">
        <v>0</v>
      </c>
    </row>
    <row r="29" spans="1:10" ht="18.75" customHeight="1">
      <c r="A29" s="70" t="s">
        <v>65</v>
      </c>
      <c r="B29" s="664" t="s">
        <v>110</v>
      </c>
      <c r="C29" s="665"/>
      <c r="D29" s="665"/>
      <c r="E29" s="64">
        <f>SUM(E11:E22)</f>
        <v>48539585</v>
      </c>
      <c r="F29" s="64">
        <f>SUM(F11:F28)</f>
        <v>402400729</v>
      </c>
      <c r="G29" s="64">
        <f>SUM(G11:G22)</f>
        <v>0</v>
      </c>
      <c r="H29" s="157"/>
      <c r="I29" s="157"/>
      <c r="J29" s="157"/>
    </row>
    <row r="30" spans="1:7" s="60" customFormat="1" ht="21" customHeight="1">
      <c r="A30" s="70" t="s">
        <v>67</v>
      </c>
      <c r="B30" s="666" t="s">
        <v>88</v>
      </c>
      <c r="C30" s="667"/>
      <c r="D30" s="667"/>
      <c r="E30" s="65"/>
      <c r="F30" s="65"/>
      <c r="G30" s="65"/>
    </row>
    <row r="31" spans="1:7" s="60" customFormat="1" ht="24" customHeight="1">
      <c r="A31" s="70" t="s">
        <v>70</v>
      </c>
      <c r="B31" s="668" t="s">
        <v>87</v>
      </c>
      <c r="C31" s="669"/>
      <c r="D31" s="669"/>
      <c r="E31" s="185"/>
      <c r="F31" s="185"/>
      <c r="G31" s="185"/>
    </row>
    <row r="32" spans="1:7" ht="20.25" customHeight="1">
      <c r="A32" s="70" t="s">
        <v>72</v>
      </c>
      <c r="B32" s="167"/>
      <c r="C32" s="100" t="s">
        <v>10</v>
      </c>
      <c r="D32" s="438" t="s">
        <v>248</v>
      </c>
      <c r="E32" s="439">
        <v>267500</v>
      </c>
      <c r="F32" s="439">
        <v>267500</v>
      </c>
      <c r="G32" s="440">
        <v>0</v>
      </c>
    </row>
    <row r="33" spans="1:7" ht="20.25" customHeight="1">
      <c r="A33" s="70" t="s">
        <v>74</v>
      </c>
      <c r="B33" s="63"/>
      <c r="C33" s="100" t="s">
        <v>15</v>
      </c>
      <c r="D33" s="438" t="s">
        <v>198</v>
      </c>
      <c r="E33" s="439">
        <v>48809743</v>
      </c>
      <c r="F33" s="439">
        <f>E33-25775898</f>
        <v>23033845</v>
      </c>
      <c r="G33" s="440">
        <v>0</v>
      </c>
    </row>
    <row r="34" spans="1:7" ht="18.75" customHeight="1">
      <c r="A34" s="70" t="s">
        <v>76</v>
      </c>
      <c r="B34" s="63"/>
      <c r="C34" s="100" t="s">
        <v>21</v>
      </c>
      <c r="D34" s="438" t="s">
        <v>249</v>
      </c>
      <c r="E34" s="439">
        <v>383772760</v>
      </c>
      <c r="F34" s="439">
        <v>0</v>
      </c>
      <c r="G34" s="440">
        <v>0</v>
      </c>
    </row>
    <row r="35" spans="1:7" ht="18.75" customHeight="1">
      <c r="A35" s="70" t="s">
        <v>77</v>
      </c>
      <c r="B35" s="63"/>
      <c r="C35" s="100" t="s">
        <v>22</v>
      </c>
      <c r="D35" s="438" t="s">
        <v>250</v>
      </c>
      <c r="E35" s="439">
        <v>78738</v>
      </c>
      <c r="F35" s="439">
        <f>E35-5200</f>
        <v>73538</v>
      </c>
      <c r="G35" s="440">
        <v>0</v>
      </c>
    </row>
    <row r="36" spans="1:7" ht="18.75" customHeight="1">
      <c r="A36" s="70" t="s">
        <v>78</v>
      </c>
      <c r="B36" s="63"/>
      <c r="C36" s="100" t="s">
        <v>51</v>
      </c>
      <c r="D36" s="438" t="s">
        <v>251</v>
      </c>
      <c r="E36" s="439">
        <v>290322891</v>
      </c>
      <c r="F36" s="439">
        <v>0</v>
      </c>
      <c r="G36" s="440">
        <v>0</v>
      </c>
    </row>
    <row r="37" spans="1:7" ht="18.75" customHeight="1">
      <c r="A37" s="70" t="s">
        <v>79</v>
      </c>
      <c r="B37" s="63"/>
      <c r="C37" s="100" t="s">
        <v>53</v>
      </c>
      <c r="D37" s="438" t="s">
        <v>252</v>
      </c>
      <c r="E37" s="439">
        <v>236974145</v>
      </c>
      <c r="F37" s="439">
        <f>E37-234995734</f>
        <v>1978411</v>
      </c>
      <c r="G37" s="440">
        <v>0</v>
      </c>
    </row>
    <row r="38" spans="1:7" ht="18.75" customHeight="1">
      <c r="A38" s="70" t="s">
        <v>84</v>
      </c>
      <c r="B38" s="63"/>
      <c r="C38" s="100" t="s">
        <v>47</v>
      </c>
      <c r="D38" s="438" t="s">
        <v>253</v>
      </c>
      <c r="E38" s="439">
        <v>102717623</v>
      </c>
      <c r="F38" s="439">
        <v>0</v>
      </c>
      <c r="G38" s="440">
        <v>0</v>
      </c>
    </row>
    <row r="39" spans="1:7" ht="18.75" customHeight="1">
      <c r="A39" s="70" t="s">
        <v>194</v>
      </c>
      <c r="B39" s="63"/>
      <c r="C39" s="100" t="s">
        <v>23</v>
      </c>
      <c r="D39" s="438" t="s">
        <v>254</v>
      </c>
      <c r="E39" s="439">
        <v>18264592</v>
      </c>
      <c r="F39" s="439">
        <v>0</v>
      </c>
      <c r="G39" s="440">
        <v>0</v>
      </c>
    </row>
    <row r="40" spans="1:7" ht="18.75" customHeight="1">
      <c r="A40" s="70" t="s">
        <v>108</v>
      </c>
      <c r="B40" s="63"/>
      <c r="C40" s="100" t="s">
        <v>25</v>
      </c>
      <c r="D40" s="438" t="s">
        <v>255</v>
      </c>
      <c r="E40" s="439">
        <v>361535</v>
      </c>
      <c r="F40" s="439">
        <f>E40-31750</f>
        <v>329785</v>
      </c>
      <c r="G40" s="440">
        <v>0</v>
      </c>
    </row>
    <row r="41" spans="1:7" ht="18.75" customHeight="1">
      <c r="A41" s="70" t="s">
        <v>195</v>
      </c>
      <c r="B41" s="63"/>
      <c r="C41" s="100" t="s">
        <v>27</v>
      </c>
      <c r="D41" s="438" t="s">
        <v>256</v>
      </c>
      <c r="E41" s="439">
        <v>560776</v>
      </c>
      <c r="F41" s="439">
        <v>560776</v>
      </c>
      <c r="G41" s="440">
        <v>0</v>
      </c>
    </row>
    <row r="42" spans="1:7" ht="18.75" customHeight="1">
      <c r="A42" s="70" t="s">
        <v>199</v>
      </c>
      <c r="B42" s="63"/>
      <c r="C42" s="100" t="s">
        <v>30</v>
      </c>
      <c r="D42" s="438" t="s">
        <v>257</v>
      </c>
      <c r="E42" s="439">
        <v>0</v>
      </c>
      <c r="F42" s="439">
        <v>0</v>
      </c>
      <c r="G42" s="440">
        <v>0</v>
      </c>
    </row>
    <row r="43" spans="1:7" ht="18.75" customHeight="1">
      <c r="A43" s="70" t="s">
        <v>278</v>
      </c>
      <c r="B43" s="63"/>
      <c r="C43" s="100" t="s">
        <v>48</v>
      </c>
      <c r="D43" s="438" t="s">
        <v>258</v>
      </c>
      <c r="E43" s="439">
        <v>119715867</v>
      </c>
      <c r="F43" s="439">
        <v>0</v>
      </c>
      <c r="G43" s="440">
        <v>0</v>
      </c>
    </row>
    <row r="44" spans="1:7" ht="18.75" customHeight="1">
      <c r="A44" s="70" t="s">
        <v>279</v>
      </c>
      <c r="B44" s="63"/>
      <c r="C44" s="100" t="s">
        <v>32</v>
      </c>
      <c r="D44" s="438" t="s">
        <v>259</v>
      </c>
      <c r="E44" s="439">
        <v>6395965</v>
      </c>
      <c r="F44" s="439">
        <v>6395965</v>
      </c>
      <c r="G44" s="440">
        <v>0</v>
      </c>
    </row>
    <row r="45" spans="1:7" ht="18.75" customHeight="1">
      <c r="A45" s="70" t="s">
        <v>280</v>
      </c>
      <c r="B45" s="63"/>
      <c r="C45" s="100" t="s">
        <v>34</v>
      </c>
      <c r="D45" s="438" t="s">
        <v>260</v>
      </c>
      <c r="E45" s="439">
        <v>107280</v>
      </c>
      <c r="F45" s="439">
        <v>0</v>
      </c>
      <c r="G45" s="440">
        <v>0</v>
      </c>
    </row>
    <row r="46" spans="1:7" ht="18.75" customHeight="1">
      <c r="A46" s="70" t="s">
        <v>281</v>
      </c>
      <c r="B46" s="63"/>
      <c r="C46" s="100" t="s">
        <v>58</v>
      </c>
      <c r="D46" s="438" t="s">
        <v>261</v>
      </c>
      <c r="E46" s="439">
        <v>87778372</v>
      </c>
      <c r="F46" s="659">
        <f>E46+E47-100575744</f>
        <v>7483403</v>
      </c>
      <c r="G46" s="440">
        <v>0</v>
      </c>
    </row>
    <row r="47" spans="1:13" ht="18.75" customHeight="1">
      <c r="A47" s="70" t="s">
        <v>200</v>
      </c>
      <c r="B47" s="63"/>
      <c r="C47" s="100" t="s">
        <v>59</v>
      </c>
      <c r="D47" s="438" t="s">
        <v>262</v>
      </c>
      <c r="E47" s="439">
        <v>20280775</v>
      </c>
      <c r="F47" s="660"/>
      <c r="G47" s="440">
        <v>0</v>
      </c>
      <c r="M47" s="184"/>
    </row>
    <row r="48" spans="1:7" ht="18.75" customHeight="1">
      <c r="A48" s="70" t="s">
        <v>109</v>
      </c>
      <c r="B48" s="63"/>
      <c r="C48" s="100" t="s">
        <v>60</v>
      </c>
      <c r="D48" s="438" t="s">
        <v>263</v>
      </c>
      <c r="E48" s="439">
        <v>217818</v>
      </c>
      <c r="F48" s="439">
        <v>217818</v>
      </c>
      <c r="G48" s="440">
        <v>0</v>
      </c>
    </row>
    <row r="49" spans="1:7" ht="18.75" customHeight="1">
      <c r="A49" s="70" t="s">
        <v>201</v>
      </c>
      <c r="B49" s="63"/>
      <c r="C49" s="100" t="s">
        <v>61</v>
      </c>
      <c r="D49" s="438" t="s">
        <v>264</v>
      </c>
      <c r="E49" s="439">
        <v>29999953</v>
      </c>
      <c r="F49" s="439">
        <v>29999953</v>
      </c>
      <c r="G49" s="440">
        <v>0</v>
      </c>
    </row>
    <row r="50" spans="1:7" ht="18.75" customHeight="1">
      <c r="A50" s="70" t="s">
        <v>204</v>
      </c>
      <c r="B50" s="63"/>
      <c r="C50" s="100" t="s">
        <v>62</v>
      </c>
      <c r="D50" s="438" t="s">
        <v>265</v>
      </c>
      <c r="E50" s="439">
        <v>867875</v>
      </c>
      <c r="F50" s="439">
        <v>867875</v>
      </c>
      <c r="G50" s="440">
        <v>0</v>
      </c>
    </row>
    <row r="51" spans="1:13" ht="18.75" customHeight="1">
      <c r="A51" s="70" t="s">
        <v>205</v>
      </c>
      <c r="B51" s="63"/>
      <c r="C51" s="100" t="s">
        <v>63</v>
      </c>
      <c r="D51" s="438" t="s">
        <v>266</v>
      </c>
      <c r="E51" s="439">
        <v>5</v>
      </c>
      <c r="F51" s="439">
        <v>5</v>
      </c>
      <c r="G51" s="440">
        <v>0</v>
      </c>
      <c r="M51" s="184"/>
    </row>
    <row r="52" spans="1:7" ht="18.75" customHeight="1">
      <c r="A52" s="70" t="s">
        <v>282</v>
      </c>
      <c r="B52" s="63"/>
      <c r="C52" s="100" t="s">
        <v>64</v>
      </c>
      <c r="D52" s="186" t="s">
        <v>246</v>
      </c>
      <c r="E52" s="415">
        <v>13937000</v>
      </c>
      <c r="F52" s="415">
        <v>13937000</v>
      </c>
      <c r="G52" s="440">
        <v>0</v>
      </c>
    </row>
    <row r="53" spans="1:7" ht="18.75" customHeight="1">
      <c r="A53" s="70" t="s">
        <v>283</v>
      </c>
      <c r="B53" s="63"/>
      <c r="C53" s="100" t="s">
        <v>65</v>
      </c>
      <c r="D53" s="186" t="s">
        <v>464</v>
      </c>
      <c r="E53" s="415">
        <v>2183651</v>
      </c>
      <c r="F53" s="415">
        <v>0</v>
      </c>
      <c r="G53" s="440">
        <v>0</v>
      </c>
    </row>
    <row r="54" spans="1:13" ht="18.75" customHeight="1">
      <c r="A54" s="70" t="s">
        <v>284</v>
      </c>
      <c r="B54" s="63"/>
      <c r="C54" s="100" t="s">
        <v>67</v>
      </c>
      <c r="D54" s="186" t="s">
        <v>247</v>
      </c>
      <c r="E54" s="415">
        <v>55682112</v>
      </c>
      <c r="F54" s="415">
        <f>E54-47607588</f>
        <v>8074524</v>
      </c>
      <c r="G54" s="440">
        <v>0</v>
      </c>
      <c r="M54" s="184"/>
    </row>
    <row r="55" spans="1:7" ht="18.75" customHeight="1">
      <c r="A55" s="70" t="s">
        <v>285</v>
      </c>
      <c r="B55" s="63"/>
      <c r="C55" s="100" t="s">
        <v>70</v>
      </c>
      <c r="D55" s="438" t="s">
        <v>267</v>
      </c>
      <c r="E55" s="439">
        <v>28484653</v>
      </c>
      <c r="F55" s="439">
        <v>0</v>
      </c>
      <c r="G55" s="440">
        <v>0</v>
      </c>
    </row>
    <row r="56" spans="1:7" ht="18.75" customHeight="1">
      <c r="A56" s="70" t="s">
        <v>286</v>
      </c>
      <c r="B56" s="63"/>
      <c r="C56" s="100" t="s">
        <v>72</v>
      </c>
      <c r="D56" s="438" t="s">
        <v>274</v>
      </c>
      <c r="E56" s="439">
        <v>15691455</v>
      </c>
      <c r="F56" s="439">
        <v>15691455</v>
      </c>
      <c r="G56" s="440">
        <v>0</v>
      </c>
    </row>
    <row r="57" spans="1:7" ht="18.75" customHeight="1">
      <c r="A57" s="70" t="s">
        <v>206</v>
      </c>
      <c r="B57" s="63"/>
      <c r="C57" s="100" t="s">
        <v>74</v>
      </c>
      <c r="D57" s="438" t="s">
        <v>273</v>
      </c>
      <c r="E57" s="439">
        <v>33500000</v>
      </c>
      <c r="F57" s="439">
        <v>33500000</v>
      </c>
      <c r="G57" s="440">
        <v>0</v>
      </c>
    </row>
    <row r="58" spans="1:7" ht="18.75" customHeight="1">
      <c r="A58" s="70" t="s">
        <v>287</v>
      </c>
      <c r="B58" s="63"/>
      <c r="C58" s="100" t="s">
        <v>76</v>
      </c>
      <c r="D58" s="453" t="s">
        <v>484</v>
      </c>
      <c r="E58" s="454"/>
      <c r="F58" s="464">
        <v>58929338</v>
      </c>
      <c r="G58" s="455"/>
    </row>
    <row r="59" spans="1:12" s="60" customFormat="1" ht="17.25" customHeight="1">
      <c r="A59" s="70" t="s">
        <v>288</v>
      </c>
      <c r="B59" s="66" t="s">
        <v>81</v>
      </c>
      <c r="C59" s="661" t="s">
        <v>111</v>
      </c>
      <c r="D59" s="662"/>
      <c r="E59" s="67">
        <f>SUM(E32:E58)</f>
        <v>1496973084</v>
      </c>
      <c r="F59" s="67">
        <f>SUM(F32:F58)</f>
        <v>201341191</v>
      </c>
      <c r="G59" s="67">
        <f>SUM(G32:G58)</f>
        <v>0</v>
      </c>
      <c r="H59" s="158"/>
      <c r="I59" s="158"/>
      <c r="J59" s="158"/>
      <c r="L59" s="158"/>
    </row>
    <row r="60" spans="1:7" s="60" customFormat="1" ht="21.75" customHeight="1">
      <c r="A60" s="70" t="s">
        <v>289</v>
      </c>
      <c r="B60" s="468" t="s">
        <v>82</v>
      </c>
      <c r="C60" s="663" t="s">
        <v>89</v>
      </c>
      <c r="D60" s="663"/>
      <c r="E60" s="442">
        <f>E29+E59</f>
        <v>1545512669</v>
      </c>
      <c r="F60" s="442">
        <f>F29+F59</f>
        <v>603741920</v>
      </c>
      <c r="G60" s="442">
        <f>G29+G59</f>
        <v>0</v>
      </c>
    </row>
    <row r="61" spans="3:6" ht="18.75" customHeight="1" hidden="1">
      <c r="C61" s="56"/>
      <c r="D61" s="56"/>
      <c r="E61" s="56"/>
      <c r="F61" s="443">
        <v>603741920</v>
      </c>
    </row>
    <row r="62" spans="3:6" ht="18.75" customHeight="1" hidden="1">
      <c r="C62" s="56"/>
      <c r="D62" s="56"/>
      <c r="E62" s="56"/>
      <c r="F62" s="444">
        <f>F61-F60</f>
        <v>0</v>
      </c>
    </row>
    <row r="63" spans="3:5" ht="18.75" customHeight="1">
      <c r="C63" s="56"/>
      <c r="D63" s="56"/>
      <c r="E63" s="56"/>
    </row>
    <row r="64" spans="3:6" ht="18.75" customHeight="1">
      <c r="C64" s="56"/>
      <c r="D64" s="445" t="s">
        <v>465</v>
      </c>
      <c r="E64" s="446">
        <v>22447455</v>
      </c>
      <c r="F64" s="447"/>
    </row>
    <row r="65" spans="3:9" ht="18.75" customHeight="1">
      <c r="C65" s="56"/>
      <c r="D65" s="445" t="s">
        <v>466</v>
      </c>
      <c r="E65" s="446">
        <v>32235714</v>
      </c>
      <c r="F65" s="447"/>
      <c r="I65" s="60">
        <v>69446861</v>
      </c>
    </row>
    <row r="66" spans="3:9" ht="18.75" customHeight="1">
      <c r="C66" s="56"/>
      <c r="D66" s="445" t="s">
        <v>467</v>
      </c>
      <c r="E66" s="446">
        <v>22289623</v>
      </c>
      <c r="F66" s="447"/>
      <c r="I66" s="56">
        <v>10517523</v>
      </c>
    </row>
    <row r="67" spans="3:9" ht="18.75" customHeight="1">
      <c r="C67" s="56"/>
      <c r="D67" s="445" t="s">
        <v>468</v>
      </c>
      <c r="E67" s="446">
        <v>0</v>
      </c>
      <c r="F67" s="447"/>
      <c r="I67" s="56">
        <f>I65-I66</f>
        <v>58929338</v>
      </c>
    </row>
    <row r="68" spans="3:6" ht="38.25" customHeight="1">
      <c r="C68" s="58"/>
      <c r="D68" s="445" t="s">
        <v>469</v>
      </c>
      <c r="E68" s="446">
        <v>46573451</v>
      </c>
      <c r="F68" s="447"/>
    </row>
    <row r="69" spans="3:6" ht="18.75" customHeight="1">
      <c r="C69" s="56"/>
      <c r="D69" s="445" t="s">
        <v>470</v>
      </c>
      <c r="E69" s="446">
        <v>2579519</v>
      </c>
      <c r="F69" s="447"/>
    </row>
    <row r="70" spans="3:6" ht="18.75" customHeight="1">
      <c r="C70" s="56"/>
      <c r="D70" s="445" t="s">
        <v>471</v>
      </c>
      <c r="E70" s="448">
        <v>5525699</v>
      </c>
      <c r="F70" s="447"/>
    </row>
    <row r="71" spans="3:6" ht="18.75" customHeight="1">
      <c r="C71" s="56"/>
      <c r="D71" s="449" t="s">
        <v>472</v>
      </c>
      <c r="E71" s="448">
        <v>9671310</v>
      </c>
      <c r="F71" s="447"/>
    </row>
    <row r="72" spans="3:5" ht="18.75" customHeight="1">
      <c r="C72" s="56"/>
      <c r="D72" s="441" t="s">
        <v>116</v>
      </c>
      <c r="E72" s="450">
        <f>SUM(E64:E71)</f>
        <v>141322771</v>
      </c>
    </row>
    <row r="73" spans="3:5" ht="18.75" customHeight="1">
      <c r="C73" s="56"/>
      <c r="D73" s="56"/>
      <c r="E73" s="56"/>
    </row>
    <row r="74" spans="3:5" ht="18.75" customHeight="1">
      <c r="C74" s="56"/>
      <c r="D74" s="56"/>
      <c r="E74" s="56"/>
    </row>
    <row r="75" spans="3:5" ht="18.75" customHeight="1">
      <c r="C75" s="56"/>
      <c r="D75" s="56" t="s">
        <v>475</v>
      </c>
      <c r="E75" s="443">
        <v>1978000</v>
      </c>
    </row>
    <row r="76" spans="3:5" ht="18.75" customHeight="1">
      <c r="C76" s="56"/>
      <c r="D76" s="56" t="s">
        <v>476</v>
      </c>
      <c r="E76" s="443">
        <v>30889596</v>
      </c>
    </row>
    <row r="77" spans="3:5" ht="18.75" customHeight="1">
      <c r="C77" s="56"/>
      <c r="D77" s="56" t="s">
        <v>477</v>
      </c>
      <c r="E77" s="443">
        <v>38557265</v>
      </c>
    </row>
    <row r="78" spans="3:5" ht="18.75" customHeight="1">
      <c r="C78" s="56"/>
      <c r="D78" s="56" t="s">
        <v>478</v>
      </c>
      <c r="E78" s="443">
        <v>112639546</v>
      </c>
    </row>
    <row r="79" spans="3:5" ht="18.75" customHeight="1">
      <c r="C79" s="56"/>
      <c r="D79" s="56"/>
      <c r="E79" s="56"/>
    </row>
    <row r="80" spans="3:5" ht="18.75" customHeight="1">
      <c r="C80" s="56"/>
      <c r="D80" s="56"/>
      <c r="E80" s="56"/>
    </row>
    <row r="81" spans="3:5" ht="18.75" customHeight="1">
      <c r="C81" s="56"/>
      <c r="D81" s="56"/>
      <c r="E81" s="56"/>
    </row>
    <row r="82" spans="3:5" ht="18.75" customHeight="1">
      <c r="C82" s="56"/>
      <c r="D82" s="56"/>
      <c r="E82" s="56"/>
    </row>
    <row r="83" spans="3:5" ht="18.75" customHeight="1">
      <c r="C83" s="56"/>
      <c r="D83" s="56"/>
      <c r="E83" s="56"/>
    </row>
    <row r="84" spans="3:5" ht="18.75" customHeight="1">
      <c r="C84" s="56"/>
      <c r="D84" s="56"/>
      <c r="E84" s="56"/>
    </row>
    <row r="85" spans="3:5" ht="18.75" customHeight="1">
      <c r="C85" s="56"/>
      <c r="D85" s="56"/>
      <c r="E85" s="56"/>
    </row>
    <row r="86" spans="3:5" ht="18.75" customHeight="1">
      <c r="C86" s="56"/>
      <c r="D86" s="56"/>
      <c r="E86" s="56"/>
    </row>
    <row r="87" spans="3:5" ht="18.75" customHeight="1">
      <c r="C87" s="56"/>
      <c r="D87" s="56"/>
      <c r="E87" s="56"/>
    </row>
    <row r="88" spans="3:5" ht="18.75" customHeight="1">
      <c r="C88" s="56"/>
      <c r="D88" s="56"/>
      <c r="E88" s="56"/>
    </row>
    <row r="89" spans="3:5" ht="18.75" customHeight="1">
      <c r="C89" s="56"/>
      <c r="D89" s="56"/>
      <c r="E89" s="56"/>
    </row>
    <row r="90" spans="3:5" ht="18.75" customHeight="1">
      <c r="C90" s="56"/>
      <c r="D90" s="56"/>
      <c r="E90" s="56"/>
    </row>
    <row r="91" spans="3:5" ht="18.75" customHeight="1">
      <c r="C91" s="56"/>
      <c r="D91" s="56"/>
      <c r="E91" s="56"/>
    </row>
    <row r="92" spans="3:5" ht="18.75" customHeight="1">
      <c r="C92" s="56"/>
      <c r="D92" s="56"/>
      <c r="E92" s="56"/>
    </row>
    <row r="93" spans="3:5" ht="18.75" customHeight="1">
      <c r="C93" s="56"/>
      <c r="D93" s="56"/>
      <c r="E93" s="56"/>
    </row>
    <row r="94" spans="3:5" ht="18.75" customHeight="1">
      <c r="C94" s="56"/>
      <c r="D94" s="56"/>
      <c r="E94" s="56"/>
    </row>
    <row r="95" spans="3:5" ht="18.75" customHeight="1">
      <c r="C95" s="56"/>
      <c r="D95" s="56"/>
      <c r="E95" s="56"/>
    </row>
    <row r="96" spans="3:5" ht="18.75" customHeight="1">
      <c r="C96" s="56"/>
      <c r="D96" s="56"/>
      <c r="E96" s="56"/>
    </row>
    <row r="97" spans="3:5" ht="18.75" customHeight="1">
      <c r="C97" s="56"/>
      <c r="D97" s="56"/>
      <c r="E97" s="56"/>
    </row>
  </sheetData>
  <sheetProtection/>
  <mergeCells count="12">
    <mergeCell ref="F46:F47"/>
    <mergeCell ref="C59:D59"/>
    <mergeCell ref="C60:D60"/>
    <mergeCell ref="B29:D29"/>
    <mergeCell ref="B30:D30"/>
    <mergeCell ref="B31:D31"/>
    <mergeCell ref="B10:D10"/>
    <mergeCell ref="B8:D8"/>
    <mergeCell ref="B9:D9"/>
    <mergeCell ref="A4:A5"/>
    <mergeCell ref="C5:E5"/>
    <mergeCell ref="C4:G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18"/>
  <sheetViews>
    <sheetView zoomScalePageLayoutView="0" workbookViewId="0" topLeftCell="A1">
      <selection activeCell="J14" sqref="J13:J14"/>
    </sheetView>
  </sheetViews>
  <sheetFormatPr defaultColWidth="9.140625" defaultRowHeight="12.75"/>
  <cols>
    <col min="1" max="1" width="4.00390625" style="471" customWidth="1"/>
    <col min="2" max="2" width="34.421875" style="471" customWidth="1"/>
    <col min="3" max="3" width="9.57421875" style="471" customWidth="1"/>
    <col min="4" max="4" width="9.00390625" style="471" customWidth="1"/>
    <col min="5" max="5" width="10.57421875" style="471" customWidth="1"/>
    <col min="6" max="6" width="8.7109375" style="471" customWidth="1"/>
    <col min="7" max="7" width="7.8515625" style="471" customWidth="1"/>
    <col min="8" max="8" width="8.7109375" style="471" customWidth="1"/>
    <col min="9" max="9" width="7.8515625" style="471" customWidth="1"/>
    <col min="10" max="10" width="9.140625" style="471" customWidth="1"/>
    <col min="11" max="11" width="10.421875" style="471" customWidth="1"/>
    <col min="12" max="12" width="8.28125" style="471" customWidth="1"/>
    <col min="13" max="13" width="7.421875" style="471" customWidth="1"/>
    <col min="14" max="14" width="13.00390625" style="471" customWidth="1"/>
    <col min="15" max="15" width="9.57421875" style="471" customWidth="1"/>
    <col min="16" max="16384" width="9.140625" style="471" customWidth="1"/>
  </cols>
  <sheetData>
    <row r="1" spans="1:14" ht="23.25" customHeight="1">
      <c r="A1" s="470"/>
      <c r="B1" s="56"/>
      <c r="C1" s="56"/>
      <c r="D1" s="56"/>
      <c r="E1" s="56"/>
      <c r="F1" s="90"/>
      <c r="G1" s="90"/>
      <c r="H1" s="90"/>
      <c r="I1" s="90"/>
      <c r="J1" s="90"/>
      <c r="K1" s="90"/>
      <c r="L1" s="90"/>
      <c r="M1" s="90"/>
      <c r="N1" s="120" t="s">
        <v>485</v>
      </c>
    </row>
    <row r="2" spans="1:14" ht="15" customHeight="1">
      <c r="A2" s="470"/>
      <c r="B2" s="56"/>
      <c r="C2" s="56"/>
      <c r="D2" s="56"/>
      <c r="E2" s="56"/>
      <c r="F2" s="106"/>
      <c r="G2" s="106"/>
      <c r="H2" s="106"/>
      <c r="I2" s="106"/>
      <c r="J2" s="106"/>
      <c r="K2" s="106"/>
      <c r="L2" s="106"/>
      <c r="M2" s="107"/>
      <c r="N2" s="107"/>
    </row>
    <row r="3" spans="1:14" ht="22.5" customHeight="1">
      <c r="A3" s="672" t="s">
        <v>493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</row>
    <row r="4" spans="1:15" ht="21.75" customHeight="1" thickBot="1">
      <c r="A4" s="108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470"/>
    </row>
    <row r="5" spans="1:15" ht="16.5" customHeight="1">
      <c r="A5" s="199"/>
      <c r="B5" s="200" t="s">
        <v>1</v>
      </c>
      <c r="C5" s="200" t="s">
        <v>2</v>
      </c>
      <c r="D5" s="200" t="s">
        <v>3</v>
      </c>
      <c r="E5" s="200" t="s">
        <v>4</v>
      </c>
      <c r="F5" s="200" t="s">
        <v>5</v>
      </c>
      <c r="G5" s="200" t="s">
        <v>80</v>
      </c>
      <c r="H5" s="200" t="s">
        <v>6</v>
      </c>
      <c r="I5" s="200" t="s">
        <v>7</v>
      </c>
      <c r="J5" s="200" t="s">
        <v>38</v>
      </c>
      <c r="K5" s="200" t="s">
        <v>8</v>
      </c>
      <c r="L5" s="200" t="s">
        <v>91</v>
      </c>
      <c r="M5" s="200" t="s">
        <v>39</v>
      </c>
      <c r="N5" s="201" t="s">
        <v>9</v>
      </c>
      <c r="O5" s="108"/>
    </row>
    <row r="6" spans="1:15" ht="15.75" customHeight="1">
      <c r="A6" s="673">
        <v>1</v>
      </c>
      <c r="B6" s="676" t="s">
        <v>11</v>
      </c>
      <c r="C6" s="670" t="s">
        <v>145</v>
      </c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1"/>
      <c r="O6" s="470"/>
    </row>
    <row r="7" spans="1:14" ht="19.5" customHeight="1">
      <c r="A7" s="674"/>
      <c r="B7" s="676"/>
      <c r="C7" s="670" t="s">
        <v>90</v>
      </c>
      <c r="D7" s="670"/>
      <c r="E7" s="670"/>
      <c r="F7" s="670"/>
      <c r="G7" s="670" t="s">
        <v>93</v>
      </c>
      <c r="H7" s="670"/>
      <c r="I7" s="670"/>
      <c r="J7" s="670"/>
      <c r="K7" s="670" t="s">
        <v>94</v>
      </c>
      <c r="L7" s="670"/>
      <c r="M7" s="670"/>
      <c r="N7" s="671"/>
    </row>
    <row r="8" spans="1:14" ht="120.75" customHeight="1">
      <c r="A8" s="675"/>
      <c r="B8" s="677"/>
      <c r="C8" s="98" t="s">
        <v>95</v>
      </c>
      <c r="D8" s="98" t="s">
        <v>96</v>
      </c>
      <c r="E8" s="99" t="s">
        <v>97</v>
      </c>
      <c r="F8" s="98" t="s">
        <v>98</v>
      </c>
      <c r="G8" s="98" t="s">
        <v>95</v>
      </c>
      <c r="H8" s="98" t="s">
        <v>96</v>
      </c>
      <c r="I8" s="99" t="s">
        <v>97</v>
      </c>
      <c r="J8" s="98" t="s">
        <v>98</v>
      </c>
      <c r="K8" s="98" t="s">
        <v>99</v>
      </c>
      <c r="L8" s="98" t="s">
        <v>96</v>
      </c>
      <c r="M8" s="99" t="s">
        <v>97</v>
      </c>
      <c r="N8" s="203" t="s">
        <v>98</v>
      </c>
    </row>
    <row r="9" spans="1:14" ht="30" customHeight="1">
      <c r="A9" s="202">
        <v>2</v>
      </c>
      <c r="B9" s="113" t="s">
        <v>151</v>
      </c>
      <c r="C9" s="114">
        <v>97</v>
      </c>
      <c r="D9" s="114">
        <v>11</v>
      </c>
      <c r="E9" s="115">
        <f>SUM(C9:D9)</f>
        <v>108</v>
      </c>
      <c r="F9" s="115">
        <v>104</v>
      </c>
      <c r="G9" s="101">
        <v>97</v>
      </c>
      <c r="H9" s="101">
        <v>11</v>
      </c>
      <c r="I9" s="102">
        <f>G9+H9</f>
        <v>108</v>
      </c>
      <c r="J9" s="102">
        <v>104</v>
      </c>
      <c r="K9" s="103">
        <v>94</v>
      </c>
      <c r="L9" s="103">
        <v>9</v>
      </c>
      <c r="M9" s="103">
        <v>103</v>
      </c>
      <c r="N9" s="204">
        <v>100</v>
      </c>
    </row>
    <row r="10" spans="1:14" ht="21" customHeight="1">
      <c r="A10" s="202">
        <v>3</v>
      </c>
      <c r="B10" s="116" t="s">
        <v>100</v>
      </c>
      <c r="C10" s="117">
        <v>17</v>
      </c>
      <c r="D10" s="117">
        <v>0</v>
      </c>
      <c r="E10" s="115">
        <f aca="true" t="shared" si="0" ref="E10:E15">SUM(C10:D10)</f>
        <v>17</v>
      </c>
      <c r="F10" s="115">
        <v>17</v>
      </c>
      <c r="G10" s="101">
        <v>17</v>
      </c>
      <c r="H10" s="101">
        <v>0</v>
      </c>
      <c r="I10" s="102">
        <f>G10+H10</f>
        <v>17</v>
      </c>
      <c r="J10" s="102">
        <v>17</v>
      </c>
      <c r="K10" s="104">
        <v>17</v>
      </c>
      <c r="L10" s="104">
        <v>0</v>
      </c>
      <c r="M10" s="105">
        <v>17</v>
      </c>
      <c r="N10" s="204">
        <v>17</v>
      </c>
    </row>
    <row r="11" spans="1:14" ht="21.75" customHeight="1">
      <c r="A11" s="202">
        <v>4</v>
      </c>
      <c r="B11" s="116" t="s">
        <v>28</v>
      </c>
      <c r="C11" s="114">
        <v>7</v>
      </c>
      <c r="D11" s="114">
        <v>1</v>
      </c>
      <c r="E11" s="115">
        <f>SUM(C11:D11)</f>
        <v>8</v>
      </c>
      <c r="F11" s="115">
        <v>8</v>
      </c>
      <c r="G11" s="101">
        <v>8</v>
      </c>
      <c r="H11" s="101">
        <v>0</v>
      </c>
      <c r="I11" s="102">
        <f>G11+H11</f>
        <v>8</v>
      </c>
      <c r="J11" s="102">
        <v>8</v>
      </c>
      <c r="K11" s="105">
        <v>8</v>
      </c>
      <c r="L11" s="105">
        <v>0</v>
      </c>
      <c r="M11" s="105">
        <v>8</v>
      </c>
      <c r="N11" s="204">
        <v>8</v>
      </c>
    </row>
    <row r="12" spans="1:14" ht="21.75" customHeight="1">
      <c r="A12" s="202">
        <v>5</v>
      </c>
      <c r="B12" s="116" t="s">
        <v>26</v>
      </c>
      <c r="C12" s="114">
        <v>2</v>
      </c>
      <c r="D12" s="114">
        <v>5</v>
      </c>
      <c r="E12" s="115">
        <f t="shared" si="0"/>
        <v>7</v>
      </c>
      <c r="F12" s="115">
        <v>5</v>
      </c>
      <c r="G12" s="101">
        <v>2</v>
      </c>
      <c r="H12" s="101">
        <v>5</v>
      </c>
      <c r="I12" s="102">
        <f>G12+H12</f>
        <v>7</v>
      </c>
      <c r="J12" s="102">
        <v>5</v>
      </c>
      <c r="K12" s="105">
        <v>2</v>
      </c>
      <c r="L12" s="105">
        <v>5</v>
      </c>
      <c r="M12" s="105">
        <v>7</v>
      </c>
      <c r="N12" s="204">
        <v>5</v>
      </c>
    </row>
    <row r="13" spans="1:14" ht="20.25" customHeight="1">
      <c r="A13" s="202">
        <v>6</v>
      </c>
      <c r="B13" s="118" t="s">
        <v>101</v>
      </c>
      <c r="C13" s="115">
        <f>SUM(C9:C12)</f>
        <v>123</v>
      </c>
      <c r="D13" s="115">
        <f>SUM(D9:D12)</f>
        <v>17</v>
      </c>
      <c r="E13" s="115">
        <f>SUM(E9:E12)</f>
        <v>140</v>
      </c>
      <c r="F13" s="115">
        <f>SUM(F9:F12)</f>
        <v>134</v>
      </c>
      <c r="G13" s="115">
        <f aca="true" t="shared" si="1" ref="G13:N13">SUM(G9:G12)</f>
        <v>124</v>
      </c>
      <c r="H13" s="115">
        <f t="shared" si="1"/>
        <v>16</v>
      </c>
      <c r="I13" s="115">
        <f t="shared" si="1"/>
        <v>140</v>
      </c>
      <c r="J13" s="115">
        <f t="shared" si="1"/>
        <v>134</v>
      </c>
      <c r="K13" s="115">
        <f t="shared" si="1"/>
        <v>121</v>
      </c>
      <c r="L13" s="115">
        <f t="shared" si="1"/>
        <v>14</v>
      </c>
      <c r="M13" s="115">
        <f t="shared" si="1"/>
        <v>135</v>
      </c>
      <c r="N13" s="204">
        <f t="shared" si="1"/>
        <v>130</v>
      </c>
    </row>
    <row r="14" spans="1:14" ht="23.25" customHeight="1">
      <c r="A14" s="202">
        <v>7</v>
      </c>
      <c r="B14" s="116" t="s">
        <v>31</v>
      </c>
      <c r="C14" s="114">
        <v>72</v>
      </c>
      <c r="D14" s="114">
        <v>0</v>
      </c>
      <c r="E14" s="115">
        <f>SUM(C14:D14)</f>
        <v>72</v>
      </c>
      <c r="F14" s="115">
        <v>72</v>
      </c>
      <c r="G14" s="102">
        <v>69</v>
      </c>
      <c r="H14" s="101">
        <v>0</v>
      </c>
      <c r="I14" s="102">
        <f>G14+H14</f>
        <v>69</v>
      </c>
      <c r="J14" s="102">
        <v>69</v>
      </c>
      <c r="K14" s="523">
        <v>63</v>
      </c>
      <c r="L14" s="523">
        <v>0</v>
      </c>
      <c r="M14" s="523">
        <f>SUM(K14:L14)</f>
        <v>63</v>
      </c>
      <c r="N14" s="524">
        <v>63</v>
      </c>
    </row>
    <row r="15" spans="1:14" ht="24" customHeight="1">
      <c r="A15" s="202">
        <v>8</v>
      </c>
      <c r="B15" s="116" t="s">
        <v>102</v>
      </c>
      <c r="C15" s="114">
        <v>11</v>
      </c>
      <c r="D15" s="114">
        <v>0</v>
      </c>
      <c r="E15" s="115">
        <f t="shared" si="0"/>
        <v>11</v>
      </c>
      <c r="F15" s="115">
        <v>11</v>
      </c>
      <c r="G15" s="102">
        <v>11</v>
      </c>
      <c r="H15" s="101">
        <v>0</v>
      </c>
      <c r="I15" s="102">
        <f>G15+H15</f>
        <v>11</v>
      </c>
      <c r="J15" s="102">
        <v>11</v>
      </c>
      <c r="K15" s="523">
        <v>9</v>
      </c>
      <c r="L15" s="523">
        <v>0</v>
      </c>
      <c r="M15" s="523">
        <f>SUM(K15:L15)</f>
        <v>9</v>
      </c>
      <c r="N15" s="525">
        <v>9</v>
      </c>
    </row>
    <row r="16" spans="1:14" ht="27" customHeight="1">
      <c r="A16" s="202">
        <v>9</v>
      </c>
      <c r="B16" s="118" t="s">
        <v>202</v>
      </c>
      <c r="C16" s="115">
        <f>SUM(C13:C15)</f>
        <v>206</v>
      </c>
      <c r="D16" s="115">
        <f>SUM(D13:D15)</f>
        <v>17</v>
      </c>
      <c r="E16" s="115">
        <f>SUM(E13:E15)</f>
        <v>223</v>
      </c>
      <c r="F16" s="115">
        <f>SUM(F13:F15)</f>
        <v>217</v>
      </c>
      <c r="G16" s="115">
        <f aca="true" t="shared" si="2" ref="G16:N16">SUM(G13:G15)</f>
        <v>204</v>
      </c>
      <c r="H16" s="115">
        <f t="shared" si="2"/>
        <v>16</v>
      </c>
      <c r="I16" s="115">
        <f t="shared" si="2"/>
        <v>220</v>
      </c>
      <c r="J16" s="115">
        <f t="shared" si="2"/>
        <v>214</v>
      </c>
      <c r="K16" s="115">
        <f t="shared" si="2"/>
        <v>193</v>
      </c>
      <c r="L16" s="115">
        <f t="shared" si="2"/>
        <v>14</v>
      </c>
      <c r="M16" s="115">
        <f t="shared" si="2"/>
        <v>207</v>
      </c>
      <c r="N16" s="204">
        <f t="shared" si="2"/>
        <v>202</v>
      </c>
    </row>
    <row r="17" spans="1:14" ht="26.25" customHeight="1">
      <c r="A17" s="202">
        <v>10</v>
      </c>
      <c r="B17" s="475" t="s">
        <v>487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8"/>
    </row>
    <row r="18" spans="1:14" s="474" customFormat="1" ht="23.25" customHeight="1" thickBot="1">
      <c r="A18" s="202">
        <v>11</v>
      </c>
      <c r="B18" s="472" t="s">
        <v>33</v>
      </c>
      <c r="C18" s="472">
        <v>131</v>
      </c>
      <c r="D18" s="472">
        <v>0</v>
      </c>
      <c r="E18" s="473">
        <f>SUM(C18:D18)</f>
        <v>131</v>
      </c>
      <c r="F18" s="472">
        <v>131</v>
      </c>
      <c r="G18" s="472">
        <v>131</v>
      </c>
      <c r="H18" s="472">
        <v>0</v>
      </c>
      <c r="I18" s="473">
        <v>131</v>
      </c>
      <c r="J18" s="473">
        <v>131</v>
      </c>
      <c r="K18" s="472">
        <v>128</v>
      </c>
      <c r="L18" s="472">
        <v>0</v>
      </c>
      <c r="M18" s="472">
        <v>128</v>
      </c>
      <c r="N18" s="526">
        <v>128</v>
      </c>
    </row>
    <row r="21" ht="16.5" customHeight="1"/>
    <row r="22" ht="15" customHeight="1"/>
  </sheetData>
  <sheetProtection/>
  <mergeCells count="8">
    <mergeCell ref="C7:F7"/>
    <mergeCell ref="G7:J7"/>
    <mergeCell ref="K7:N7"/>
    <mergeCell ref="A3:N3"/>
    <mergeCell ref="A6:A8"/>
    <mergeCell ref="B4:N4"/>
    <mergeCell ref="B6:B8"/>
    <mergeCell ref="C6:N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0"/>
  <sheetViews>
    <sheetView zoomScalePageLayoutView="0" workbookViewId="0" topLeftCell="A1">
      <pane xSplit="2" ySplit="10" topLeftCell="K11" activePane="bottomRight" state="frozen"/>
      <selection pane="topLeft" activeCell="J14" sqref="J13:J14"/>
      <selection pane="topRight" activeCell="J14" sqref="J13:J14"/>
      <selection pane="bottomLeft" activeCell="J14" sqref="J13:J14"/>
      <selection pane="bottomRight" activeCell="J14" sqref="J13:J14"/>
    </sheetView>
  </sheetViews>
  <sheetFormatPr defaultColWidth="9.140625" defaultRowHeight="12.75"/>
  <cols>
    <col min="1" max="1" width="4.00390625" style="147" customWidth="1"/>
    <col min="2" max="2" width="23.8515625" style="147" customWidth="1"/>
    <col min="3" max="3" width="13.140625" style="147" customWidth="1"/>
    <col min="4" max="4" width="13.8515625" style="147" customWidth="1"/>
    <col min="5" max="5" width="11.00390625" style="147" customWidth="1"/>
    <col min="6" max="6" width="17.140625" style="147" customWidth="1"/>
    <col min="7" max="7" width="18.8515625" style="147" customWidth="1"/>
    <col min="8" max="8" width="16.00390625" style="147" customWidth="1"/>
    <col min="9" max="9" width="14.28125" style="147" bestFit="1" customWidth="1"/>
    <col min="10" max="10" width="15.7109375" style="147" customWidth="1"/>
    <col min="11" max="11" width="13.140625" style="147" customWidth="1"/>
    <col min="12" max="12" width="15.8515625" style="147" customWidth="1"/>
    <col min="13" max="13" width="14.8515625" style="147" customWidth="1"/>
    <col min="14" max="14" width="15.57421875" style="147" customWidth="1"/>
    <col min="15" max="15" width="13.28125" style="147" customWidth="1"/>
    <col min="16" max="16" width="14.140625" style="147" customWidth="1"/>
    <col min="17" max="17" width="9.140625" style="147" customWidth="1"/>
    <col min="18" max="18" width="15.28125" style="147" customWidth="1"/>
    <col min="19" max="20" width="13.57421875" style="147" customWidth="1"/>
    <col min="21" max="21" width="15.00390625" style="147" customWidth="1"/>
    <col min="22" max="22" width="16.140625" style="147" customWidth="1"/>
    <col min="23" max="23" width="13.57421875" style="147" customWidth="1"/>
    <col min="24" max="24" width="14.7109375" style="147" customWidth="1"/>
    <col min="25" max="25" width="14.8515625" style="147" customWidth="1"/>
    <col min="26" max="26" width="13.57421875" style="147" customWidth="1"/>
    <col min="27" max="32" width="14.00390625" style="147" customWidth="1"/>
    <col min="33" max="16384" width="9.140625" style="147" customWidth="1"/>
  </cols>
  <sheetData>
    <row r="1" spans="1:26" ht="23.25" customHeight="1">
      <c r="A1" s="146"/>
      <c r="C1" s="56"/>
      <c r="D1" s="56"/>
      <c r="E1" s="56"/>
      <c r="F1" s="169"/>
      <c r="N1" s="120" t="s">
        <v>501</v>
      </c>
      <c r="Z1" s="120" t="s">
        <v>501</v>
      </c>
    </row>
    <row r="2" spans="1:6" ht="21.75" customHeight="1">
      <c r="A2" s="146"/>
      <c r="B2" s="56"/>
      <c r="C2" s="56"/>
      <c r="D2" s="56"/>
      <c r="E2" s="56"/>
      <c r="F2" s="148"/>
    </row>
    <row r="3" spans="2:26" s="173" customFormat="1" ht="42" customHeight="1">
      <c r="B3" s="465"/>
      <c r="C3" s="678" t="s">
        <v>494</v>
      </c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9" t="s">
        <v>494</v>
      </c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79"/>
    </row>
    <row r="4" spans="1:6" ht="15" customHeight="1">
      <c r="A4" s="149"/>
      <c r="B4" s="466"/>
      <c r="C4" s="466"/>
      <c r="D4" s="466"/>
      <c r="E4" s="466"/>
      <c r="F4" s="466"/>
    </row>
    <row r="5" spans="1:26" ht="21.75" customHeight="1">
      <c r="A5" s="149"/>
      <c r="B5" s="467"/>
      <c r="C5" s="467"/>
      <c r="D5" s="467"/>
      <c r="E5" s="467"/>
      <c r="F5" s="467"/>
      <c r="G5" s="146"/>
      <c r="N5" s="166" t="s">
        <v>193</v>
      </c>
      <c r="Z5" s="166" t="s">
        <v>193</v>
      </c>
    </row>
    <row r="6" spans="1:32" s="313" customFormat="1" ht="16.5" customHeight="1">
      <c r="A6" s="309"/>
      <c r="B6" s="310" t="s">
        <v>0</v>
      </c>
      <c r="C6" s="310" t="s">
        <v>1</v>
      </c>
      <c r="D6" s="310" t="s">
        <v>2</v>
      </c>
      <c r="E6" s="310" t="s">
        <v>3</v>
      </c>
      <c r="F6" s="310" t="s">
        <v>312</v>
      </c>
      <c r="G6" s="310" t="s">
        <v>5</v>
      </c>
      <c r="H6" s="310" t="s">
        <v>80</v>
      </c>
      <c r="I6" s="310" t="s">
        <v>6</v>
      </c>
      <c r="J6" s="310" t="s">
        <v>7</v>
      </c>
      <c r="K6" s="310" t="s">
        <v>38</v>
      </c>
      <c r="L6" s="310" t="s">
        <v>8</v>
      </c>
      <c r="M6" s="310" t="s">
        <v>91</v>
      </c>
      <c r="N6" s="310" t="s">
        <v>39</v>
      </c>
      <c r="O6" s="310" t="s">
        <v>1</v>
      </c>
      <c r="P6" s="310" t="s">
        <v>2</v>
      </c>
      <c r="Q6" s="310" t="s">
        <v>3</v>
      </c>
      <c r="R6" s="310" t="s">
        <v>312</v>
      </c>
      <c r="S6" s="310" t="s">
        <v>5</v>
      </c>
      <c r="T6" s="310" t="s">
        <v>80</v>
      </c>
      <c r="U6" s="310" t="s">
        <v>6</v>
      </c>
      <c r="V6" s="310" t="s">
        <v>7</v>
      </c>
      <c r="W6" s="310" t="s">
        <v>38</v>
      </c>
      <c r="X6" s="310" t="s">
        <v>8</v>
      </c>
      <c r="Y6" s="310" t="s">
        <v>91</v>
      </c>
      <c r="Z6" s="310" t="s">
        <v>39</v>
      </c>
      <c r="AA6" s="311"/>
      <c r="AB6" s="312"/>
      <c r="AC6" s="312"/>
      <c r="AD6" s="312"/>
      <c r="AE6" s="312"/>
      <c r="AF6" s="312"/>
    </row>
    <row r="7" spans="1:32" s="313" customFormat="1" ht="15.75" customHeight="1">
      <c r="A7" s="691" t="s">
        <v>10</v>
      </c>
      <c r="B7" s="693" t="s">
        <v>11</v>
      </c>
      <c r="C7" s="682" t="s">
        <v>186</v>
      </c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4"/>
      <c r="O7" s="682" t="s">
        <v>187</v>
      </c>
      <c r="P7" s="683"/>
      <c r="Q7" s="683"/>
      <c r="R7" s="683"/>
      <c r="S7" s="683"/>
      <c r="T7" s="683"/>
      <c r="U7" s="683"/>
      <c r="V7" s="683"/>
      <c r="W7" s="683"/>
      <c r="X7" s="683"/>
      <c r="Y7" s="683"/>
      <c r="Z7" s="684"/>
      <c r="AA7" s="312"/>
      <c r="AB7" s="312"/>
      <c r="AC7" s="312"/>
      <c r="AD7" s="312"/>
      <c r="AE7" s="312"/>
      <c r="AF7" s="312"/>
    </row>
    <row r="8" spans="1:32" s="313" customFormat="1" ht="19.5" customHeight="1">
      <c r="A8" s="691"/>
      <c r="B8" s="693"/>
      <c r="C8" s="685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7"/>
      <c r="O8" s="685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687"/>
      <c r="AA8" s="312"/>
      <c r="AB8" s="312"/>
      <c r="AC8" s="312"/>
      <c r="AD8" s="312"/>
      <c r="AE8" s="312"/>
      <c r="AF8" s="312"/>
    </row>
    <row r="9" spans="1:32" s="313" customFormat="1" ht="51.75" customHeight="1">
      <c r="A9" s="692"/>
      <c r="B9" s="694"/>
      <c r="C9" s="688" t="s">
        <v>112</v>
      </c>
      <c r="D9" s="689"/>
      <c r="E9" s="690"/>
      <c r="F9" s="688" t="s">
        <v>113</v>
      </c>
      <c r="G9" s="689"/>
      <c r="H9" s="690"/>
      <c r="I9" s="688" t="s">
        <v>114</v>
      </c>
      <c r="J9" s="689"/>
      <c r="K9" s="690"/>
      <c r="L9" s="688" t="s">
        <v>97</v>
      </c>
      <c r="M9" s="689"/>
      <c r="N9" s="690"/>
      <c r="O9" s="688" t="s">
        <v>112</v>
      </c>
      <c r="P9" s="689"/>
      <c r="Q9" s="690"/>
      <c r="R9" s="688" t="s">
        <v>113</v>
      </c>
      <c r="S9" s="689"/>
      <c r="T9" s="690"/>
      <c r="U9" s="688" t="s">
        <v>114</v>
      </c>
      <c r="V9" s="689"/>
      <c r="W9" s="690"/>
      <c r="X9" s="688" t="s">
        <v>97</v>
      </c>
      <c r="Y9" s="689"/>
      <c r="Z9" s="690"/>
      <c r="AA9" s="680" t="s">
        <v>337</v>
      </c>
      <c r="AB9" s="681"/>
      <c r="AC9" s="681"/>
      <c r="AD9" s="681" t="s">
        <v>338</v>
      </c>
      <c r="AE9" s="681"/>
      <c r="AF9" s="681"/>
    </row>
    <row r="10" spans="1:32" s="313" customFormat="1" ht="32.25" customHeight="1">
      <c r="A10" s="314">
        <v>2</v>
      </c>
      <c r="B10" s="315"/>
      <c r="C10" s="213" t="s">
        <v>142</v>
      </c>
      <c r="D10" s="213" t="s">
        <v>323</v>
      </c>
      <c r="E10" s="213" t="s">
        <v>94</v>
      </c>
      <c r="F10" s="216" t="s">
        <v>142</v>
      </c>
      <c r="G10" s="213" t="s">
        <v>323</v>
      </c>
      <c r="H10" s="213" t="s">
        <v>94</v>
      </c>
      <c r="I10" s="216" t="s">
        <v>142</v>
      </c>
      <c r="J10" s="213" t="s">
        <v>323</v>
      </c>
      <c r="K10" s="213" t="s">
        <v>94</v>
      </c>
      <c r="L10" s="216" t="s">
        <v>142</v>
      </c>
      <c r="M10" s="213" t="s">
        <v>323</v>
      </c>
      <c r="N10" s="213" t="s">
        <v>94</v>
      </c>
      <c r="O10" s="216" t="s">
        <v>142</v>
      </c>
      <c r="P10" s="213" t="s">
        <v>323</v>
      </c>
      <c r="Q10" s="213" t="s">
        <v>94</v>
      </c>
      <c r="R10" s="216" t="s">
        <v>142</v>
      </c>
      <c r="S10" s="213" t="s">
        <v>323</v>
      </c>
      <c r="T10" s="213" t="s">
        <v>94</v>
      </c>
      <c r="U10" s="216" t="s">
        <v>142</v>
      </c>
      <c r="V10" s="213" t="s">
        <v>323</v>
      </c>
      <c r="W10" s="213" t="s">
        <v>94</v>
      </c>
      <c r="X10" s="216" t="s">
        <v>142</v>
      </c>
      <c r="Y10" s="213" t="s">
        <v>323</v>
      </c>
      <c r="Z10" s="213" t="s">
        <v>94</v>
      </c>
      <c r="AA10" s="316" t="s">
        <v>142</v>
      </c>
      <c r="AB10" s="317" t="s">
        <v>323</v>
      </c>
      <c r="AC10" s="317" t="s">
        <v>94</v>
      </c>
      <c r="AD10" s="316" t="s">
        <v>142</v>
      </c>
      <c r="AE10" s="317" t="s">
        <v>323</v>
      </c>
      <c r="AF10" s="317" t="s">
        <v>94</v>
      </c>
    </row>
    <row r="11" spans="1:32" s="313" customFormat="1" ht="48.75" customHeight="1">
      <c r="A11" s="310">
        <v>3</v>
      </c>
      <c r="B11" s="318" t="s">
        <v>151</v>
      </c>
      <c r="C11" s="319"/>
      <c r="D11" s="320"/>
      <c r="E11" s="320"/>
      <c r="F11" s="320"/>
      <c r="G11" s="320"/>
      <c r="H11" s="320"/>
      <c r="I11" s="321">
        <v>674927249</v>
      </c>
      <c r="J11" s="321">
        <v>828399756</v>
      </c>
      <c r="K11" s="321">
        <v>468573853</v>
      </c>
      <c r="L11" s="321">
        <f aca="true" t="shared" si="0" ref="L11:N14">C11+F11+I11</f>
        <v>674927249</v>
      </c>
      <c r="M11" s="321">
        <f t="shared" si="0"/>
        <v>828399756</v>
      </c>
      <c r="N11" s="321">
        <f t="shared" si="0"/>
        <v>468573853</v>
      </c>
      <c r="O11" s="320"/>
      <c r="P11" s="320"/>
      <c r="Q11" s="320"/>
      <c r="R11" s="321"/>
      <c r="S11" s="321"/>
      <c r="T11" s="321"/>
      <c r="U11" s="321">
        <v>674927249</v>
      </c>
      <c r="V11" s="321">
        <v>828399756</v>
      </c>
      <c r="W11" s="321">
        <v>341079560</v>
      </c>
      <c r="X11" s="321">
        <f aca="true" t="shared" si="1" ref="X11:Z14">O11+R11+U11</f>
        <v>674927249</v>
      </c>
      <c r="Y11" s="321">
        <f t="shared" si="1"/>
        <v>828399756</v>
      </c>
      <c r="Z11" s="321">
        <f t="shared" si="1"/>
        <v>341079560</v>
      </c>
      <c r="AA11" s="322">
        <f>L11-1!AM11</f>
        <v>0</v>
      </c>
      <c r="AB11" s="322">
        <f>M11-1!AN11</f>
        <v>0</v>
      </c>
      <c r="AC11" s="322">
        <f>N11-1!AO11</f>
        <v>0</v>
      </c>
      <c r="AD11" s="322">
        <f>X11-2!AP11</f>
        <v>0</v>
      </c>
      <c r="AE11" s="322">
        <f>Y11-2!AQ11</f>
        <v>0</v>
      </c>
      <c r="AF11" s="322">
        <f>Z11-2!AR11</f>
        <v>0</v>
      </c>
    </row>
    <row r="12" spans="1:32" s="313" customFormat="1" ht="32.25" customHeight="1">
      <c r="A12" s="310">
        <v>4</v>
      </c>
      <c r="B12" s="318" t="s">
        <v>100</v>
      </c>
      <c r="C12" s="323"/>
      <c r="D12" s="323"/>
      <c r="E12" s="323"/>
      <c r="F12" s="323">
        <v>61259350</v>
      </c>
      <c r="G12" s="319">
        <v>57200778</v>
      </c>
      <c r="H12" s="319">
        <v>49086290</v>
      </c>
      <c r="I12" s="319">
        <v>60856775</v>
      </c>
      <c r="J12" s="319">
        <v>86407873</v>
      </c>
      <c r="K12" s="319">
        <v>36150086</v>
      </c>
      <c r="L12" s="321">
        <f t="shared" si="0"/>
        <v>122116125</v>
      </c>
      <c r="M12" s="321">
        <f t="shared" si="0"/>
        <v>143608651</v>
      </c>
      <c r="N12" s="321">
        <f t="shared" si="0"/>
        <v>85236376</v>
      </c>
      <c r="O12" s="323"/>
      <c r="P12" s="323"/>
      <c r="Q12" s="323"/>
      <c r="R12" s="323"/>
      <c r="S12" s="323"/>
      <c r="T12" s="323"/>
      <c r="U12" s="319">
        <v>122116125</v>
      </c>
      <c r="V12" s="319">
        <v>143608651</v>
      </c>
      <c r="W12" s="319">
        <v>68821987</v>
      </c>
      <c r="X12" s="321">
        <f t="shared" si="1"/>
        <v>122116125</v>
      </c>
      <c r="Y12" s="321">
        <f t="shared" si="1"/>
        <v>143608651</v>
      </c>
      <c r="Z12" s="321">
        <f t="shared" si="1"/>
        <v>68821987</v>
      </c>
      <c r="AA12" s="322">
        <f>L12-1!AM12</f>
        <v>0</v>
      </c>
      <c r="AB12" s="322">
        <f>M12-1!AN12</f>
        <v>0</v>
      </c>
      <c r="AC12" s="322">
        <f>N12-1!AO12</f>
        <v>0</v>
      </c>
      <c r="AD12" s="322">
        <f>X12-2!AP12</f>
        <v>0</v>
      </c>
      <c r="AE12" s="322">
        <f>Y12-2!AQ12</f>
        <v>0</v>
      </c>
      <c r="AF12" s="322">
        <f>Z12-2!AR12</f>
        <v>0</v>
      </c>
    </row>
    <row r="13" spans="1:32" s="313" customFormat="1" ht="32.25" customHeight="1">
      <c r="A13" s="310">
        <v>5</v>
      </c>
      <c r="B13" s="318" t="s">
        <v>28</v>
      </c>
      <c r="C13" s="319"/>
      <c r="D13" s="319"/>
      <c r="E13" s="319"/>
      <c r="F13" s="319">
        <v>40095000</v>
      </c>
      <c r="G13" s="319">
        <v>48003360</v>
      </c>
      <c r="H13" s="319">
        <v>28978459</v>
      </c>
      <c r="I13" s="319"/>
      <c r="J13" s="319"/>
      <c r="K13" s="319"/>
      <c r="L13" s="321">
        <f t="shared" si="0"/>
        <v>40095000</v>
      </c>
      <c r="M13" s="321">
        <f t="shared" si="0"/>
        <v>48003360</v>
      </c>
      <c r="N13" s="321">
        <f t="shared" si="0"/>
        <v>28978459</v>
      </c>
      <c r="O13" s="319"/>
      <c r="P13" s="319"/>
      <c r="Q13" s="319"/>
      <c r="R13" s="319">
        <v>40095000</v>
      </c>
      <c r="S13" s="319">
        <v>48003360</v>
      </c>
      <c r="T13" s="319">
        <v>24491347</v>
      </c>
      <c r="U13" s="319"/>
      <c r="V13" s="319"/>
      <c r="W13" s="319"/>
      <c r="X13" s="321">
        <f t="shared" si="1"/>
        <v>40095000</v>
      </c>
      <c r="Y13" s="321">
        <f t="shared" si="1"/>
        <v>48003360</v>
      </c>
      <c r="Z13" s="321">
        <f t="shared" si="1"/>
        <v>24491347</v>
      </c>
      <c r="AA13" s="322">
        <f>L13-1!AM13</f>
        <v>0</v>
      </c>
      <c r="AB13" s="322">
        <f>M13-1!AN13</f>
        <v>0</v>
      </c>
      <c r="AC13" s="322">
        <f>N13-1!AO13</f>
        <v>0</v>
      </c>
      <c r="AD13" s="322">
        <f>X13-2!AP13</f>
        <v>0</v>
      </c>
      <c r="AE13" s="322">
        <f>Y13-2!AQ13</f>
        <v>0</v>
      </c>
      <c r="AF13" s="322">
        <f>Z13-2!AR13</f>
        <v>0</v>
      </c>
    </row>
    <row r="14" spans="1:32" s="313" customFormat="1" ht="32.25" customHeight="1">
      <c r="A14" s="310">
        <v>6</v>
      </c>
      <c r="B14" s="318" t="s">
        <v>26</v>
      </c>
      <c r="C14" s="319"/>
      <c r="D14" s="319"/>
      <c r="E14" s="319"/>
      <c r="F14" s="319"/>
      <c r="G14" s="319"/>
      <c r="H14" s="319"/>
      <c r="I14" s="319">
        <v>23320000</v>
      </c>
      <c r="J14" s="319">
        <v>25467952</v>
      </c>
      <c r="K14" s="319">
        <v>15217644</v>
      </c>
      <c r="L14" s="321">
        <f t="shared" si="0"/>
        <v>23320000</v>
      </c>
      <c r="M14" s="321">
        <f t="shared" si="0"/>
        <v>25467952</v>
      </c>
      <c r="N14" s="321">
        <f t="shared" si="0"/>
        <v>15217644</v>
      </c>
      <c r="O14" s="319"/>
      <c r="P14" s="319"/>
      <c r="Q14" s="319"/>
      <c r="R14" s="319"/>
      <c r="S14" s="319"/>
      <c r="T14" s="319"/>
      <c r="U14" s="319">
        <v>23320000</v>
      </c>
      <c r="V14" s="319">
        <v>25467952</v>
      </c>
      <c r="W14" s="319">
        <v>12823367</v>
      </c>
      <c r="X14" s="321">
        <f t="shared" si="1"/>
        <v>23320000</v>
      </c>
      <c r="Y14" s="321">
        <f t="shared" si="1"/>
        <v>25467952</v>
      </c>
      <c r="Z14" s="321">
        <f t="shared" si="1"/>
        <v>12823367</v>
      </c>
      <c r="AA14" s="322">
        <f>L14-1!AM14</f>
        <v>0</v>
      </c>
      <c r="AB14" s="322">
        <f>M14-1!AN14</f>
        <v>0</v>
      </c>
      <c r="AC14" s="322">
        <f>N14-1!AO14</f>
        <v>0</v>
      </c>
      <c r="AD14" s="322">
        <f>X14-2!AP14</f>
        <v>0</v>
      </c>
      <c r="AE14" s="322">
        <f>Y14-2!AQ14</f>
        <v>0</v>
      </c>
      <c r="AF14" s="322">
        <f>Z14-2!AR14</f>
        <v>0</v>
      </c>
    </row>
    <row r="15" spans="1:32" s="327" customFormat="1" ht="48.75" customHeight="1">
      <c r="A15" s="324">
        <v>7</v>
      </c>
      <c r="B15" s="325" t="s">
        <v>339</v>
      </c>
      <c r="C15" s="326">
        <f>SUM(C11:C14)</f>
        <v>0</v>
      </c>
      <c r="D15" s="326">
        <f aca="true" t="shared" si="2" ref="D15:W15">SUM(D11:D14)</f>
        <v>0</v>
      </c>
      <c r="E15" s="326">
        <f t="shared" si="2"/>
        <v>0</v>
      </c>
      <c r="F15" s="326">
        <f t="shared" si="2"/>
        <v>101354350</v>
      </c>
      <c r="G15" s="326">
        <f t="shared" si="2"/>
        <v>105204138</v>
      </c>
      <c r="H15" s="326">
        <f t="shared" si="2"/>
        <v>78064749</v>
      </c>
      <c r="I15" s="326">
        <f t="shared" si="2"/>
        <v>759104024</v>
      </c>
      <c r="J15" s="326">
        <f t="shared" si="2"/>
        <v>940275581</v>
      </c>
      <c r="K15" s="326">
        <f t="shared" si="2"/>
        <v>519941583</v>
      </c>
      <c r="L15" s="326">
        <f t="shared" si="2"/>
        <v>860458374</v>
      </c>
      <c r="M15" s="326">
        <f t="shared" si="2"/>
        <v>1045479719</v>
      </c>
      <c r="N15" s="326">
        <f t="shared" si="2"/>
        <v>598006332</v>
      </c>
      <c r="O15" s="326">
        <f t="shared" si="2"/>
        <v>0</v>
      </c>
      <c r="P15" s="326">
        <f t="shared" si="2"/>
        <v>0</v>
      </c>
      <c r="Q15" s="326">
        <f t="shared" si="2"/>
        <v>0</v>
      </c>
      <c r="R15" s="326">
        <f t="shared" si="2"/>
        <v>40095000</v>
      </c>
      <c r="S15" s="326">
        <f t="shared" si="2"/>
        <v>48003360</v>
      </c>
      <c r="T15" s="326">
        <f t="shared" si="2"/>
        <v>24491347</v>
      </c>
      <c r="U15" s="326">
        <f t="shared" si="2"/>
        <v>820363374</v>
      </c>
      <c r="V15" s="326">
        <f t="shared" si="2"/>
        <v>997476359</v>
      </c>
      <c r="W15" s="326">
        <f t="shared" si="2"/>
        <v>422724914</v>
      </c>
      <c r="X15" s="326">
        <f>SUM(X11:X14)</f>
        <v>860458374</v>
      </c>
      <c r="Y15" s="326">
        <f>SUM(Y11:Y14)</f>
        <v>1045479719</v>
      </c>
      <c r="Z15" s="326">
        <f>SUM(Z11:Z14)</f>
        <v>447216261</v>
      </c>
      <c r="AA15" s="322">
        <f>L15-1!AM15</f>
        <v>0</v>
      </c>
      <c r="AB15" s="322">
        <f>M15-1!AN15</f>
        <v>0</v>
      </c>
      <c r="AC15" s="322">
        <f>N15-1!AO15</f>
        <v>0</v>
      </c>
      <c r="AD15" s="322">
        <f>X15-2!AP15</f>
        <v>0</v>
      </c>
      <c r="AE15" s="322">
        <f>Y15-2!AQ15</f>
        <v>0</v>
      </c>
      <c r="AF15" s="322">
        <f>Z15-2!AR15</f>
        <v>0</v>
      </c>
    </row>
    <row r="16" spans="1:32" s="313" customFormat="1" ht="27.75" customHeight="1">
      <c r="A16" s="310">
        <v>8</v>
      </c>
      <c r="B16" s="318" t="s">
        <v>31</v>
      </c>
      <c r="C16" s="319">
        <v>677000</v>
      </c>
      <c r="D16" s="319">
        <v>677000</v>
      </c>
      <c r="E16" s="319">
        <v>190500</v>
      </c>
      <c r="F16" s="319">
        <v>497533000</v>
      </c>
      <c r="G16" s="319">
        <f>467989508-677000</f>
        <v>467312508</v>
      </c>
      <c r="H16" s="319">
        <f>218819039-190500</f>
        <v>218628539</v>
      </c>
      <c r="I16" s="319">
        <v>58432000</v>
      </c>
      <c r="J16" s="319">
        <v>59991920</v>
      </c>
      <c r="K16" s="319">
        <v>28929456</v>
      </c>
      <c r="L16" s="321">
        <f aca="true" t="shared" si="3" ref="L16:N17">C16+F16+I16</f>
        <v>556642000</v>
      </c>
      <c r="M16" s="321">
        <f t="shared" si="3"/>
        <v>527981428</v>
      </c>
      <c r="N16" s="321">
        <f t="shared" si="3"/>
        <v>247748495</v>
      </c>
      <c r="O16" s="319">
        <v>93000</v>
      </c>
      <c r="P16" s="319">
        <v>93000</v>
      </c>
      <c r="Q16" s="319"/>
      <c r="R16" s="319">
        <v>484193000</v>
      </c>
      <c r="S16" s="319">
        <f>453858097-93000</f>
        <v>453765097</v>
      </c>
      <c r="T16" s="319">
        <f>211401600-76200</f>
        <v>211325400</v>
      </c>
      <c r="U16" s="319">
        <v>72356000</v>
      </c>
      <c r="V16" s="319">
        <v>74123331</v>
      </c>
      <c r="W16" s="319">
        <v>26884060</v>
      </c>
      <c r="X16" s="321">
        <f aca="true" t="shared" si="4" ref="X16:Z17">O16+R16+U16</f>
        <v>556642000</v>
      </c>
      <c r="Y16" s="321">
        <f t="shared" si="4"/>
        <v>527981428</v>
      </c>
      <c r="Z16" s="321">
        <f t="shared" si="4"/>
        <v>238209460</v>
      </c>
      <c r="AA16" s="322">
        <f>L16-1!AM16</f>
        <v>0</v>
      </c>
      <c r="AB16" s="322">
        <f>M16-1!AN16</f>
        <v>0</v>
      </c>
      <c r="AC16" s="322">
        <f>N16-1!AO16</f>
        <v>0</v>
      </c>
      <c r="AD16" s="322">
        <f>X16-2!AP16</f>
        <v>0</v>
      </c>
      <c r="AE16" s="322">
        <f>Y16-2!AQ16</f>
        <v>0</v>
      </c>
      <c r="AF16" s="322">
        <f>Z16-2!AR16</f>
        <v>0</v>
      </c>
    </row>
    <row r="17" spans="1:32" s="313" customFormat="1" ht="27.75" customHeight="1">
      <c r="A17" s="310">
        <v>9</v>
      </c>
      <c r="B17" s="318" t="s">
        <v>102</v>
      </c>
      <c r="C17" s="319"/>
      <c r="D17" s="319"/>
      <c r="E17" s="319"/>
      <c r="F17" s="319">
        <v>3395860618</v>
      </c>
      <c r="G17" s="319">
        <v>4563061301</v>
      </c>
      <c r="H17" s="319">
        <v>3238840543</v>
      </c>
      <c r="I17" s="319">
        <v>88319455</v>
      </c>
      <c r="J17" s="319"/>
      <c r="K17" s="319"/>
      <c r="L17" s="321">
        <f t="shared" si="3"/>
        <v>3484180073</v>
      </c>
      <c r="M17" s="321">
        <f t="shared" si="3"/>
        <v>4563061301</v>
      </c>
      <c r="N17" s="321">
        <f t="shared" si="3"/>
        <v>3238840543</v>
      </c>
      <c r="O17" s="319"/>
      <c r="P17" s="319"/>
      <c r="Q17" s="319"/>
      <c r="R17" s="321">
        <v>3349173073</v>
      </c>
      <c r="S17" s="319"/>
      <c r="T17" s="319"/>
      <c r="U17" s="321">
        <v>135007000</v>
      </c>
      <c r="V17" s="321"/>
      <c r="W17" s="321"/>
      <c r="X17" s="321">
        <f t="shared" si="4"/>
        <v>3484180073</v>
      </c>
      <c r="Y17" s="321">
        <f t="shared" si="4"/>
        <v>0</v>
      </c>
      <c r="Z17" s="321">
        <f t="shared" si="4"/>
        <v>0</v>
      </c>
      <c r="AA17" s="322">
        <f>L17-1!AM17</f>
        <v>0</v>
      </c>
      <c r="AB17" s="322">
        <f>M17-1!AN17</f>
        <v>262873118</v>
      </c>
      <c r="AC17" s="322">
        <f>N17-1!AO17</f>
        <v>-24301348</v>
      </c>
      <c r="AD17" s="322">
        <f>X17-2!AP17</f>
        <v>0</v>
      </c>
      <c r="AE17" s="322">
        <f>Y17-2!AQ17</f>
        <v>-4300188183</v>
      </c>
      <c r="AF17" s="322">
        <f>Z17-2!AR17</f>
        <v>-2237589692</v>
      </c>
    </row>
    <row r="18" spans="1:32" s="313" customFormat="1" ht="48.75" customHeight="1">
      <c r="A18" s="310">
        <v>10</v>
      </c>
      <c r="B18" s="325" t="s">
        <v>115</v>
      </c>
      <c r="C18" s="326">
        <f>SUM(C15:C17)</f>
        <v>677000</v>
      </c>
      <c r="D18" s="326">
        <f aca="true" t="shared" si="5" ref="D18:W18">SUM(D15:D17)</f>
        <v>677000</v>
      </c>
      <c r="E18" s="326">
        <f t="shared" si="5"/>
        <v>190500</v>
      </c>
      <c r="F18" s="326">
        <f t="shared" si="5"/>
        <v>3994747968</v>
      </c>
      <c r="G18" s="326">
        <f t="shared" si="5"/>
        <v>5135577947</v>
      </c>
      <c r="H18" s="326">
        <f t="shared" si="5"/>
        <v>3535533831</v>
      </c>
      <c r="I18" s="326">
        <f t="shared" si="5"/>
        <v>905855479</v>
      </c>
      <c r="J18" s="326">
        <f t="shared" si="5"/>
        <v>1000267501</v>
      </c>
      <c r="K18" s="326">
        <f t="shared" si="5"/>
        <v>548871039</v>
      </c>
      <c r="L18" s="326">
        <f t="shared" si="5"/>
        <v>4901280447</v>
      </c>
      <c r="M18" s="326">
        <f t="shared" si="5"/>
        <v>6136522448</v>
      </c>
      <c r="N18" s="326">
        <f t="shared" si="5"/>
        <v>4084595370</v>
      </c>
      <c r="O18" s="326">
        <f t="shared" si="5"/>
        <v>93000</v>
      </c>
      <c r="P18" s="326">
        <f t="shared" si="5"/>
        <v>93000</v>
      </c>
      <c r="Q18" s="326">
        <f t="shared" si="5"/>
        <v>0</v>
      </c>
      <c r="R18" s="326">
        <f t="shared" si="5"/>
        <v>3873461073</v>
      </c>
      <c r="S18" s="326">
        <f t="shared" si="5"/>
        <v>501768457</v>
      </c>
      <c r="T18" s="326">
        <f t="shared" si="5"/>
        <v>235816747</v>
      </c>
      <c r="U18" s="326">
        <f t="shared" si="5"/>
        <v>1027726374</v>
      </c>
      <c r="V18" s="326">
        <f t="shared" si="5"/>
        <v>1071599690</v>
      </c>
      <c r="W18" s="326">
        <f t="shared" si="5"/>
        <v>449608974</v>
      </c>
      <c r="X18" s="326">
        <f>SUM(X15:X17)</f>
        <v>4901280447</v>
      </c>
      <c r="Y18" s="326">
        <f>SUM(Y15:Y17)</f>
        <v>1573461147</v>
      </c>
      <c r="Z18" s="326">
        <f>SUM(Z15:Z17)</f>
        <v>685425721</v>
      </c>
      <c r="AA18" s="322">
        <f>L18-1!AM18</f>
        <v>0</v>
      </c>
      <c r="AB18" s="322">
        <f>M18-1!AN18</f>
        <v>262873118</v>
      </c>
      <c r="AC18" s="322">
        <f>N18-1!AO18</f>
        <v>-24301348</v>
      </c>
      <c r="AD18" s="322">
        <f>X18-2!AP18</f>
        <v>0</v>
      </c>
      <c r="AE18" s="322">
        <f>Y18-2!AQ18</f>
        <v>-4300188183</v>
      </c>
      <c r="AF18" s="322">
        <f>Z18-2!AR18</f>
        <v>-2237589692</v>
      </c>
    </row>
    <row r="19" spans="1:10" ht="16.5" customHeight="1" hidden="1">
      <c r="A19" s="149"/>
      <c r="B19" s="151"/>
      <c r="C19" s="152"/>
      <c r="D19" s="152"/>
      <c r="E19" s="152"/>
      <c r="F19" s="152">
        <f>1!N17-F18</f>
        <v>-3900173076</v>
      </c>
      <c r="J19" s="174">
        <f>2!P17-'8.'!J18</f>
        <v>18529288</v>
      </c>
    </row>
    <row r="20" spans="1:6" ht="16.5" customHeight="1">
      <c r="A20" s="149"/>
      <c r="B20" s="153"/>
      <c r="C20" s="154"/>
      <c r="D20" s="154"/>
      <c r="E20" s="154"/>
      <c r="F20" s="155"/>
    </row>
    <row r="23" ht="16.5" customHeight="1"/>
    <row r="24" ht="15" customHeight="1"/>
  </sheetData>
  <sheetProtection/>
  <mergeCells count="16">
    <mergeCell ref="O9:Q9"/>
    <mergeCell ref="R9:T9"/>
    <mergeCell ref="U9:W9"/>
    <mergeCell ref="X9:Z9"/>
    <mergeCell ref="A7:A9"/>
    <mergeCell ref="B7:B9"/>
    <mergeCell ref="C3:N3"/>
    <mergeCell ref="O3:Z3"/>
    <mergeCell ref="AA9:AC9"/>
    <mergeCell ref="AD9:AF9"/>
    <mergeCell ref="C7:N8"/>
    <mergeCell ref="O7:Z8"/>
    <mergeCell ref="C9:E9"/>
    <mergeCell ref="F9:H9"/>
    <mergeCell ref="I9:K9"/>
    <mergeCell ref="L9:N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9" r:id="rId1"/>
  <colBreaks count="1" manualBreakCount="1">
    <brk id="14" max="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R44"/>
  <sheetViews>
    <sheetView zoomScalePageLayoutView="0" workbookViewId="0" topLeftCell="A1">
      <selection activeCell="J14" sqref="J13:J14"/>
    </sheetView>
  </sheetViews>
  <sheetFormatPr defaultColWidth="9.140625" defaultRowHeight="12.75"/>
  <cols>
    <col min="1" max="1" width="5.00390625" style="5" customWidth="1"/>
    <col min="2" max="2" width="51.8515625" style="5" customWidth="1"/>
    <col min="3" max="3" width="15.7109375" style="5" customWidth="1"/>
    <col min="4" max="4" width="14.57421875" style="5" customWidth="1"/>
    <col min="5" max="5" width="19.00390625" style="5" customWidth="1"/>
    <col min="6" max="6" width="9.140625" style="5" hidden="1" customWidth="1"/>
    <col min="7" max="7" width="26.421875" style="33" hidden="1" customWidth="1"/>
    <col min="8" max="10" width="9.140625" style="5" hidden="1" customWidth="1"/>
    <col min="11" max="11" width="16.7109375" style="33" hidden="1" customWidth="1"/>
    <col min="12" max="12" width="0" style="5" hidden="1" customWidth="1"/>
    <col min="13" max="13" width="12.421875" style="5" hidden="1" customWidth="1"/>
    <col min="14" max="14" width="13.8515625" style="5" hidden="1" customWidth="1"/>
    <col min="15" max="15" width="14.421875" style="5" hidden="1" customWidth="1"/>
    <col min="16" max="17" width="0" style="5" hidden="1" customWidth="1"/>
    <col min="18" max="16384" width="9.140625" style="5" customWidth="1"/>
  </cols>
  <sheetData>
    <row r="1" spans="2:11" s="3" customFormat="1" ht="15.75">
      <c r="B1" s="602" t="s">
        <v>502</v>
      </c>
      <c r="C1" s="602"/>
      <c r="D1" s="602"/>
      <c r="E1" s="602"/>
      <c r="G1" s="191"/>
      <c r="K1" s="191"/>
    </row>
    <row r="2" spans="2:11" s="3" customFormat="1" ht="12.75">
      <c r="B2" s="12"/>
      <c r="C2" s="12"/>
      <c r="D2" s="12"/>
      <c r="E2" s="12"/>
      <c r="G2" s="191"/>
      <c r="K2" s="191"/>
    </row>
    <row r="3" spans="1:11" s="36" customFormat="1" ht="48.75" customHeight="1">
      <c r="A3" s="35"/>
      <c r="B3" s="695" t="s">
        <v>495</v>
      </c>
      <c r="C3" s="695"/>
      <c r="D3" s="695"/>
      <c r="E3" s="695"/>
      <c r="G3" s="192"/>
      <c r="K3" s="192"/>
    </row>
    <row r="4" spans="1:11" s="3" customFormat="1" ht="18" customHeight="1">
      <c r="A4" s="13"/>
      <c r="B4" s="14"/>
      <c r="C4" s="14"/>
      <c r="D4" s="14"/>
      <c r="E4" s="402"/>
      <c r="G4" s="191"/>
      <c r="K4" s="191"/>
    </row>
    <row r="5" spans="1:11" s="3" customFormat="1" ht="14.25" customHeight="1">
      <c r="A5" s="699"/>
      <c r="B5" s="699"/>
      <c r="C5" s="699"/>
      <c r="D5" s="699"/>
      <c r="E5" s="699"/>
      <c r="G5" s="191"/>
      <c r="K5" s="191"/>
    </row>
    <row r="6" spans="1:11" ht="15.75">
      <c r="A6" s="700"/>
      <c r="B6" s="700"/>
      <c r="C6" s="700"/>
      <c r="D6" s="700"/>
      <c r="E6" s="166" t="s">
        <v>193</v>
      </c>
      <c r="F6" s="15"/>
      <c r="G6" s="193"/>
      <c r="H6" s="15"/>
      <c r="I6" s="15"/>
      <c r="J6" s="15"/>
      <c r="K6" s="193"/>
    </row>
    <row r="7" spans="1:11" s="16" customFormat="1" ht="39.75" customHeight="1">
      <c r="A7" s="701" t="s">
        <v>156</v>
      </c>
      <c r="B7" s="701"/>
      <c r="C7" s="701"/>
      <c r="D7" s="701"/>
      <c r="E7" s="701"/>
      <c r="G7" s="32"/>
      <c r="K7" s="32"/>
    </row>
    <row r="8" spans="1:11" s="16" customFormat="1" ht="21.75" customHeight="1">
      <c r="A8" s="17"/>
      <c r="B8" s="17" t="s">
        <v>0</v>
      </c>
      <c r="C8" s="17" t="s">
        <v>1</v>
      </c>
      <c r="D8" s="17" t="s">
        <v>2</v>
      </c>
      <c r="E8" s="17" t="s">
        <v>3</v>
      </c>
      <c r="G8" s="32"/>
      <c r="K8" s="32"/>
    </row>
    <row r="9" spans="1:11" s="16" customFormat="1" ht="15" customHeight="1">
      <c r="A9" s="702" t="s">
        <v>10</v>
      </c>
      <c r="B9" s="703" t="s">
        <v>140</v>
      </c>
      <c r="C9" s="704" t="s">
        <v>141</v>
      </c>
      <c r="D9" s="705"/>
      <c r="E9" s="706"/>
      <c r="G9" s="32"/>
      <c r="K9" s="32"/>
    </row>
    <row r="10" spans="1:11" s="16" customFormat="1" ht="24" customHeight="1">
      <c r="A10" s="702"/>
      <c r="B10" s="703"/>
      <c r="C10" s="19" t="s">
        <v>142</v>
      </c>
      <c r="D10" s="19" t="s">
        <v>157</v>
      </c>
      <c r="E10" s="19" t="s">
        <v>94</v>
      </c>
      <c r="G10" s="32"/>
      <c r="K10" s="32"/>
    </row>
    <row r="11" spans="1:14" s="16" customFormat="1" ht="19.5" customHeight="1">
      <c r="A11" s="18" t="s">
        <v>15</v>
      </c>
      <c r="B11" s="20" t="s">
        <v>165</v>
      </c>
      <c r="C11" s="21"/>
      <c r="D11" s="21"/>
      <c r="E11" s="22"/>
      <c r="G11" s="50" t="s">
        <v>94</v>
      </c>
      <c r="K11" s="197" t="s">
        <v>275</v>
      </c>
      <c r="N11" s="32"/>
    </row>
    <row r="12" spans="1:16" s="16" customFormat="1" ht="19.5" customHeight="1">
      <c r="A12" s="18" t="s">
        <v>21</v>
      </c>
      <c r="B12" s="20" t="s">
        <v>173</v>
      </c>
      <c r="C12" s="41">
        <f>SUM(C13:C20)</f>
        <v>50700000</v>
      </c>
      <c r="D12" s="41">
        <f>SUM(D13:D20)</f>
        <v>50700000</v>
      </c>
      <c r="E12" s="41">
        <f>SUM(E13:E20)</f>
        <v>5691975</v>
      </c>
      <c r="G12" s="32"/>
      <c r="K12" s="196">
        <v>60700000</v>
      </c>
      <c r="M12" s="404" t="s">
        <v>388</v>
      </c>
      <c r="N12" s="32"/>
      <c r="P12" s="404" t="s">
        <v>391</v>
      </c>
    </row>
    <row r="13" spans="1:15" s="16" customFormat="1" ht="19.5" customHeight="1">
      <c r="A13" s="18" t="s">
        <v>22</v>
      </c>
      <c r="B13" s="43" t="s">
        <v>149</v>
      </c>
      <c r="C13" s="21">
        <v>1200000</v>
      </c>
      <c r="D13" s="21">
        <v>1200000</v>
      </c>
      <c r="E13" s="22">
        <v>178875</v>
      </c>
      <c r="G13" s="32">
        <v>99000</v>
      </c>
      <c r="K13" s="32">
        <v>1200000</v>
      </c>
      <c r="M13" s="50" t="s">
        <v>392</v>
      </c>
      <c r="N13" s="50" t="s">
        <v>393</v>
      </c>
      <c r="O13" s="50" t="s">
        <v>389</v>
      </c>
    </row>
    <row r="14" spans="1:15" s="16" customFormat="1" ht="19.5" customHeight="1">
      <c r="A14" s="18" t="s">
        <v>51</v>
      </c>
      <c r="B14" s="43" t="s">
        <v>166</v>
      </c>
      <c r="C14" s="21">
        <v>3500000</v>
      </c>
      <c r="D14" s="21">
        <v>3500000</v>
      </c>
      <c r="E14" s="22">
        <v>671600</v>
      </c>
      <c r="G14" s="32">
        <v>2601300</v>
      </c>
      <c r="K14" s="32">
        <v>4000000</v>
      </c>
      <c r="M14" s="16">
        <v>0</v>
      </c>
      <c r="N14" s="403">
        <v>680000</v>
      </c>
      <c r="O14" s="403">
        <v>680000</v>
      </c>
    </row>
    <row r="15" spans="1:11" s="16" customFormat="1" ht="19.5" customHeight="1">
      <c r="A15" s="18" t="s">
        <v>53</v>
      </c>
      <c r="B15" s="43" t="s">
        <v>203</v>
      </c>
      <c r="C15" s="21">
        <v>1000000</v>
      </c>
      <c r="D15" s="21">
        <v>1000000</v>
      </c>
      <c r="E15" s="22">
        <v>72000</v>
      </c>
      <c r="G15" s="32">
        <v>120000</v>
      </c>
      <c r="K15" s="32">
        <v>1000000</v>
      </c>
    </row>
    <row r="16" spans="1:17" s="23" customFormat="1" ht="19.5" customHeight="1">
      <c r="A16" s="18" t="s">
        <v>47</v>
      </c>
      <c r="B16" s="43" t="s">
        <v>150</v>
      </c>
      <c r="C16" s="21">
        <v>2000000</v>
      </c>
      <c r="D16" s="21">
        <v>2000000</v>
      </c>
      <c r="E16" s="22">
        <v>339500</v>
      </c>
      <c r="G16" s="194">
        <v>722827</v>
      </c>
      <c r="K16" s="194">
        <v>2000000</v>
      </c>
      <c r="M16" s="405">
        <f>C12+C21+C27</f>
        <v>115700000</v>
      </c>
      <c r="N16" s="405">
        <f>D12+D21+D27+N14</f>
        <v>116380000</v>
      </c>
      <c r="O16" s="405">
        <f>E12+E21+E27+O14</f>
        <v>25766942</v>
      </c>
      <c r="P16" s="406" t="s">
        <v>390</v>
      </c>
      <c r="Q16" s="406"/>
    </row>
    <row r="17" spans="1:11" s="16" customFormat="1" ht="19.5" customHeight="1">
      <c r="A17" s="18" t="s">
        <v>23</v>
      </c>
      <c r="B17" s="43" t="s">
        <v>167</v>
      </c>
      <c r="C17" s="21">
        <v>1000000</v>
      </c>
      <c r="D17" s="21">
        <v>1000000</v>
      </c>
      <c r="E17" s="22">
        <v>120000</v>
      </c>
      <c r="G17" s="32">
        <v>330000</v>
      </c>
      <c r="K17" s="32">
        <v>1000000</v>
      </c>
    </row>
    <row r="18" spans="1:11" s="16" customFormat="1" ht="19.5" customHeight="1">
      <c r="A18" s="18" t="s">
        <v>25</v>
      </c>
      <c r="B18" s="44" t="s">
        <v>169</v>
      </c>
      <c r="C18" s="21">
        <v>500000</v>
      </c>
      <c r="D18" s="21">
        <v>500000</v>
      </c>
      <c r="E18" s="22">
        <v>0</v>
      </c>
      <c r="G18" s="32">
        <v>0</v>
      </c>
      <c r="K18" s="32">
        <v>500000</v>
      </c>
    </row>
    <row r="19" spans="1:11" s="16" customFormat="1" ht="19.5" customHeight="1">
      <c r="A19" s="18" t="s">
        <v>27</v>
      </c>
      <c r="B19" s="43" t="s">
        <v>160</v>
      </c>
      <c r="C19" s="21">
        <v>30000000</v>
      </c>
      <c r="D19" s="21">
        <v>30000000</v>
      </c>
      <c r="E19" s="22">
        <v>0</v>
      </c>
      <c r="G19" s="32">
        <v>26213000</v>
      </c>
      <c r="K19" s="32">
        <v>33000000</v>
      </c>
    </row>
    <row r="20" spans="1:11" s="16" customFormat="1" ht="19.5" customHeight="1">
      <c r="A20" s="18" t="s">
        <v>30</v>
      </c>
      <c r="B20" s="45" t="s">
        <v>168</v>
      </c>
      <c r="C20" s="198">
        <v>11500000</v>
      </c>
      <c r="D20" s="198">
        <v>11500000</v>
      </c>
      <c r="E20" s="22">
        <v>4310000</v>
      </c>
      <c r="G20" s="32">
        <v>10620000</v>
      </c>
      <c r="K20" s="32">
        <v>18000000</v>
      </c>
    </row>
    <row r="21" spans="1:11" s="16" customFormat="1" ht="19.5" customHeight="1">
      <c r="A21" s="18" t="s">
        <v>48</v>
      </c>
      <c r="B21" s="20" t="s">
        <v>174</v>
      </c>
      <c r="C21" s="41">
        <f>SUM(C22:C26)</f>
        <v>62500000</v>
      </c>
      <c r="D21" s="41">
        <f>SUM(D22:D26)</f>
        <v>62500000</v>
      </c>
      <c r="E21" s="41">
        <f>SUM(E22:E26)</f>
        <v>18800779</v>
      </c>
      <c r="G21" s="32"/>
      <c r="K21" s="196">
        <v>73500000</v>
      </c>
    </row>
    <row r="22" spans="1:11" s="16" customFormat="1" ht="19.5" customHeight="1">
      <c r="A22" s="18" t="s">
        <v>32</v>
      </c>
      <c r="B22" s="43" t="s">
        <v>163</v>
      </c>
      <c r="C22" s="21">
        <v>500000</v>
      </c>
      <c r="D22" s="21">
        <v>500000</v>
      </c>
      <c r="E22" s="22">
        <v>183946</v>
      </c>
      <c r="G22" s="32">
        <v>312960</v>
      </c>
      <c r="K22" s="32">
        <v>500000</v>
      </c>
    </row>
    <row r="23" spans="1:11" s="16" customFormat="1" ht="19.5" customHeight="1">
      <c r="A23" s="18" t="s">
        <v>34</v>
      </c>
      <c r="B23" s="43" t="s">
        <v>164</v>
      </c>
      <c r="C23" s="21">
        <v>15000000</v>
      </c>
      <c r="D23" s="21">
        <v>15000000</v>
      </c>
      <c r="E23" s="22">
        <v>4239850</v>
      </c>
      <c r="G23" s="32">
        <v>13244132</v>
      </c>
      <c r="K23" s="32">
        <v>20000000</v>
      </c>
    </row>
    <row r="24" spans="1:11" s="16" customFormat="1" ht="19.5" customHeight="1">
      <c r="A24" s="18" t="s">
        <v>58</v>
      </c>
      <c r="B24" s="43" t="s">
        <v>170</v>
      </c>
      <c r="C24" s="21">
        <v>10000000</v>
      </c>
      <c r="D24" s="21">
        <v>10000000</v>
      </c>
      <c r="E24" s="22">
        <v>1406700</v>
      </c>
      <c r="G24" s="32">
        <v>6366400</v>
      </c>
      <c r="K24" s="32">
        <v>10000000</v>
      </c>
    </row>
    <row r="25" spans="1:11" s="16" customFormat="1" ht="19.5" customHeight="1">
      <c r="A25" s="18" t="s">
        <v>59</v>
      </c>
      <c r="B25" s="43" t="s">
        <v>171</v>
      </c>
      <c r="C25" s="21">
        <v>36000000</v>
      </c>
      <c r="D25" s="21">
        <v>36000000</v>
      </c>
      <c r="E25" s="22">
        <v>12639400</v>
      </c>
      <c r="G25" s="32">
        <v>28254815</v>
      </c>
      <c r="K25" s="32">
        <v>42000000</v>
      </c>
    </row>
    <row r="26" spans="1:11" s="16" customFormat="1" ht="19.5" customHeight="1">
      <c r="A26" s="18" t="s">
        <v>60</v>
      </c>
      <c r="B26" s="43" t="s">
        <v>172</v>
      </c>
      <c r="C26" s="21">
        <v>1000000</v>
      </c>
      <c r="D26" s="21">
        <v>1000000</v>
      </c>
      <c r="E26" s="22">
        <v>330883</v>
      </c>
      <c r="G26" s="32">
        <v>711120</v>
      </c>
      <c r="K26" s="32">
        <v>1000000</v>
      </c>
    </row>
    <row r="27" spans="1:11" s="16" customFormat="1" ht="19.5" customHeight="1">
      <c r="A27" s="18" t="s">
        <v>61</v>
      </c>
      <c r="B27" s="24" t="s">
        <v>176</v>
      </c>
      <c r="C27" s="25">
        <v>2500000</v>
      </c>
      <c r="D27" s="25">
        <v>2500000</v>
      </c>
      <c r="E27" s="42">
        <v>594188</v>
      </c>
      <c r="G27" s="32">
        <v>2008160</v>
      </c>
      <c r="K27" s="196">
        <v>2500000</v>
      </c>
    </row>
    <row r="28" spans="1:14" s="16" customFormat="1" ht="19.5" customHeight="1">
      <c r="A28" s="18" t="s">
        <v>62</v>
      </c>
      <c r="B28" s="24" t="s">
        <v>175</v>
      </c>
      <c r="C28" s="25">
        <v>6000000</v>
      </c>
      <c r="D28" s="25">
        <v>6000000</v>
      </c>
      <c r="E28" s="42">
        <v>712500</v>
      </c>
      <c r="G28" s="32">
        <v>1475000</v>
      </c>
      <c r="K28" s="196">
        <v>6000000</v>
      </c>
      <c r="N28" s="196"/>
    </row>
    <row r="29" spans="1:11" s="16" customFormat="1" ht="27.75" customHeight="1">
      <c r="A29" s="18" t="s">
        <v>63</v>
      </c>
      <c r="B29" s="46" t="s">
        <v>177</v>
      </c>
      <c r="C29" s="47">
        <f>C12+C21+C27+C28</f>
        <v>121700000</v>
      </c>
      <c r="D29" s="47">
        <f>D12+D21+D27+D28</f>
        <v>121700000</v>
      </c>
      <c r="E29" s="47">
        <f>E12+E21+E27+E28</f>
        <v>25799442</v>
      </c>
      <c r="G29" s="32"/>
      <c r="K29" s="196">
        <v>142700000</v>
      </c>
    </row>
    <row r="30" spans="1:11" s="27" customFormat="1" ht="21.75" customHeight="1">
      <c r="A30" s="18" t="s">
        <v>64</v>
      </c>
      <c r="B30" s="26" t="s">
        <v>152</v>
      </c>
      <c r="C30" s="696" t="s">
        <v>158</v>
      </c>
      <c r="D30" s="697"/>
      <c r="E30" s="698"/>
      <c r="G30" s="195"/>
      <c r="K30" s="195"/>
    </row>
    <row r="31" spans="1:18" s="16" customFormat="1" ht="45" customHeight="1">
      <c r="A31" s="18" t="s">
        <v>65</v>
      </c>
      <c r="B31" s="24" t="s">
        <v>180</v>
      </c>
      <c r="C31" s="28" t="s">
        <v>159</v>
      </c>
      <c r="D31" s="28" t="s">
        <v>157</v>
      </c>
      <c r="E31" s="29" t="s">
        <v>94</v>
      </c>
      <c r="G31" s="32"/>
      <c r="K31" s="32"/>
      <c r="M31" s="407" t="s">
        <v>394</v>
      </c>
      <c r="N31" s="408">
        <v>7000000</v>
      </c>
      <c r="O31" s="407" t="s">
        <v>395</v>
      </c>
      <c r="P31" s="407"/>
      <c r="Q31" s="407"/>
      <c r="R31" s="407"/>
    </row>
    <row r="32" spans="1:11" s="16" customFormat="1" ht="19.5" customHeight="1">
      <c r="A32" s="18" t="s">
        <v>67</v>
      </c>
      <c r="B32" s="43" t="s">
        <v>147</v>
      </c>
      <c r="C32" s="21">
        <v>4850000</v>
      </c>
      <c r="D32" s="21">
        <v>4850000</v>
      </c>
      <c r="E32" s="22">
        <v>225000</v>
      </c>
      <c r="G32" s="32">
        <v>1590000</v>
      </c>
      <c r="K32" s="32"/>
    </row>
    <row r="33" spans="1:11" s="16" customFormat="1" ht="19.5" customHeight="1">
      <c r="A33" s="18" t="s">
        <v>70</v>
      </c>
      <c r="B33" s="43" t="s">
        <v>148</v>
      </c>
      <c r="C33" s="21">
        <v>1100000</v>
      </c>
      <c r="D33" s="21">
        <v>1100000</v>
      </c>
      <c r="E33" s="22">
        <v>0</v>
      </c>
      <c r="G33" s="32">
        <v>360000</v>
      </c>
      <c r="K33" s="32"/>
    </row>
    <row r="34" spans="1:11" s="16" customFormat="1" ht="19.5" customHeight="1">
      <c r="A34" s="18" t="s">
        <v>72</v>
      </c>
      <c r="B34" s="48" t="s">
        <v>178</v>
      </c>
      <c r="C34" s="48">
        <f>SUM(C32:C33)</f>
        <v>5950000</v>
      </c>
      <c r="D34" s="48">
        <f>SUM(D32:D33)</f>
        <v>5950000</v>
      </c>
      <c r="E34" s="48">
        <f>SUM(E32:E33)</f>
        <v>225000</v>
      </c>
      <c r="G34" s="32"/>
      <c r="K34" s="32"/>
    </row>
    <row r="35" spans="1:11" s="16" customFormat="1" ht="33.75" customHeight="1">
      <c r="A35" s="18" t="s">
        <v>74</v>
      </c>
      <c r="B35" s="30" t="s">
        <v>179</v>
      </c>
      <c r="C35" s="31">
        <f>C34+C29</f>
        <v>127650000</v>
      </c>
      <c r="D35" s="31">
        <f>D29+D34</f>
        <v>127650000</v>
      </c>
      <c r="E35" s="31">
        <f>E29+E34</f>
        <v>26024442</v>
      </c>
      <c r="G35" s="32"/>
      <c r="K35" s="32"/>
    </row>
    <row r="36" ht="21" customHeight="1">
      <c r="C36" s="33"/>
    </row>
    <row r="37" ht="12.75">
      <c r="C37" s="33"/>
    </row>
    <row r="38" ht="12.75">
      <c r="C38" s="11"/>
    </row>
    <row r="39" spans="3:4" ht="12.75">
      <c r="C39" s="11"/>
      <c r="D39" s="33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</sheetData>
  <sheetProtection/>
  <mergeCells count="9">
    <mergeCell ref="B1:E1"/>
    <mergeCell ref="B3:E3"/>
    <mergeCell ref="C30:E30"/>
    <mergeCell ref="A5:E5"/>
    <mergeCell ref="A6:D6"/>
    <mergeCell ref="A7:E7"/>
    <mergeCell ref="A9:A10"/>
    <mergeCell ref="B9:B10"/>
    <mergeCell ref="C9:E9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W53"/>
  <sheetViews>
    <sheetView zoomScalePageLayoutView="0" workbookViewId="0" topLeftCell="B1">
      <selection activeCell="J14" sqref="J13:J14"/>
    </sheetView>
  </sheetViews>
  <sheetFormatPr defaultColWidth="9.140625" defaultRowHeight="12.75"/>
  <cols>
    <col min="1" max="1" width="5.140625" style="1" customWidth="1"/>
    <col min="2" max="2" width="29.28125" style="1" customWidth="1"/>
    <col min="3" max="3" width="12.7109375" style="1" bestFit="1" customWidth="1"/>
    <col min="4" max="15" width="11.140625" style="1" bestFit="1" customWidth="1"/>
    <col min="16" max="16" width="10.57421875" style="1" hidden="1" customWidth="1"/>
    <col min="17" max="17" width="10.8515625" style="1" bestFit="1" customWidth="1"/>
    <col min="18" max="18" width="12.57421875" style="1" bestFit="1" customWidth="1"/>
    <col min="19" max="16384" width="9.140625" style="1" customWidth="1"/>
  </cols>
  <sheetData>
    <row r="2" spans="1:15" ht="15.75">
      <c r="A2" s="5"/>
      <c r="B2" s="711"/>
      <c r="C2" s="711"/>
      <c r="D2" s="712"/>
      <c r="E2" s="712"/>
      <c r="F2" s="712"/>
      <c r="I2" s="713" t="s">
        <v>503</v>
      </c>
      <c r="J2" s="713"/>
      <c r="K2" s="713"/>
      <c r="L2" s="713"/>
      <c r="M2" s="713"/>
      <c r="N2" s="713"/>
      <c r="O2" s="713"/>
    </row>
    <row r="3" spans="1:15" ht="12.75">
      <c r="A3" s="5"/>
      <c r="N3" s="121"/>
      <c r="O3" s="121"/>
    </row>
    <row r="4" ht="12.75">
      <c r="A4" s="5"/>
    </row>
    <row r="5" spans="1:15" ht="20.25">
      <c r="A5" s="5"/>
      <c r="B5" s="708" t="s">
        <v>270</v>
      </c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</row>
    <row r="6" spans="1:15" ht="20.25">
      <c r="A6" s="5"/>
      <c r="B6" s="708" t="s">
        <v>117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</row>
    <row r="7" spans="1:15" ht="20.25">
      <c r="A7" s="5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ht="19.5" customHeight="1">
      <c r="A8" s="5"/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</row>
    <row r="9" spans="1:15" ht="12.75" customHeight="1">
      <c r="A9" s="5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70"/>
      <c r="O9" s="171" t="s">
        <v>193</v>
      </c>
    </row>
    <row r="10" spans="1:15" ht="12" customHeight="1">
      <c r="A10" s="37"/>
      <c r="B10" s="37" t="s">
        <v>0</v>
      </c>
      <c r="C10" s="37" t="s">
        <v>1</v>
      </c>
      <c r="D10" s="37" t="s">
        <v>2</v>
      </c>
      <c r="E10" s="37" t="s">
        <v>3</v>
      </c>
      <c r="F10" s="37" t="s">
        <v>4</v>
      </c>
      <c r="G10" s="37" t="s">
        <v>5</v>
      </c>
      <c r="H10" s="37" t="s">
        <v>80</v>
      </c>
      <c r="I10" s="37" t="s">
        <v>6</v>
      </c>
      <c r="J10" s="37" t="s">
        <v>7</v>
      </c>
      <c r="K10" s="37" t="s">
        <v>38</v>
      </c>
      <c r="L10" s="37" t="s">
        <v>8</v>
      </c>
      <c r="M10" s="37" t="s">
        <v>91</v>
      </c>
      <c r="N10" s="37" t="s">
        <v>39</v>
      </c>
      <c r="O10" s="37" t="s">
        <v>9</v>
      </c>
    </row>
    <row r="11" spans="1:15" s="135" customFormat="1" ht="31.5" customHeight="1">
      <c r="A11" s="18" t="s">
        <v>10</v>
      </c>
      <c r="B11" s="125" t="s">
        <v>118</v>
      </c>
      <c r="C11" s="125" t="s">
        <v>119</v>
      </c>
      <c r="D11" s="126" t="s">
        <v>120</v>
      </c>
      <c r="E11" s="126" t="s">
        <v>121</v>
      </c>
      <c r="F11" s="126" t="s">
        <v>122</v>
      </c>
      <c r="G11" s="126" t="s">
        <v>123</v>
      </c>
      <c r="H11" s="126" t="s">
        <v>124</v>
      </c>
      <c r="I11" s="126" t="s">
        <v>125</v>
      </c>
      <c r="J11" s="126" t="s">
        <v>126</v>
      </c>
      <c r="K11" s="126" t="s">
        <v>127</v>
      </c>
      <c r="L11" s="126" t="s">
        <v>128</v>
      </c>
      <c r="M11" s="126" t="s">
        <v>129</v>
      </c>
      <c r="N11" s="126" t="s">
        <v>130</v>
      </c>
      <c r="O11" s="126" t="s">
        <v>131</v>
      </c>
    </row>
    <row r="12" spans="1:18" ht="24.75" customHeight="1">
      <c r="A12" s="18" t="s">
        <v>22</v>
      </c>
      <c r="B12" s="127" t="s">
        <v>132</v>
      </c>
      <c r="C12" s="128">
        <f>1!D18</f>
        <v>1383747213</v>
      </c>
      <c r="D12" s="129">
        <f aca="true" t="shared" si="0" ref="D12:D17">C12/12</f>
        <v>115312267.75</v>
      </c>
      <c r="E12" s="129">
        <f>D12</f>
        <v>115312267.75</v>
      </c>
      <c r="F12" s="129">
        <f aca="true" t="shared" si="1" ref="F12:O12">E12</f>
        <v>115312267.75</v>
      </c>
      <c r="G12" s="129">
        <f t="shared" si="1"/>
        <v>115312267.75</v>
      </c>
      <c r="H12" s="129">
        <f t="shared" si="1"/>
        <v>115312267.75</v>
      </c>
      <c r="I12" s="129">
        <f t="shared" si="1"/>
        <v>115312267.75</v>
      </c>
      <c r="J12" s="129">
        <f t="shared" si="1"/>
        <v>115312267.75</v>
      </c>
      <c r="K12" s="129">
        <f t="shared" si="1"/>
        <v>115312267.75</v>
      </c>
      <c r="L12" s="129">
        <f t="shared" si="1"/>
        <v>115312267.75</v>
      </c>
      <c r="M12" s="129">
        <f t="shared" si="1"/>
        <v>115312267.75</v>
      </c>
      <c r="N12" s="129">
        <f t="shared" si="1"/>
        <v>115312267.75</v>
      </c>
      <c r="O12" s="129">
        <f t="shared" si="1"/>
        <v>115312267.75</v>
      </c>
      <c r="P12" s="130">
        <f aca="true" t="shared" si="2" ref="P12:P19">SUM(D12:O12)-C12</f>
        <v>0</v>
      </c>
      <c r="Q12" s="130"/>
      <c r="R12" s="136"/>
    </row>
    <row r="13" spans="1:17" ht="24" customHeight="1">
      <c r="A13" s="18" t="s">
        <v>21</v>
      </c>
      <c r="B13" s="127" t="s">
        <v>17</v>
      </c>
      <c r="C13" s="128">
        <f>1!G18</f>
        <v>580041000</v>
      </c>
      <c r="D13" s="129">
        <f t="shared" si="0"/>
        <v>48336750</v>
      </c>
      <c r="E13" s="129">
        <f aca="true" t="shared" si="3" ref="E13:O13">D13</f>
        <v>48336750</v>
      </c>
      <c r="F13" s="129">
        <f t="shared" si="3"/>
        <v>48336750</v>
      </c>
      <c r="G13" s="129">
        <f t="shared" si="3"/>
        <v>48336750</v>
      </c>
      <c r="H13" s="129">
        <f t="shared" si="3"/>
        <v>48336750</v>
      </c>
      <c r="I13" s="129">
        <f t="shared" si="3"/>
        <v>48336750</v>
      </c>
      <c r="J13" s="129">
        <f t="shared" si="3"/>
        <v>48336750</v>
      </c>
      <c r="K13" s="129">
        <f t="shared" si="3"/>
        <v>48336750</v>
      </c>
      <c r="L13" s="129">
        <f t="shared" si="3"/>
        <v>48336750</v>
      </c>
      <c r="M13" s="129">
        <f t="shared" si="3"/>
        <v>48336750</v>
      </c>
      <c r="N13" s="129">
        <f t="shared" si="3"/>
        <v>48336750</v>
      </c>
      <c r="O13" s="129">
        <f t="shared" si="3"/>
        <v>48336750</v>
      </c>
      <c r="P13" s="130">
        <f t="shared" si="2"/>
        <v>0</v>
      </c>
      <c r="Q13" s="130"/>
    </row>
    <row r="14" spans="1:18" ht="24.75" customHeight="1">
      <c r="A14" s="18" t="s">
        <v>15</v>
      </c>
      <c r="B14" s="127" t="s">
        <v>16</v>
      </c>
      <c r="C14" s="128">
        <f>1!J18</f>
        <v>466364522</v>
      </c>
      <c r="D14" s="129">
        <f t="shared" si="0"/>
        <v>38863710.166666664</v>
      </c>
      <c r="E14" s="129">
        <f aca="true" t="shared" si="4" ref="E14:O14">D14</f>
        <v>38863710.166666664</v>
      </c>
      <c r="F14" s="129">
        <f t="shared" si="4"/>
        <v>38863710.166666664</v>
      </c>
      <c r="G14" s="129">
        <f t="shared" si="4"/>
        <v>38863710.166666664</v>
      </c>
      <c r="H14" s="129">
        <f t="shared" si="4"/>
        <v>38863710.166666664</v>
      </c>
      <c r="I14" s="129">
        <f t="shared" si="4"/>
        <v>38863710.166666664</v>
      </c>
      <c r="J14" s="129">
        <f t="shared" si="4"/>
        <v>38863710.166666664</v>
      </c>
      <c r="K14" s="129">
        <f t="shared" si="4"/>
        <v>38863710.166666664</v>
      </c>
      <c r="L14" s="129">
        <f t="shared" si="4"/>
        <v>38863710.166666664</v>
      </c>
      <c r="M14" s="129">
        <f t="shared" si="4"/>
        <v>38863710.166666664</v>
      </c>
      <c r="N14" s="129">
        <f t="shared" si="4"/>
        <v>38863710.166666664</v>
      </c>
      <c r="O14" s="129">
        <f t="shared" si="4"/>
        <v>38863710.166666664</v>
      </c>
      <c r="P14" s="130">
        <f t="shared" si="2"/>
        <v>0</v>
      </c>
      <c r="Q14" s="130"/>
      <c r="R14" s="10"/>
    </row>
    <row r="15" spans="1:17" ht="24.75" customHeight="1">
      <c r="A15" s="18" t="s">
        <v>51</v>
      </c>
      <c r="B15" s="127" t="s">
        <v>161</v>
      </c>
      <c r="C15" s="128">
        <f>1!M18</f>
        <v>840227857</v>
      </c>
      <c r="D15" s="129">
        <f t="shared" si="0"/>
        <v>70018988.08333333</v>
      </c>
      <c r="E15" s="129">
        <f aca="true" t="shared" si="5" ref="E15:O15">D15</f>
        <v>70018988.08333333</v>
      </c>
      <c r="F15" s="129">
        <f t="shared" si="5"/>
        <v>70018988.08333333</v>
      </c>
      <c r="G15" s="129">
        <f t="shared" si="5"/>
        <v>70018988.08333333</v>
      </c>
      <c r="H15" s="129">
        <f t="shared" si="5"/>
        <v>70018988.08333333</v>
      </c>
      <c r="I15" s="129">
        <f t="shared" si="5"/>
        <v>70018988.08333333</v>
      </c>
      <c r="J15" s="129">
        <f t="shared" si="5"/>
        <v>70018988.08333333</v>
      </c>
      <c r="K15" s="129">
        <f t="shared" si="5"/>
        <v>70018988.08333333</v>
      </c>
      <c r="L15" s="129">
        <f t="shared" si="5"/>
        <v>70018988.08333333</v>
      </c>
      <c r="M15" s="129">
        <f t="shared" si="5"/>
        <v>70018988.08333333</v>
      </c>
      <c r="N15" s="129">
        <f t="shared" si="5"/>
        <v>70018988.08333333</v>
      </c>
      <c r="O15" s="129">
        <f t="shared" si="5"/>
        <v>70018988.08333333</v>
      </c>
      <c r="P15" s="130">
        <f t="shared" si="2"/>
        <v>0</v>
      </c>
      <c r="Q15" s="130"/>
    </row>
    <row r="16" spans="1:17" ht="29.25" customHeight="1">
      <c r="A16" s="18" t="s">
        <v>47</v>
      </c>
      <c r="B16" s="127" t="s">
        <v>143</v>
      </c>
      <c r="C16" s="128">
        <f>1!Y18</f>
        <v>159027391</v>
      </c>
      <c r="D16" s="129">
        <f t="shared" si="0"/>
        <v>13252282.583333334</v>
      </c>
      <c r="E16" s="129">
        <f aca="true" t="shared" si="6" ref="E16:O16">D16</f>
        <v>13252282.583333334</v>
      </c>
      <c r="F16" s="129">
        <f t="shared" si="6"/>
        <v>13252282.583333334</v>
      </c>
      <c r="G16" s="129">
        <f t="shared" si="6"/>
        <v>13252282.583333334</v>
      </c>
      <c r="H16" s="129">
        <f t="shared" si="6"/>
        <v>13252282.583333334</v>
      </c>
      <c r="I16" s="129">
        <f t="shared" si="6"/>
        <v>13252282.583333334</v>
      </c>
      <c r="J16" s="129">
        <f t="shared" si="6"/>
        <v>13252282.583333334</v>
      </c>
      <c r="K16" s="129">
        <f t="shared" si="6"/>
        <v>13252282.583333334</v>
      </c>
      <c r="L16" s="129">
        <f t="shared" si="6"/>
        <v>13252282.583333334</v>
      </c>
      <c r="M16" s="129">
        <f t="shared" si="6"/>
        <v>13252282.583333334</v>
      </c>
      <c r="N16" s="129">
        <f t="shared" si="6"/>
        <v>13252282.583333334</v>
      </c>
      <c r="O16" s="129">
        <f t="shared" si="6"/>
        <v>13252282.583333334</v>
      </c>
      <c r="P16" s="130">
        <f t="shared" si="2"/>
        <v>0</v>
      </c>
      <c r="Q16" s="130"/>
    </row>
    <row r="17" spans="1:17" ht="24.75" customHeight="1">
      <c r="A17" s="18" t="s">
        <v>23</v>
      </c>
      <c r="B17" s="127" t="s">
        <v>20</v>
      </c>
      <c r="C17" s="128">
        <f>1!AB18</f>
        <v>40500000</v>
      </c>
      <c r="D17" s="129">
        <f t="shared" si="0"/>
        <v>3375000</v>
      </c>
      <c r="E17" s="129">
        <f aca="true" t="shared" si="7" ref="E17:O17">D17</f>
        <v>3375000</v>
      </c>
      <c r="F17" s="129">
        <f t="shared" si="7"/>
        <v>3375000</v>
      </c>
      <c r="G17" s="129">
        <f t="shared" si="7"/>
        <v>3375000</v>
      </c>
      <c r="H17" s="129">
        <f t="shared" si="7"/>
        <v>3375000</v>
      </c>
      <c r="I17" s="129">
        <f t="shared" si="7"/>
        <v>3375000</v>
      </c>
      <c r="J17" s="129">
        <f t="shared" si="7"/>
        <v>3375000</v>
      </c>
      <c r="K17" s="129">
        <f t="shared" si="7"/>
        <v>3375000</v>
      </c>
      <c r="L17" s="129">
        <f t="shared" si="7"/>
        <v>3375000</v>
      </c>
      <c r="M17" s="129">
        <f t="shared" si="7"/>
        <v>3375000</v>
      </c>
      <c r="N17" s="129">
        <f t="shared" si="7"/>
        <v>3375000</v>
      </c>
      <c r="O17" s="129">
        <f t="shared" si="7"/>
        <v>3375000</v>
      </c>
      <c r="P17" s="130">
        <f t="shared" si="2"/>
        <v>0</v>
      </c>
      <c r="Q17" s="130"/>
    </row>
    <row r="18" spans="1:17" ht="33.75" customHeight="1">
      <c r="A18" s="18" t="s">
        <v>25</v>
      </c>
      <c r="B18" s="127" t="s">
        <v>272</v>
      </c>
      <c r="C18" s="128">
        <f>1!P18+1!S18+1!AH18</f>
        <v>2403741347</v>
      </c>
      <c r="D18" s="129">
        <f>C18/12-2314833</f>
        <v>197996945.91666666</v>
      </c>
      <c r="E18" s="129">
        <f>D18</f>
        <v>197996945.91666666</v>
      </c>
      <c r="F18" s="129">
        <f>E18+6944500</f>
        <v>204941445.91666666</v>
      </c>
      <c r="G18" s="129">
        <f>E18</f>
        <v>197996945.91666666</v>
      </c>
      <c r="H18" s="129">
        <f>G18</f>
        <v>197996945.91666666</v>
      </c>
      <c r="I18" s="129">
        <f>H18+6944500</f>
        <v>204941445.91666666</v>
      </c>
      <c r="J18" s="129">
        <f>H18</f>
        <v>197996945.91666666</v>
      </c>
      <c r="K18" s="129">
        <f>J18</f>
        <v>197996945.91666666</v>
      </c>
      <c r="L18" s="129">
        <f>K18+6944500</f>
        <v>204941445.91666666</v>
      </c>
      <c r="M18" s="129">
        <f>K18</f>
        <v>197996945.91666666</v>
      </c>
      <c r="N18" s="129">
        <f>M18</f>
        <v>197996945.91666666</v>
      </c>
      <c r="O18" s="129">
        <f>N18+6944482+14</f>
        <v>204941441.91666666</v>
      </c>
      <c r="P18" s="130">
        <f t="shared" si="2"/>
        <v>0</v>
      </c>
      <c r="Q18" s="130"/>
    </row>
    <row r="19" spans="1:17" s="135" customFormat="1" ht="24.75" customHeight="1">
      <c r="A19" s="18" t="s">
        <v>30</v>
      </c>
      <c r="B19" s="133" t="s">
        <v>97</v>
      </c>
      <c r="C19" s="128">
        <f aca="true" t="shared" si="8" ref="C19:O19">SUM(C12:C18)</f>
        <v>5873649330</v>
      </c>
      <c r="D19" s="128">
        <f t="shared" si="8"/>
        <v>487155944.5</v>
      </c>
      <c r="E19" s="128">
        <f t="shared" si="8"/>
        <v>487155944.5</v>
      </c>
      <c r="F19" s="128">
        <f t="shared" si="8"/>
        <v>494100444.5</v>
      </c>
      <c r="G19" s="128">
        <f t="shared" si="8"/>
        <v>487155944.5</v>
      </c>
      <c r="H19" s="128">
        <f t="shared" si="8"/>
        <v>487155944.5</v>
      </c>
      <c r="I19" s="128">
        <f t="shared" si="8"/>
        <v>494100444.5</v>
      </c>
      <c r="J19" s="128">
        <f t="shared" si="8"/>
        <v>487155944.5</v>
      </c>
      <c r="K19" s="128">
        <f t="shared" si="8"/>
        <v>487155944.5</v>
      </c>
      <c r="L19" s="128">
        <f t="shared" si="8"/>
        <v>494100444.5</v>
      </c>
      <c r="M19" s="128">
        <f t="shared" si="8"/>
        <v>487155944.5</v>
      </c>
      <c r="N19" s="128">
        <f t="shared" si="8"/>
        <v>487155944.5</v>
      </c>
      <c r="O19" s="128">
        <f t="shared" si="8"/>
        <v>494100440.5</v>
      </c>
      <c r="P19" s="130">
        <f t="shared" si="2"/>
        <v>0</v>
      </c>
      <c r="Q19" s="130"/>
    </row>
    <row r="20" spans="3:15" ht="12.75" hidden="1">
      <c r="C20" s="130">
        <f>1!AN18</f>
        <v>5873649330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3:16" ht="12.75" hidden="1">
      <c r="C21" s="130">
        <f>C20-C19</f>
        <v>0</v>
      </c>
      <c r="D21" s="130">
        <f>D19-'11'!D21</f>
        <v>0.3333333134651184</v>
      </c>
      <c r="E21" s="130">
        <f>E19-'11'!E21</f>
        <v>0.3333333134651184</v>
      </c>
      <c r="F21" s="130">
        <f>F19-'11'!F21</f>
        <v>0.3333333134651184</v>
      </c>
      <c r="G21" s="130">
        <f>G19-'11'!G21</f>
        <v>0.3333333134651184</v>
      </c>
      <c r="H21" s="130">
        <f>H19-'11'!H21</f>
        <v>0.3333333134651184</v>
      </c>
      <c r="I21" s="130">
        <f>I19-'11'!I21</f>
        <v>0.3333333134651184</v>
      </c>
      <c r="J21" s="130">
        <f>J19-'11'!J21</f>
        <v>0.3333333134651184</v>
      </c>
      <c r="K21" s="130">
        <f>K19-'11'!K21</f>
        <v>0.3333333134651184</v>
      </c>
      <c r="L21" s="130">
        <f>L19-'11'!L21</f>
        <v>0.3333333134651184</v>
      </c>
      <c r="M21" s="130">
        <f>M19-'11'!M21</f>
        <v>0.3333333134651184</v>
      </c>
      <c r="N21" s="130">
        <f>N19-'11'!N21</f>
        <v>0.3333333134651184</v>
      </c>
      <c r="O21" s="130">
        <f>O19-'11'!O21</f>
        <v>0.3333333134651184</v>
      </c>
      <c r="P21" s="130">
        <f>SUM(C21:O21)</f>
        <v>3.999999761581421</v>
      </c>
    </row>
    <row r="22" spans="4:15" ht="12.7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4:15" ht="12.75"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</row>
    <row r="24" spans="4:15" ht="12.75">
      <c r="D24" s="4"/>
      <c r="E24" s="130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4:15" ht="12.75"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</row>
    <row r="26" spans="4:15" ht="12.7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8" spans="10:23" ht="20.25">
      <c r="J28" s="708"/>
      <c r="K28" s="708"/>
      <c r="L28" s="708"/>
      <c r="M28" s="708"/>
      <c r="N28" s="708"/>
      <c r="O28" s="708"/>
      <c r="P28" s="708"/>
      <c r="Q28" s="708"/>
      <c r="R28" s="708"/>
      <c r="S28" s="708"/>
      <c r="T28" s="708"/>
      <c r="U28" s="708"/>
      <c r="V28" s="708"/>
      <c r="W28" s="708"/>
    </row>
    <row r="34" spans="2:15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707"/>
      <c r="N34" s="709"/>
      <c r="O34" s="709"/>
    </row>
    <row r="35" spans="2:15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2"/>
      <c r="O35" s="12"/>
    </row>
    <row r="36" spans="2:15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2"/>
      <c r="O36" s="12"/>
    </row>
    <row r="37" spans="2:15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2:15" ht="22.5">
      <c r="B38" s="710"/>
      <c r="C38" s="710"/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</row>
    <row r="39" spans="2:15" ht="20.25">
      <c r="B39" s="714"/>
      <c r="C39" s="714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</row>
    <row r="40" spans="2:15" ht="20.25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</row>
    <row r="41" spans="2:15" ht="20.25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</row>
    <row r="42" spans="2:15" ht="20.25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</row>
    <row r="43" spans="2:15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707"/>
      <c r="O43" s="707"/>
    </row>
    <row r="44" spans="2:15" ht="12.75">
      <c r="B44" s="140"/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</row>
    <row r="45" spans="2:15" ht="24.75" customHeight="1">
      <c r="B45" s="142"/>
      <c r="C45" s="137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</row>
    <row r="46" spans="2:15" ht="24.75" customHeight="1">
      <c r="B46" s="142"/>
      <c r="C46" s="137"/>
      <c r="D46" s="144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</row>
    <row r="47" spans="2:15" ht="24.75" customHeight="1">
      <c r="B47" s="142"/>
      <c r="C47" s="137"/>
      <c r="D47" s="144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</row>
    <row r="48" spans="2:15" ht="24.75" customHeight="1">
      <c r="B48" s="142"/>
      <c r="C48" s="137"/>
      <c r="D48" s="144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</row>
    <row r="49" spans="2:15" ht="24.75" customHeight="1">
      <c r="B49" s="142"/>
      <c r="C49" s="137"/>
      <c r="D49" s="144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2:15" ht="24.75" customHeight="1">
      <c r="B50" s="142"/>
      <c r="C50" s="137"/>
      <c r="D50" s="144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</row>
    <row r="51" spans="2:15" ht="24.75" customHeight="1">
      <c r="B51" s="142"/>
      <c r="C51" s="137"/>
      <c r="D51" s="144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</row>
    <row r="52" spans="2:15" ht="24.75" customHeight="1">
      <c r="B52" s="142"/>
      <c r="C52" s="137"/>
      <c r="D52" s="144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</row>
    <row r="53" spans="2:15" ht="24.75" customHeight="1">
      <c r="B53" s="145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</row>
  </sheetData>
  <sheetProtection/>
  <mergeCells count="9">
    <mergeCell ref="N43:O43"/>
    <mergeCell ref="J28:W28"/>
    <mergeCell ref="M34:O34"/>
    <mergeCell ref="B38:O38"/>
    <mergeCell ref="B2:F2"/>
    <mergeCell ref="I2:O2"/>
    <mergeCell ref="B5:O5"/>
    <mergeCell ref="B6:O6"/>
    <mergeCell ref="B39:O3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Kovács Szilvia</cp:lastModifiedBy>
  <cp:lastPrinted>2020-09-01T08:12:31Z</cp:lastPrinted>
  <dcterms:created xsi:type="dcterms:W3CDTF">2014-02-02T08:05:39Z</dcterms:created>
  <dcterms:modified xsi:type="dcterms:W3CDTF">2020-09-01T09:15:21Z</dcterms:modified>
  <cp:category/>
  <cp:version/>
  <cp:contentType/>
  <cp:contentStatus/>
</cp:coreProperties>
</file>