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380" tabRatio="968" activeTab="3"/>
  </bookViews>
  <sheets>
    <sheet name="Z_TARTALOMJEGYZÉK" sheetId="1" r:id="rId1"/>
    <sheet name="Z_ALAPADATOK" sheetId="2" r:id="rId2"/>
    <sheet name="Z_ÖSSZEFÜGGÉSEK" sheetId="3" r:id="rId3"/>
    <sheet name="Z_1.1.sz.mell." sheetId="4" r:id="rId4"/>
    <sheet name="Z_1.2.sz.mell." sheetId="5" r:id="rId5"/>
    <sheet name="Z_1.3.sz.mell." sheetId="6" r:id="rId6"/>
    <sheet name="Z_1.4.sz.mell." sheetId="7" r:id="rId7"/>
    <sheet name="Z_2.1.sz.mell" sheetId="8" r:id="rId8"/>
    <sheet name="Z_2.2.sz.mell" sheetId="9" r:id="rId9"/>
    <sheet name="Z_ELLENŐRZÉS" sheetId="10" r:id="rId10"/>
    <sheet name="Z_3.sz.mell." sheetId="11" r:id="rId11"/>
    <sheet name="Z_4.sz.mell." sheetId="12" r:id="rId12"/>
    <sheet name="Z_5.sz.mell." sheetId="13" r:id="rId13"/>
    <sheet name="Z_6.1.sz.mell" sheetId="14" r:id="rId14"/>
    <sheet name="Z_6.1.1.sz.mell" sheetId="15" r:id="rId15"/>
    <sheet name="Z_6.1.2.sz.mell" sheetId="16" r:id="rId16"/>
    <sheet name="Z_6.1.3.sz.mell" sheetId="17" r:id="rId17"/>
    <sheet name="Z_6.2.sz.mell" sheetId="18" r:id="rId18"/>
    <sheet name="Z_6.2.1.sz.mell" sheetId="19" r:id="rId19"/>
    <sheet name="Z_6.2.2.sz.mell" sheetId="20" r:id="rId20"/>
    <sheet name="Z_6.2.3.sz.mell" sheetId="21" r:id="rId21"/>
    <sheet name="Z_6.3.sz.mell" sheetId="22" r:id="rId22"/>
    <sheet name="Z_6.3.1.sz.mell" sheetId="23" r:id="rId23"/>
    <sheet name="Z_6.3.2.sz.mell" sheetId="24" r:id="rId24"/>
    <sheet name="Z_6.3.3.sz.mell" sheetId="25" r:id="rId25"/>
    <sheet name="Z_6.4.sz.mell" sheetId="26" r:id="rId26"/>
    <sheet name="Z_6.4.1.sz.mell" sheetId="27" r:id="rId27"/>
    <sheet name="Z_6.4.2.sz.mell" sheetId="28" r:id="rId28"/>
    <sheet name="Z_6.4.3.sz.mell" sheetId="29" r:id="rId29"/>
    <sheet name="Z_7.sz.mell" sheetId="30" r:id="rId30"/>
    <sheet name="Z_8.sz.mell" sheetId="31" r:id="rId31"/>
    <sheet name="Z_1.tájékoztató_t." sheetId="32" r:id="rId32"/>
    <sheet name="Z_2.tájékoztató_t." sheetId="33" r:id="rId33"/>
    <sheet name="Z_3.tájékoztató_t." sheetId="34" r:id="rId34"/>
    <sheet name="Z_4.tájékoztató_t." sheetId="35" r:id="rId35"/>
    <sheet name="Z_5.tájékoztató_t." sheetId="36" r:id="rId36"/>
    <sheet name="Z_6.tájékoztató_t." sheetId="37" r:id="rId37"/>
    <sheet name="Z_7.1.tájékoztató_t." sheetId="38" r:id="rId38"/>
    <sheet name="Z_7.2.tájékoztató_t." sheetId="39" r:id="rId39"/>
    <sheet name="Z_7.3.tájékoztató_t." sheetId="40" r:id="rId40"/>
    <sheet name="Z_8.tájékoztató_t." sheetId="41" r:id="rId41"/>
    <sheet name="Z_9.tájékoztató_t." sheetId="42" r:id="rId42"/>
  </sheets>
  <definedNames>
    <definedName name="_ftn1" localSheetId="39">'Z_7.3.tájékoztató_t.'!$A$31</definedName>
    <definedName name="_ftnref1" localSheetId="39">'Z_7.3.tájékoztató_t.'!$A$22</definedName>
    <definedName name="_xlfn.IFERROR" hidden="1">#NAME?</definedName>
    <definedName name="_xlnm.Print_Titles" localSheetId="14">'Z_6.1.1.sz.mell'!$1:$6</definedName>
    <definedName name="_xlnm.Print_Titles" localSheetId="15">'Z_6.1.2.sz.mell'!$1:$6</definedName>
    <definedName name="_xlnm.Print_Titles" localSheetId="16">'Z_6.1.3.sz.mell'!$1:$6</definedName>
    <definedName name="_xlnm.Print_Titles" localSheetId="13">'Z_6.1.sz.mell'!$1:$6</definedName>
    <definedName name="_xlnm.Print_Titles" localSheetId="18">'Z_6.2.1.sz.mell'!$1:$6</definedName>
    <definedName name="_xlnm.Print_Titles" localSheetId="19">'Z_6.2.2.sz.mell'!$1:$6</definedName>
    <definedName name="_xlnm.Print_Titles" localSheetId="20">'Z_6.2.3.sz.mell'!$1:$6</definedName>
    <definedName name="_xlnm.Print_Titles" localSheetId="17">'Z_6.2.sz.mell'!$1:$6</definedName>
    <definedName name="_xlnm.Print_Titles" localSheetId="22">'Z_6.3.1.sz.mell'!$1:$6</definedName>
    <definedName name="_xlnm.Print_Titles" localSheetId="23">'Z_6.3.2.sz.mell'!$1:$6</definedName>
    <definedName name="_xlnm.Print_Titles" localSheetId="24">'Z_6.3.3.sz.mell'!$1:$6</definedName>
    <definedName name="_xlnm.Print_Titles" localSheetId="21">'Z_6.3.sz.mell'!$1:$6</definedName>
    <definedName name="_xlnm.Print_Titles" localSheetId="26">'Z_6.4.1.sz.mell'!$1:$6</definedName>
    <definedName name="_xlnm.Print_Titles" localSheetId="27">'Z_6.4.2.sz.mell'!$1:$6</definedName>
    <definedName name="_xlnm.Print_Titles" localSheetId="28">'Z_6.4.3.sz.mell'!$1:$6</definedName>
    <definedName name="_xlnm.Print_Titles" localSheetId="25">'Z_6.4.sz.mell'!$1:$6</definedName>
    <definedName name="_xlnm.Print_Titles" localSheetId="37">'Z_7.1.tájékoztató_t.'!$5:$9</definedName>
    <definedName name="_xlnm.Print_Area" localSheetId="3">'Z_1.1.sz.mell.'!$A$1:$E$166</definedName>
    <definedName name="_xlnm.Print_Area" localSheetId="4">'Z_1.2.sz.mell.'!$A$1:$E$166</definedName>
    <definedName name="_xlnm.Print_Area" localSheetId="5">'Z_1.3.sz.mell.'!$A$1:$E$166</definedName>
    <definedName name="_xlnm.Print_Area" localSheetId="6">'Z_1.4.sz.mell.'!$A$1:$E$166</definedName>
    <definedName name="_xlnm.Print_Area" localSheetId="31">'Z_1.tájékoztató_t.'!$A$1:$E$155</definedName>
  </definedNames>
  <calcPr fullCalcOnLoad="1"/>
</workbook>
</file>

<file path=xl/sharedStrings.xml><?xml version="1.0" encoding="utf-8"?>
<sst xmlns="http://schemas.openxmlformats.org/spreadsheetml/2006/main" count="5410" uniqueCount="912">
  <si>
    <t>Vállalkozási maradvány igénybevétele</t>
  </si>
  <si>
    <t>Felhalmozási bevételek</t>
  </si>
  <si>
    <t>Finanszírozási kiadások</t>
  </si>
  <si>
    <t>B E V É T E L E K</t>
  </si>
  <si>
    <t>Sor-szám</t>
  </si>
  <si>
    <t>Bevételi jogcím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</si>
  <si>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</si>
  <si>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</si>
  <si>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</si>
  <si>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</si>
  <si>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</si>
  <si>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</si>
  <si>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</si>
  <si>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</si>
  <si>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</si>
  <si>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</si>
  <si>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</si>
  <si>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</si>
  <si>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</si>
  <si>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</si>
  <si>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</si>
  <si>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</si>
  <si>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</si>
  <si>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</si>
  <si>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</si>
  <si>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</si>
  <si>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</si>
  <si>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</si>
  <si>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</si>
  <si>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</si>
  <si>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</si>
  <si>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</si>
  <si>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</si>
  <si>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</si>
  <si>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K I A D Á S O K</t>
  </si>
  <si>
    <t>Személyi  juttatások</t>
  </si>
  <si>
    <t>Tartalékok</t>
  </si>
  <si>
    <t>Összesen:</t>
  </si>
  <si>
    <t>01</t>
  </si>
  <si>
    <t>Bevételek</t>
  </si>
  <si>
    <t>Kiadások</t>
  </si>
  <si>
    <t>Egyéb fejlesztési célú kiadások</t>
  </si>
  <si>
    <t>02</t>
  </si>
  <si>
    <t>03</t>
  </si>
  <si>
    <t>Megnevezés</t>
  </si>
  <si>
    <t>Személyi juttatások</t>
  </si>
  <si>
    <t>ÖSSZESEN:</t>
  </si>
  <si>
    <t>Beruházás  megnevezése</t>
  </si>
  <si>
    <t>Teljes költség</t>
  </si>
  <si>
    <t>Kivitelezés kezdési és befejezési éve</t>
  </si>
  <si>
    <t>Felújítás  megnevezése</t>
  </si>
  <si>
    <t>Sor-
szám</t>
  </si>
  <si>
    <t>3.1.</t>
  </si>
  <si>
    <t>3.2.</t>
  </si>
  <si>
    <t>3.3.</t>
  </si>
  <si>
    <t>3.4.</t>
  </si>
  <si>
    <t>5.1.</t>
  </si>
  <si>
    <t>5.2.</t>
  </si>
  <si>
    <t>5.3.</t>
  </si>
  <si>
    <t>6.1.</t>
  </si>
  <si>
    <t>6.2.</t>
  </si>
  <si>
    <t>7.1.</t>
  </si>
  <si>
    <t>7.2.</t>
  </si>
  <si>
    <t>1.1.</t>
  </si>
  <si>
    <t>1.2.</t>
  </si>
  <si>
    <t>1.3.</t>
  </si>
  <si>
    <t>1.4.</t>
  </si>
  <si>
    <t>1.6.</t>
  </si>
  <si>
    <t>1.7.</t>
  </si>
  <si>
    <t>2.1.</t>
  </si>
  <si>
    <t>2.2.</t>
  </si>
  <si>
    <t>2.3.</t>
  </si>
  <si>
    <t>2.4.</t>
  </si>
  <si>
    <t>2.5.</t>
  </si>
  <si>
    <t>Kiadások összesen:</t>
  </si>
  <si>
    <t>1.5</t>
  </si>
  <si>
    <t>1.8.</t>
  </si>
  <si>
    <t>1.9.</t>
  </si>
  <si>
    <t>1.10.</t>
  </si>
  <si>
    <t>1.11.</t>
  </si>
  <si>
    <t>2.6.</t>
  </si>
  <si>
    <t>1.12.</t>
  </si>
  <si>
    <t>2.7.</t>
  </si>
  <si>
    <t>Források</t>
  </si>
  <si>
    <t>Saját erő</t>
  </si>
  <si>
    <t>EU-s forrás</t>
  </si>
  <si>
    <t>Hitel</t>
  </si>
  <si>
    <t>Egyéb forrás</t>
  </si>
  <si>
    <t>Források összesen:</t>
  </si>
  <si>
    <t>Támogatott neve</t>
  </si>
  <si>
    <t>Dologi  kiadások</t>
  </si>
  <si>
    <t>Személyi jellegű</t>
  </si>
  <si>
    <t>Beruházások, beszerzések</t>
  </si>
  <si>
    <t>Szolgáltatások igénybe vétele</t>
  </si>
  <si>
    <t>Adminisztratív költségek</t>
  </si>
  <si>
    <t>- saját erőből központi támogatás</t>
  </si>
  <si>
    <t>Társfinanszírozás</t>
  </si>
  <si>
    <t>1.5.</t>
  </si>
  <si>
    <t>11.1.</t>
  </si>
  <si>
    <t>11.2.</t>
  </si>
  <si>
    <t>1. sz. táblázat</t>
  </si>
  <si>
    <t>2. sz. táblázat</t>
  </si>
  <si>
    <t>3. sz. táblázat</t>
  </si>
  <si>
    <t>ELTÉRÉS</t>
  </si>
  <si>
    <t>Rövid lejáratú hitelek törlesztése</t>
  </si>
  <si>
    <t>Hosszú lejáratú hitelek törlesztése</t>
  </si>
  <si>
    <t>I. Működési célú bevételek és kiadások mérlege
(Önkormányzati szinten)</t>
  </si>
  <si>
    <t>II. Felhalmozási célú bevételek és kiadások mérlege
(Önkormányzati szinten)</t>
  </si>
  <si>
    <t>Költségvetési hiány:</t>
  </si>
  <si>
    <t>Költségvetési többlet:</t>
  </si>
  <si>
    <t>3.5.</t>
  </si>
  <si>
    <t>3.6.</t>
  </si>
  <si>
    <t xml:space="preserve">4. </t>
  </si>
  <si>
    <t>Közhatalmi bevételek</t>
  </si>
  <si>
    <t>5.4.</t>
  </si>
  <si>
    <t>5.5.</t>
  </si>
  <si>
    <t>5.6.</t>
  </si>
  <si>
    <t>5.7.</t>
  </si>
  <si>
    <t>5.8.</t>
  </si>
  <si>
    <t xml:space="preserve">7. </t>
  </si>
  <si>
    <t>8.1.</t>
  </si>
  <si>
    <t>8.2.</t>
  </si>
  <si>
    <t>Munkaadókat terhelő járulékok és szociális hozzájárulási adó</t>
  </si>
  <si>
    <t>Ellátottak pénzbeli juttatásai</t>
  </si>
  <si>
    <t>Egyéb működési célú kiadások</t>
  </si>
  <si>
    <t>1.13.</t>
  </si>
  <si>
    <t>Felújítások</t>
  </si>
  <si>
    <t>2.8.</t>
  </si>
  <si>
    <t>2.9.</t>
  </si>
  <si>
    <t>2.10.</t>
  </si>
  <si>
    <t>Értékpapír vásárlása, visszavásárlása</t>
  </si>
  <si>
    <t>Forgatási célú belföldi, külföldi értékpapírok vásárlása</t>
  </si>
  <si>
    <t>Betét elhelyezése</t>
  </si>
  <si>
    <t>Hitelek törlesztése</t>
  </si>
  <si>
    <t>Befektetési célú belföldi, külföldi értékpapírok vásárlása</t>
  </si>
  <si>
    <t>Feladat megnevezése</t>
  </si>
  <si>
    <t>Száma</t>
  </si>
  <si>
    <t>Központi költségvetéssel szemben fennálló tartozás</t>
  </si>
  <si>
    <t>Elkülönített állami pénzalapokkal szembeni tartozás</t>
  </si>
  <si>
    <t>TB alapokkal szembeni tartozás</t>
  </si>
  <si>
    <t>Tartozásállomány önkormányzatok és intézmények felé</t>
  </si>
  <si>
    <t xml:space="preserve">   Költségvetési maradvány igénybevétele </t>
  </si>
  <si>
    <t xml:space="preserve">   Vállalkozási maradvány igénybevétele </t>
  </si>
  <si>
    <t>Beruházások</t>
  </si>
  <si>
    <t>8.3.</t>
  </si>
  <si>
    <t>Egyéb felhalmozási kiadások</t>
  </si>
  <si>
    <t xml:space="preserve">   Betét visszavonásából származó bevétel </t>
  </si>
  <si>
    <t xml:space="preserve">Dologi kiadások </t>
  </si>
  <si>
    <t>Kölcsön törlesztése</t>
  </si>
  <si>
    <t>Költségvetési maradvány igénybevétele</t>
  </si>
  <si>
    <t xml:space="preserve">Vállalkozási maradvány igénybevétele </t>
  </si>
  <si>
    <t xml:space="preserve">Betét visszavonásából származó bevétel </t>
  </si>
  <si>
    <t>Értékpapír értékesítése</t>
  </si>
  <si>
    <t>Egyéb belső finanszírozási bevételek</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</si>
  <si>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</si>
  <si>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</si>
  <si>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</si>
  <si>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</si>
  <si>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</si>
  <si>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</si>
  <si>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Hiány belső finanszírozás bevételei ( 14+…+18)</t>
  </si>
  <si>
    <t>Önkormányzat működési támogatásai (1.1.+…+.1.6.)</t>
  </si>
  <si>
    <t>Helyi önkormányzatok működésének általános támogatása</t>
  </si>
  <si>
    <t>Önkormányzatok egyes köznevelési feladatainak támogatása</t>
  </si>
  <si>
    <t>Önkormányzatok szociális és gyermekjóléti feladatainak támogatása</t>
  </si>
  <si>
    <t>Önkormányzatok kulturális feladatainak támogatása</t>
  </si>
  <si>
    <t>Működési célú támogatások államháztartáson belülről (2.1.+…+.2.5.)</t>
  </si>
  <si>
    <t>Elvonások és befizetések bevételei</t>
  </si>
  <si>
    <t xml:space="preserve">Működési célú garancia- és kezességvállalásból megtérülések </t>
  </si>
  <si>
    <t xml:space="preserve">Egyéb működési célú támogatások bevételei </t>
  </si>
  <si>
    <t>2.5.-ből EU-s támogatás</t>
  </si>
  <si>
    <t>Felhalmozási célú támogatások államháztartáson belülről (3.1.+…+3.5.)</t>
  </si>
  <si>
    <t>Felhalmozási célú önkormányzati támogatások</t>
  </si>
  <si>
    <t>Felhalmozási célú garancia- és kezességvállalásból megtérülések</t>
  </si>
  <si>
    <t>Egyéb felhalmozási célú támogatások bevételei</t>
  </si>
  <si>
    <t>3.5.-ből EU-s támogatás</t>
  </si>
  <si>
    <t>4.1.</t>
  </si>
  <si>
    <t>4.2.</t>
  </si>
  <si>
    <t>4.3.</t>
  </si>
  <si>
    <t>4.4.</t>
  </si>
  <si>
    <t>Gépjárműadó</t>
  </si>
  <si>
    <t>5.9.</t>
  </si>
  <si>
    <t>5.10.</t>
  </si>
  <si>
    <t>Készletértékesítés ellenértéke</t>
  </si>
  <si>
    <t>Szolgáltatások ellenértéke</t>
  </si>
  <si>
    <t>Közvetített szolgáltatások értéke</t>
  </si>
  <si>
    <t>Tulajdonosi bevételek</t>
  </si>
  <si>
    <t>Ellátási díjak</t>
  </si>
  <si>
    <t xml:space="preserve">Kiszámlázott általános forgalmi adó </t>
  </si>
  <si>
    <t>Általános forgalmi adó visszatérítése</t>
  </si>
  <si>
    <t>Kamatbevételek</t>
  </si>
  <si>
    <t>Egyéb pénzügyi műveletek bevételei</t>
  </si>
  <si>
    <t>Egyéb működési bevételek</t>
  </si>
  <si>
    <t>Felhalmozási bevételek (6.1.+…+6.5.)</t>
  </si>
  <si>
    <t>6.3.</t>
  </si>
  <si>
    <t>6.4.</t>
  </si>
  <si>
    <t>6.5.</t>
  </si>
  <si>
    <t>Immateriális javak értékesítése</t>
  </si>
  <si>
    <t>Ingatlanok értékesítése</t>
  </si>
  <si>
    <t>Egyéb tárgyi eszközök értékesítése</t>
  </si>
  <si>
    <t>Részesedések értékesítése</t>
  </si>
  <si>
    <t>Részesedések megszűnéséhez kapcsolódó bevételek</t>
  </si>
  <si>
    <t>Működési célú átvett pénzeszközök (7.1. + … + 7.3.)</t>
  </si>
  <si>
    <t>Működési célú garancia- és kezességvállalásból megtérülések ÁH-n kívülről</t>
  </si>
  <si>
    <t>Egyéb működési célú átvett pénzeszköz</t>
  </si>
  <si>
    <t>7.3.-ból EU-s támogatás (közvetlen)</t>
  </si>
  <si>
    <t>7.3.</t>
  </si>
  <si>
    <t>7.4.</t>
  </si>
  <si>
    <t>Felhalmozási célú átvett pénzeszközök (8.1.+8.2.+8.3.)</t>
  </si>
  <si>
    <t>8.4.</t>
  </si>
  <si>
    <t>Felhalm. célú garancia- és kezességvállalásból megtérülések ÁH-n kívülről</t>
  </si>
  <si>
    <t>Egyéb felhalmozási célú átvett pénzeszköz</t>
  </si>
  <si>
    <t>8.3.-ból EU-s támogatás (közvetlen)</t>
  </si>
  <si>
    <t>KÖLTSÉGVETÉSI BEVÉTELEK ÖSSZESEN: (1+…+8)</t>
  </si>
  <si>
    <t xml:space="preserve">   10.</t>
  </si>
  <si>
    <t>Hitel-, kölcsönfelvétel államháztartáson kívülről  (10.1.+10.3.)</t>
  </si>
  <si>
    <t>Hosszú lejáratú  hitelek, kölcsönök felvétele</t>
  </si>
  <si>
    <t>Likviditási célú  hitelek, kölcsönök felvétele pénzügyi vállalkozástól</t>
  </si>
  <si>
    <t xml:space="preserve">    Rövid lejáratú  hitelek, kölcsönök felvétele</t>
  </si>
  <si>
    <t xml:space="preserve">   11.</t>
  </si>
  <si>
    <t>Belföldi értékpapírok bevételei (11.1. +…+ 11.4.)</t>
  </si>
  <si>
    <t>Forgatási célú belföldi értékpapírok beváltása,  értékesítése</t>
  </si>
  <si>
    <t>Befektetési célú belföldi értékpapírok beváltása,  értékesítése</t>
  </si>
  <si>
    <t xml:space="preserve">    12.</t>
  </si>
  <si>
    <t>Maradvány igénybevétele (12.1. + 12.2.)</t>
  </si>
  <si>
    <t>Előző év költségvetési maradványának igénybevétele</t>
  </si>
  <si>
    <t>Előző év vállalkozási maradványának igénybevétele</t>
  </si>
  <si>
    <t xml:space="preserve">    13.</t>
  </si>
  <si>
    <t>Belföldi finanszírozás bevételei (13.1. + … + 13.3.)</t>
  </si>
  <si>
    <t>Államháztartáson belüli megelőlegezések</t>
  </si>
  <si>
    <t>Államháztartáson belüli megelőlegezések törlesztése</t>
  </si>
  <si>
    <t xml:space="preserve">    14.</t>
  </si>
  <si>
    <t xml:space="preserve">    14.1.</t>
  </si>
  <si>
    <t>Forgatási célú külföldi értékpapírok beváltása,  értékesítése</t>
  </si>
  <si>
    <t xml:space="preserve">    14.2.</t>
  </si>
  <si>
    <t>Befektetési célú külföldi értékpapírok beváltása,  értékesítése</t>
  </si>
  <si>
    <t xml:space="preserve">    14.3.</t>
  </si>
  <si>
    <t>Külföldi értékpapírok kibocsátása</t>
  </si>
  <si>
    <t xml:space="preserve">    14.4.</t>
  </si>
  <si>
    <t>Külföldi hitelek, kölcsönök felvétele</t>
  </si>
  <si>
    <t xml:space="preserve">    15.</t>
  </si>
  <si>
    <t>Adóssághoz nem kapcsolódó származékos ügyletek bevételei</t>
  </si>
  <si>
    <t xml:space="preserve">    16.</t>
  </si>
  <si>
    <t>10.1.</t>
  </si>
  <si>
    <t>11.3.</t>
  </si>
  <si>
    <t>11.4.</t>
  </si>
  <si>
    <t>12.1.</t>
  </si>
  <si>
    <t>12.2.</t>
  </si>
  <si>
    <t>13.1.</t>
  </si>
  <si>
    <t>13.2.</t>
  </si>
  <si>
    <t>13.3.</t>
  </si>
  <si>
    <t>Külföldi finanszírozás bevételei (14.1.+…14.4.)</t>
  </si>
  <si>
    <t>10.2.</t>
  </si>
  <si>
    <t>10.3.</t>
  </si>
  <si>
    <t xml:space="preserve">    17.</t>
  </si>
  <si>
    <t>1.14.</t>
  </si>
  <si>
    <t>1.15.</t>
  </si>
  <si>
    <t xml:space="preserve">   - Garancia- és kezességvállalásból kifizetés ÁH-n belülre</t>
  </si>
  <si>
    <t xml:space="preserve">   -Visszatérítendő támogatások, kölcsönök nyújtása ÁH-n belülre</t>
  </si>
  <si>
    <t xml:space="preserve">   - Visszatérítendő támogatások, kölcsönök törlesztése ÁH-n belülre</t>
  </si>
  <si>
    <t xml:space="preserve">   - Egyéb működési célú támogatások ÁH-n belülre</t>
  </si>
  <si>
    <t xml:space="preserve">   - Garancia és kezességvállalásból kifizetés ÁH-n kívülre</t>
  </si>
  <si>
    <t xml:space="preserve">   - Visszatérítendő támogatások, kölcsönök nyújtása ÁH-n kívülre</t>
  </si>
  <si>
    <t xml:space="preserve">   - Árkiegészítések, ártámogatások</t>
  </si>
  <si>
    <t xml:space="preserve">   - Kamattámogatások</t>
  </si>
  <si>
    <t xml:space="preserve">   - Egyéb működési célú támogatások államháztartáson kívülre</t>
  </si>
  <si>
    <r>
      <t xml:space="preserve">   Felhalmozási költségvetés kiadásai </t>
    </r>
    <r>
      <rPr>
        <sz val="8"/>
        <rFont val="Times New Roman CE"/>
        <family val="0"/>
      </rPr>
      <t>(2.1.+2.3.+2.5.)</t>
    </r>
  </si>
  <si>
    <t>2.11.</t>
  </si>
  <si>
    <t>2.12.</t>
  </si>
  <si>
    <t>2.13.</t>
  </si>
  <si>
    <t>2.1.-ből EU-s forrásból megvalósuló beruházás</t>
  </si>
  <si>
    <t>2.3.-ból EU-s forrásból megvalósuló felújítás</t>
  </si>
  <si>
    <t xml:space="preserve">   - Egyéb felhalmozási célú támogatások államháztartáson kívülre</t>
  </si>
  <si>
    <t xml:space="preserve">   - Lakástámogatás</t>
  </si>
  <si>
    <t xml:space="preserve">   - Garancia- és kezességvállalásból kifizetés ÁH-n kívülre</t>
  </si>
  <si>
    <t xml:space="preserve">   - Egyéb felhalmozási célú támogatások ÁH-n belülre</t>
  </si>
  <si>
    <t xml:space="preserve">   - Visszatérítendő támogatások, kölcsönök nyújtása ÁH-n belülre</t>
  </si>
  <si>
    <t>Államháztartáson belüli megelőlegezések folyósítása</t>
  </si>
  <si>
    <t>Államháztartáson belüli megelőlegezések visszafizetése</t>
  </si>
  <si>
    <t>KÖLTSÉGVETÉSI, FINANSZÍROZÁSI BEVÉTELEK ÉS KIADÁSOK EGYENLEGE</t>
  </si>
  <si>
    <t>Önkormányzatok működési támogatásai</t>
  </si>
  <si>
    <t>Működési célú támogatások államháztartáson belülről</t>
  </si>
  <si>
    <t>Működési célú átvett pénzeszközök</t>
  </si>
  <si>
    <t xml:space="preserve">   Értékpapírok bevételei</t>
  </si>
  <si>
    <t>Likviditási célú hitelek törlesztése</t>
  </si>
  <si>
    <t>Költségvetési kiadások összesen (1.+...+12.)</t>
  </si>
  <si>
    <t>Felhalmozási célú támogatások államháztartáson belülről</t>
  </si>
  <si>
    <t>1.-ből EU-s támogatás</t>
  </si>
  <si>
    <t>Felhalmozási célú átvett pénzeszközök átvétele</t>
  </si>
  <si>
    <t>4.-ből EU-s támogatás (közvetlen)</t>
  </si>
  <si>
    <t>Egyéb felhalmozási célú bevételek</t>
  </si>
  <si>
    <t>Felhalmozási célú finanszírozási bevételek összesen (13.+19.)</t>
  </si>
  <si>
    <t>1.-ből EU-s forrásból megvalósuló beruházás</t>
  </si>
  <si>
    <t>3.-ból EU-s forrásból megvalósuló felújítás</t>
  </si>
  <si>
    <t>Pénzügyi lízing kiadásai</t>
  </si>
  <si>
    <t>Felhalmozási célú finanszírozási kiadások összesen
(13.+...+24.)</t>
  </si>
  <si>
    <t>BEVÉTEL ÖSSZESEN (12+25)</t>
  </si>
  <si>
    <t>KIADÁSOK ÖSSZESEN (12+25)</t>
  </si>
  <si>
    <t xml:space="preserve"> 10.</t>
  </si>
  <si>
    <t>2.-ból EU-s támogatás</t>
  </si>
  <si>
    <t>Költségvetési bevételek összesen: (1.+3.+4.+6.+…+11.)</t>
  </si>
  <si>
    <t>Költségvetési kiadások összesen: (1.+3.+5.+...+11.)</t>
  </si>
  <si>
    <t>Összes bevétel, kiadás</t>
  </si>
  <si>
    <t>Polgármesteri /közös/ hivatal</t>
  </si>
  <si>
    <t>Kiszámlázott általános forgalmi adó</t>
  </si>
  <si>
    <t>Általános forgalmi adó visszatérülése</t>
  </si>
  <si>
    <t>Működési célú támogatások államháztartáson belülről (2.1.+…+2.3.)</t>
  </si>
  <si>
    <t>Visszatérítendő támogatások, kölcsönök visszatérülése ÁH-n belülről</t>
  </si>
  <si>
    <t>Egyéb működési célú támogatások bevételei államháztartáson belülről</t>
  </si>
  <si>
    <t>Felhalmozási célú támogatások államháztartáson belülről (4.1.+4.2.)</t>
  </si>
  <si>
    <t>Egyéb felhalmozási célú támogatások bevételei államháztartáson belülről</t>
  </si>
  <si>
    <t>Felhalmozási bevételek (5.1.+…+5.3.)</t>
  </si>
  <si>
    <t>Felhalmozási célú átvett pénzeszközök</t>
  </si>
  <si>
    <t>Költségvetési bevételek összesen (1.+…+7.)</t>
  </si>
  <si>
    <t>Finanszírozási bevételek (9.1.+…+9.3.)</t>
  </si>
  <si>
    <t>9.1.</t>
  </si>
  <si>
    <t>9.2.</t>
  </si>
  <si>
    <t>9.3.</t>
  </si>
  <si>
    <t>Irányító szervi (önkormányzati) támogatás (intézményfinanszírozás)</t>
  </si>
  <si>
    <t>BEVÉTELEK ÖSSZESEN: (8.+9.)</t>
  </si>
  <si>
    <t>Működési költségvetés kiadásai (1.1+…+1.5.)</t>
  </si>
  <si>
    <t>Felhalmozási költségvetés kiadásai (2.1.+…+2.3.)</t>
  </si>
  <si>
    <t>Kötelező feladatok bevételei, kiadásai</t>
  </si>
  <si>
    <t>Önként vállalt feladatok bevételei, kiadásai</t>
  </si>
  <si>
    <t>Működési bevételek</t>
  </si>
  <si>
    <t xml:space="preserve">Működési célú visszatérítendő támogatások, kölcsönök visszatérülése </t>
  </si>
  <si>
    <t>Működési célú visszatérítendő támogatások, kölcsönök igénybevétele</t>
  </si>
  <si>
    <t>Felhalmozási célú visszatérítendő támogatások, kölcsönök visszatérülése</t>
  </si>
  <si>
    <t>Felhalmozási célú visszatérítendő támogatások, kölcsönök igénybevétele</t>
  </si>
  <si>
    <t>Működési célú visszatérítendő támogatások, kölcsönök visszatér. ÁH-n kívülről</t>
  </si>
  <si>
    <t>Felhalm. célú visszatérítendő támogatások, kölcsönök visszatér. ÁH-n kívülről</t>
  </si>
  <si>
    <t>2.5.-ből        - Garancia- és kezességvállalásból kifizetés ÁH-n belülre</t>
  </si>
  <si>
    <t>04</t>
  </si>
  <si>
    <t xml:space="preserve">Működési célú kvi támogatások és kiegészítő támogatások </t>
  </si>
  <si>
    <t>Elszámolásból származó bevételek</t>
  </si>
  <si>
    <t>Működési bevételek (5.1.+…+ 5.11.)</t>
  </si>
  <si>
    <t>5.11.</t>
  </si>
  <si>
    <t>Biztosító által fizetett kártérítés</t>
  </si>
  <si>
    <r>
      <t xml:space="preserve">   Működési költségvetés kiadásai </t>
    </r>
    <r>
      <rPr>
        <sz val="8"/>
        <rFont val="Times New Roman CE"/>
        <family val="0"/>
      </rPr>
      <t>(1.1+…+1.5.+1.18.)</t>
    </r>
  </si>
  <si>
    <t>1.16.</t>
  </si>
  <si>
    <t>1.17.</t>
  </si>
  <si>
    <t xml:space="preserve">   - Elvonások és befizetések</t>
  </si>
  <si>
    <t xml:space="preserve">   - Törvényi előíráson alapuló befizetések</t>
  </si>
  <si>
    <t xml:space="preserve"> - az 1.5-ből: - Előző évi elszámolásból származó befizetések</t>
  </si>
  <si>
    <t>1.18.</t>
  </si>
  <si>
    <t>1.19.</t>
  </si>
  <si>
    <t>1.20.</t>
  </si>
  <si>
    <t xml:space="preserve"> - az 1.18-ból: - Általános tartalék</t>
  </si>
  <si>
    <t xml:space="preserve">   - Céltartalék</t>
  </si>
  <si>
    <t>KÖLTSÉGVETÉSI KIADÁSOK ÖSSZESEN (1+2)</t>
  </si>
  <si>
    <t>Hitel-, kölcsöntörlesztés államháztartáson kívülre (4.1. + … + 4.3.)</t>
  </si>
  <si>
    <t>Belföldi értékpapírok kiadásai (5.1. + … + 5.6.)</t>
  </si>
  <si>
    <t>Befektetési célú belföldi értékpapírok vásárlása</t>
  </si>
  <si>
    <t>Kincstárjegyek beváltása</t>
  </si>
  <si>
    <t>Éven belüli lejáratú belföldi értékpapírok beváltása</t>
  </si>
  <si>
    <t>Belföldi kötvények beváltása</t>
  </si>
  <si>
    <t>Éven túli lejáratú belföldi értékpapírok beváltása</t>
  </si>
  <si>
    <t>Hosszú lejáratú hitelek, kölcsönök törlesztése pénzügyi vállalkozásnak</t>
  </si>
  <si>
    <t>Likviditási célú hitelek, kölcsönök törlesztése pénzügyi vállalkozásnak</t>
  </si>
  <si>
    <t>Rövid lejáratú hitelek, kölcsönök törlesztése pénzügyi vállalkozásnak</t>
  </si>
  <si>
    <t>Forgatási célú belföldi értékpapírok vásárlása</t>
  </si>
  <si>
    <t>Forgatási célú külföldi értékpapírok vásárlása</t>
  </si>
  <si>
    <t xml:space="preserve">   Rövid lejáratú  hitelek, kölcsönök felvétele</t>
  </si>
  <si>
    <t>Külföldi értékpapírok beváltása</t>
  </si>
  <si>
    <t>Belföldi finanszírozás kiadásai (6.1. + … + 6.4.)</t>
  </si>
  <si>
    <t>Pénzeszközök lekötött betétként elhelyezése</t>
  </si>
  <si>
    <t>Külföldi finanszírozás kiadásai (7.1. + … + 7.5.)</t>
  </si>
  <si>
    <t>7.5.</t>
  </si>
  <si>
    <t>Befektetési célú külföldi értékpapírok vásárlása</t>
  </si>
  <si>
    <t>Hitelek, kölcsönök törlesztése külföldi kormányoknak nemz. Szervezeteknek</t>
  </si>
  <si>
    <t>Hitelek, kölcsönök törlesztése külföldi pénzintézeteknek</t>
  </si>
  <si>
    <t>Adóssághoz nem kapcsolódó származékos ügyletek</t>
  </si>
  <si>
    <t>Váltókiadások</t>
  </si>
  <si>
    <t>KIADÁSOK ÖSSZESEN: (3.+10.)</t>
  </si>
  <si>
    <t>FINANSZÍROZÁSI KIADÁSOK ÖSSZESEN: (4.+…+9.)</t>
  </si>
  <si>
    <t>Költségvetési hiány, többlet ( költségvetési bevételek 9. sor - költségvetési kiadások 3. sor) (+/-)</t>
  </si>
  <si>
    <t>Váltóbevételek</t>
  </si>
  <si>
    <t xml:space="preserve">   9.</t>
  </si>
  <si>
    <t xml:space="preserve">    18.</t>
  </si>
  <si>
    <t>FINANSZÍROZÁSI BEVÉTELEK ÖSSZESEN: (10. + … +16.)</t>
  </si>
  <si>
    <t>KÖLTSÉGVETÉSI ÉS FINANSZÍROZÁSI BEVÉTELEK ÖSSZESEN: (9+17)</t>
  </si>
  <si>
    <t>Finanszírozási bevételek, kiadások egyenlege (finanszírozási bevételek 17. sor - finanszírozási kiadások 10. sor)
 (+/-)</t>
  </si>
  <si>
    <t>6.-ból EU-s támogatás (közvetlen)</t>
  </si>
  <si>
    <t>Költségvetési bevételek összesen (1.+2.+4.+5.+6.+8.+…+12.)</t>
  </si>
  <si>
    <t>BEVÉTEL ÖSSZESEN (13.+24.)</t>
  </si>
  <si>
    <t>A</t>
  </si>
  <si>
    <t>B</t>
  </si>
  <si>
    <t>C</t>
  </si>
  <si>
    <t>E</t>
  </si>
  <si>
    <t>D</t>
  </si>
  <si>
    <t>F</t>
  </si>
  <si>
    <t>G</t>
  </si>
  <si>
    <t>H</t>
  </si>
  <si>
    <t>Működési célú kvi támogatások és kiegészítő támogatások</t>
  </si>
  <si>
    <t xml:space="preserve">   16.</t>
  </si>
  <si>
    <t xml:space="preserve">   17.</t>
  </si>
  <si>
    <t xml:space="preserve">   18.</t>
  </si>
  <si>
    <t>BEVÉTELEK ÖSSZESEN: (9+17)</t>
  </si>
  <si>
    <t xml:space="preserve"> az 1.5-ből: - Előző évi elszámolásból származó befizetések</t>
  </si>
  <si>
    <t xml:space="preserve"> az 1.18-ból: - Általános tartalék</t>
  </si>
  <si>
    <t xml:space="preserve">     - Céltartalék</t>
  </si>
  <si>
    <r>
      <t xml:space="preserve">   Működési költségvetés kiadásai </t>
    </r>
    <r>
      <rPr>
        <sz val="8"/>
        <rFont val="Times New Roman CE"/>
        <family val="0"/>
      </rPr>
      <t>(1.1+…+1.5+1.18.)</t>
    </r>
  </si>
  <si>
    <t>Éven belüli lejáatú belföldi értékpapírok beváltása</t>
  </si>
  <si>
    <t>Rövid lejáratú hitelek, kölcsönök törlesztése</t>
  </si>
  <si>
    <t>Hosszú lejáratú hitelek, kölcsönök törlesztése</t>
  </si>
  <si>
    <t>Hitelek, kölcsönök törlesztése külföldi kormányoknak nemz. szervezeteknek</t>
  </si>
  <si>
    <t>Működési bevételek (1.1.+…+1.11.)</t>
  </si>
  <si>
    <t xml:space="preserve">  2.3-ból EU támogatás</t>
  </si>
  <si>
    <t>Felhalmozási célú támogatások államháztartáson belülről (4.1.+…+4.3.)</t>
  </si>
  <si>
    <t xml:space="preserve">  4.3.-ból EU-s támogatás</t>
  </si>
  <si>
    <t xml:space="preserve"> 2.3.-ból EU-s támogatásból megvalósuló programok, projektek kiadása</t>
  </si>
  <si>
    <t xml:space="preserve">  2.3.-ból EU támogatás</t>
  </si>
  <si>
    <t xml:space="preserve">  4.2.-ből EU-s támogatás</t>
  </si>
  <si>
    <t>KÖLTSÉGVETÉSI BEVÉTELEK ÖSSZESEN (1.+…+7.)</t>
  </si>
  <si>
    <t>KIADÁSOK ÖSSZESEN: (1.+2.+3.)</t>
  </si>
  <si>
    <t>Államigazgatási feladatok bevételei, kiadásai</t>
  </si>
  <si>
    <t>Központi, irányító szervi támogatás</t>
  </si>
  <si>
    <t>Belföldi finanszírozás kiadásai (6.1. + … + 6.5.)</t>
  </si>
  <si>
    <t>Eredeti
előirányzat</t>
  </si>
  <si>
    <t>Módosított
előirányzat</t>
  </si>
  <si>
    <t>Kiadási jogcím</t>
  </si>
  <si>
    <t>Hitel-, kölcsöntörlesztés államházt-on kívülre (4.1. + … + 4.3.)</t>
  </si>
  <si>
    <t xml:space="preserve">F </t>
  </si>
  <si>
    <t>I</t>
  </si>
  <si>
    <t>2.2. melléklet</t>
  </si>
  <si>
    <t>2.1. számú melléklet C. oszlop 13. sor + 2.2. számú melléklet C. oszlop 12. sor</t>
  </si>
  <si>
    <t>2.1. számú melléklet D. oszlop 13. sor + 2.2. számú melléklet D. oszlop 12. sor</t>
  </si>
  <si>
    <t>2.1. számú melléklet E. oszlop 13. sor + 2.2. számú melléklet E. oszlop 12. sor</t>
  </si>
  <si>
    <t>2.1. számú melléklet G. oszlop 13. sor + 2.2. számú melléklet G. oszlop 12. sor</t>
  </si>
  <si>
    <t>2.1. számú melléklet H. oszlop 13. sor + 2.2. számú melléklet H. oszlop 12. sor</t>
  </si>
  <si>
    <t>2.1. számú melléklet I. oszlop 13. sor + 2.2. számú melléklet I. oszlop 12. sor</t>
  </si>
  <si>
    <t>2.1. számú melléklet C. oszlop 24. sor + 2.2. számú melléklet C. oszlop 25. sor</t>
  </si>
  <si>
    <t>2.1. számú melléklet C. oszlop 25. sor + 2.2. számú melléklet C. oszlop 26. sor</t>
  </si>
  <si>
    <t>2.1. számú melléklet D. oszlop 24. sor + 2.2. számú melléklet D. oszlop 25. sor</t>
  </si>
  <si>
    <t>2.1. számú melléklet D. oszlop 25. sor + 2.2. számú melléklet D. oszlop 26. sor</t>
  </si>
  <si>
    <t>2.1. számú melléklet E. oszlop 24. sor + 2.2. számú melléklet E. oszlop 25. sor</t>
  </si>
  <si>
    <t>2.1. számú melléklet E. oszlop 25. sor + 2.2. számú melléklet E. oszlop 26. sor</t>
  </si>
  <si>
    <t>2.1. számú melléklet G. oszlop 24. sor + 2.2. számú melléklet G. oszlop 25. sor</t>
  </si>
  <si>
    <t>2.1. számú melléklet G. oszlop 25. sor + 2.2. számú melléklet G. oszlop 26. sor</t>
  </si>
  <si>
    <t>2.1. számú melléklet H. oszlop 24. sor + 2.2. számú melléklet H. oszlop 25. sor</t>
  </si>
  <si>
    <t>2.1. számú melléklet H. oszlop 25. sor + 2.2. számú melléklet H. oszlop 26. sor</t>
  </si>
  <si>
    <t>2.1. számú melléklet I. oszlop 24. sor + 2.2. számú melléklet I. oszlop 25. sor</t>
  </si>
  <si>
    <t>2.1. számú melléklet I. oszlop 25. sor + 2.2. számú melléklet I. oszlop 26. sor</t>
  </si>
  <si>
    <t>G=(D+F)</t>
  </si>
  <si>
    <t>Támogatási szerződés szerinti bevételek, kiadások</t>
  </si>
  <si>
    <t>Teljesítés</t>
  </si>
  <si>
    <t>Eredeti</t>
  </si>
  <si>
    <t>Módosított</t>
  </si>
  <si>
    <t>Eredeti ei.</t>
  </si>
  <si>
    <t>Eredeti előirányzat</t>
  </si>
  <si>
    <t>Módosított előirányzat</t>
  </si>
  <si>
    <t>6.1.1. melléklet</t>
  </si>
  <si>
    <t>6.1.2. melléklet</t>
  </si>
  <si>
    <t>Költségvetési szerv</t>
  </si>
  <si>
    <t>1.1 sz. melléklet Bevételek táblázat C. oszlop 17 sora =</t>
  </si>
  <si>
    <t>1.1 sz. melléklet Bevételek táblázat C. oszlop 18 sora =</t>
  </si>
  <si>
    <t>1.1. sz. melléklet Bevételek táblázat C. oszlop 9 sora =</t>
  </si>
  <si>
    <t>1.1. sz. melléklet Bevételek táblázat D. oszlop 9 sora =</t>
  </si>
  <si>
    <t>1.1. sz. melléklet Bevételek táblázat D. oszlop 17 sora =</t>
  </si>
  <si>
    <t>1.1. sz. melléklet Bevételek táblázat D. oszlop 18 sora =</t>
  </si>
  <si>
    <t>1.1. sz. melléklet Bevételek táblázat E. oszlop 9 sora =</t>
  </si>
  <si>
    <t>1.1. sz. melléklet Bevételek táblázat E. oszlop 17 sora =</t>
  </si>
  <si>
    <t>1.1. sz. melléklet Bevételek táblázat E. oszlop 18 sora =</t>
  </si>
  <si>
    <t>1.1.sz. melléklet Kiadások táblázat C. oszlop 3 sora =</t>
  </si>
  <si>
    <t>1.1. sz. melléklet Kiadások táblázat C. oszlop 10 sora =</t>
  </si>
  <si>
    <t>1.1. sz. melléklet Kiadások táblázat C. oszlop 11 sora =</t>
  </si>
  <si>
    <t>1.1. sz. melléklet Kiadások táblázat D. oszlop 3 sora =</t>
  </si>
  <si>
    <t>1.1. sz. melléklet Kiadások táblázat D. oszlop 10 sora =</t>
  </si>
  <si>
    <t>1.1. sz. melléklet Kiadások táblázat D. oszlop 11 sora =</t>
  </si>
  <si>
    <t>1.1. sz. melléklet Kiadások táblázat E. oszlop 3 sora =</t>
  </si>
  <si>
    <t>1.1. sz. melléklet Kiadások táblázat E. oszlop 10 sora =</t>
  </si>
  <si>
    <t>1.1.sz. melléklet Kiadások táblázat E. oszlop 11 sora =</t>
  </si>
  <si>
    <t>1.1. sz. melléklet Bevételek táblázat C. oszlop 17 sora =</t>
  </si>
  <si>
    <t>1.1. sz. melléklet Bevételek táblázat C. oszlop 18 sora =</t>
  </si>
  <si>
    <t>1.1. sz. melléklet Kiadások táblázat C. oszlop 3 sora =</t>
  </si>
  <si>
    <t>1.1. sz. melléklet Kiadások táblázat E. oszlop 11 sora =</t>
  </si>
  <si>
    <t>Közhatalmi bevételek (4.1.+…+4.7.)</t>
  </si>
  <si>
    <t>Építményadó</t>
  </si>
  <si>
    <t>Iparűzési adó</t>
  </si>
  <si>
    <t>Talajterhelési díj</t>
  </si>
  <si>
    <t>4.5.</t>
  </si>
  <si>
    <t>4.6.</t>
  </si>
  <si>
    <t>4.7.</t>
  </si>
  <si>
    <t>Kamatbevételek és más nyereségjellegű bevételek</t>
  </si>
  <si>
    <t>Kiemelt előirányzat, előirányzat megnevezése</t>
  </si>
  <si>
    <t>Tényleges állományi létszám előirányzat (fő)</t>
  </si>
  <si>
    <t>Közfoglalkoztatottak tényleges állományi létszáma (fő)</t>
  </si>
  <si>
    <t xml:space="preserve"> Forintban!</t>
  </si>
  <si>
    <t>Bruttó  hiány:</t>
  </si>
  <si>
    <t>Bruttó  többlet:</t>
  </si>
  <si>
    <t>Éven belüli lejáratú belföldi értékpapírok kibocsátása</t>
  </si>
  <si>
    <t>Éven túli lejáratú belföldi értékpapírok kibocsátása</t>
  </si>
  <si>
    <t>Lekötött betétek megszüntetése</t>
  </si>
  <si>
    <t>ALAPADATOK</t>
  </si>
  <si>
    <t>……………………. Polgármesteri /Közös Önkormányzati Hivatal</t>
  </si>
  <si>
    <t>1. költségvetési szerv neve</t>
  </si>
  <si>
    <t>2. költségvetési szerv neve</t>
  </si>
  <si>
    <t>3. költségvetési szerv neve</t>
  </si>
  <si>
    <t>3 kvi név</t>
  </si>
  <si>
    <t>4. költségvetési szerv neve</t>
  </si>
  <si>
    <t>4 kvi név</t>
  </si>
  <si>
    <t>5. költségvetési szerv neve</t>
  </si>
  <si>
    <t>5 kvi név</t>
  </si>
  <si>
    <t>6. költségvetési szerv neve</t>
  </si>
  <si>
    <t>6 kvi név</t>
  </si>
  <si>
    <t>7. költségvetési szerv neve</t>
  </si>
  <si>
    <t>7 kvi név</t>
  </si>
  <si>
    <t>8. költségvetési szerv neve</t>
  </si>
  <si>
    <t>8 kvi név</t>
  </si>
  <si>
    <t>9 kvi név</t>
  </si>
  <si>
    <t>10. költségvetési szerv neve</t>
  </si>
  <si>
    <t>10 kvi név</t>
  </si>
  <si>
    <t>2.1. melléklet</t>
  </si>
  <si>
    <t xml:space="preserve">Összesen: </t>
  </si>
  <si>
    <t xml:space="preserve">* Amennyiben több projekt megvalósítása történi egy időben akkor azokat külön-külön, projektenként be kell mutatni! </t>
  </si>
  <si>
    <t>Zárszámadási rendelet űrlapjainak összefüggései:</t>
  </si>
  <si>
    <t>Beruházási (felhalmozási) kiadások előirányzata és teljesítése beruházásonként</t>
  </si>
  <si>
    <t>Felújítási kiadások előirányzata és teljesítése felújításonként</t>
  </si>
  <si>
    <t>Európai uniós támogatással megvalósuló projektek</t>
  </si>
  <si>
    <t>6.1. melléklet</t>
  </si>
  <si>
    <t>Közhatalmi bevételek (4.1.+...+4.7.)</t>
  </si>
  <si>
    <t>Működési bevételek (5.1.+…+ 5.10.)</t>
  </si>
  <si>
    <t>Működési célú visszatérítendő támogatások kölcsönök visszatér. ÁH-n kívülről</t>
  </si>
  <si>
    <t>Felhalm. célú visszatérítendő támogatások kölcsönök visszatér. ÁH-n kívülről</t>
  </si>
  <si>
    <t>Hitel-, kölcsönfelvétel államháztartáson kívülről  (10.1.+…+10.3.)</t>
  </si>
  <si>
    <t>Lejötött betétek megszüntetése</t>
  </si>
  <si>
    <t>FINANSZÍROZÁSI BEVÉTELEK ÖSSZESEN: (10. + … +15.)</t>
  </si>
  <si>
    <t>KÖLTSÉGVETÉSI ÉS FINANSZÍROZÁSI BEVÉTELEK ÖSSZESEN: (9+16)</t>
  </si>
  <si>
    <t>Forgatási célú belföldi értékpapírok beváltása</t>
  </si>
  <si>
    <t>Befektetési célú belföldi értékpapírok beváltása</t>
  </si>
  <si>
    <t xml:space="preserve">Pénzeszközök betétként elhelyezése </t>
  </si>
  <si>
    <t xml:space="preserve"> Forgatási célú külföldi értékpapírok vásárlása</t>
  </si>
  <si>
    <t xml:space="preserve"> Befektetési célú külföldi értékpapírok beváltása</t>
  </si>
  <si>
    <t xml:space="preserve"> Külföldi értékpapírok beváltása</t>
  </si>
  <si>
    <t>Kötelezettség
jogcíme</t>
  </si>
  <si>
    <t>Kötelezettség- 
vállalás 
éve</t>
  </si>
  <si>
    <t>Összes vállalt kötelezettség</t>
  </si>
  <si>
    <t>Kötelezettségek a következő években</t>
  </si>
  <si>
    <t>Még fennálló kötelezettség</t>
  </si>
  <si>
    <t xml:space="preserve">B </t>
  </si>
  <si>
    <t>J=(F+…+I)</t>
  </si>
  <si>
    <t>Működési célú
hiteltörlesztés (tőke+kamat)</t>
  </si>
  <si>
    <t>............................</t>
  </si>
  <si>
    <t>Felhalmozási célú
hiteltörlesztés (tőke+kamat)</t>
  </si>
  <si>
    <t>Beruházás feladatonként</t>
  </si>
  <si>
    <t>Felújítás célonként</t>
  </si>
  <si>
    <t>Egyéb</t>
  </si>
  <si>
    <t>Összesen (1+4+7+9+11)</t>
  </si>
  <si>
    <t xml:space="preserve">Hitel, kölcsön </t>
  </si>
  <si>
    <t>Kölcsön-
nyújtás
éve</t>
  </si>
  <si>
    <t xml:space="preserve">Lejárat
éve </t>
  </si>
  <si>
    <t>Hitel, kölcsön állomány december 31-én</t>
  </si>
  <si>
    <t xml:space="preserve">Rövid lejáratú </t>
  </si>
  <si>
    <t>Hosszú lejáratú</t>
  </si>
  <si>
    <t>Összesen (1+8)</t>
  </si>
  <si>
    <t xml:space="preserve">Adósságállomány 
eszközök szerint </t>
  </si>
  <si>
    <t>Nem lejárt</t>
  </si>
  <si>
    <t>Lejárt</t>
  </si>
  <si>
    <t>1-90 nap közötti</t>
  </si>
  <si>
    <t>91-180 nap közötti</t>
  </si>
  <si>
    <t>181-360 nap közötti</t>
  </si>
  <si>
    <t>360 napon 
túli</t>
  </si>
  <si>
    <t>Összes lejárt tartozás</t>
  </si>
  <si>
    <t>H=(D+…+G)</t>
  </si>
  <si>
    <t>I=(C+H)</t>
  </si>
  <si>
    <t>I. Belföldi hitelezők</t>
  </si>
  <si>
    <t>Adóhatósággal szembeni tartozások</t>
  </si>
  <si>
    <t>Szállítói tartozás</t>
  </si>
  <si>
    <t>Egyéb adósság</t>
  </si>
  <si>
    <t>Belföldi összesen:</t>
  </si>
  <si>
    <t>II. Külföldi hitelezők</t>
  </si>
  <si>
    <t>Külföldi szállítók</t>
  </si>
  <si>
    <t>Külföldi összesen:</t>
  </si>
  <si>
    <t>Adósságállomány mindösszesen:</t>
  </si>
  <si>
    <t>Tervezett</t>
  </si>
  <si>
    <t>Tényleges</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</si>
  <si>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</si>
  <si>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</si>
  <si>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</si>
  <si>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</si>
  <si>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</si>
  <si>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</si>
  <si>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</si>
  <si>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</si>
  <si>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</si>
  <si>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</si>
  <si>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</si>
  <si>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</si>
  <si>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menteség</t>
  </si>
  <si>
    <t>Eszközök hasznosítása utáni kedvezmény, menteség</t>
  </si>
  <si>
    <t>Egyéb kedvezmény</t>
  </si>
  <si>
    <t>Egyéb kölcsön elengedése</t>
  </si>
  <si>
    <t>A helyi adókból biztosított kedvezményeket, mentességeket, adónemenként kell feltüntetni.</t>
  </si>
  <si>
    <t>Támogatott szervezet neve</t>
  </si>
  <si>
    <t>Támogatás célja</t>
  </si>
  <si>
    <t>Tervezett 
(E Ft)</t>
  </si>
  <si>
    <t>Tényleges 
(E Ft)</t>
  </si>
  <si>
    <t>29.</t>
  </si>
  <si>
    <t>30.</t>
  </si>
  <si>
    <t>31.</t>
  </si>
  <si>
    <t>32.</t>
  </si>
  <si>
    <t>33.</t>
  </si>
  <si>
    <t>ESZKÖZÖK</t>
  </si>
  <si>
    <t>Sorszám</t>
  </si>
  <si>
    <t>Bruttó</t>
  </si>
  <si>
    <t xml:space="preserve">Könyv szerinti </t>
  </si>
  <si>
    <t xml:space="preserve">Becsült </t>
  </si>
  <si>
    <t>állományi érték</t>
  </si>
  <si>
    <t xml:space="preserve">A </t>
  </si>
  <si>
    <t xml:space="preserve"> I. Immateriális javak </t>
  </si>
  <si>
    <t>01.</t>
  </si>
  <si>
    <t>II. Tárgyi eszközök (03+08+13+18+23)</t>
  </si>
  <si>
    <t>02.</t>
  </si>
  <si>
    <t>1. Ingatlanok és kapcsolódó vagyoni értékű jogok   (04+05+06+07)</t>
  </si>
  <si>
    <t>03.</t>
  </si>
  <si>
    <t>1.1. Forgalomképtelen ingatlanok és kapcsolódó vagyoni értékű jogok</t>
  </si>
  <si>
    <t>04.</t>
  </si>
  <si>
    <t>1.2. Nemzetgazdasági szempontból kiemelt jelentőségű ingatlanok és kapcsolódó 
       vagyoni értékű jogok</t>
  </si>
  <si>
    <t>05.</t>
  </si>
  <si>
    <t>1.3. Korlátozottan forgalomképes ingatlanok és kapcsolódó vagyoni értékű jogok</t>
  </si>
  <si>
    <t>06.</t>
  </si>
  <si>
    <t>1.4. Üzleti ingatlanok és kapcsolódó vagyoni értékű jogok</t>
  </si>
  <si>
    <t>07.</t>
  </si>
  <si>
    <t>2. Gépek, berendezések, felszerelések, járművek (09+10+11+12)</t>
  </si>
  <si>
    <t>08.</t>
  </si>
  <si>
    <t>2.1. Forgalomképtelen gépek, berendezések, felszerelések, járművek</t>
  </si>
  <si>
    <t>09.</t>
  </si>
  <si>
    <t>2.2. Nemzetgazdasági szempontból kiemelt jelentőségű gépek, berendezések, 
       felszerelések, járművek</t>
  </si>
  <si>
    <t>2.3. Korlátozottan forgalomképes gépek, berendezések, felszerelések, járművek</t>
  </si>
  <si>
    <t>2.4. Üzleti gépek, berendezések, felszerelések, járművek</t>
  </si>
  <si>
    <t>3. Tenyészállatok (14+15+16+17)</t>
  </si>
  <si>
    <t>3.1. Forgalomképtelen tenyészállatok</t>
  </si>
  <si>
    <t>3.2. Nemzetgazdasági szempontból kiemelt jelentőségű tenyészállatok</t>
  </si>
  <si>
    <t>3.3. Korlátozottan forgalomképes tenyészállatok</t>
  </si>
  <si>
    <t>3.4. Üzleti tenyészállatok</t>
  </si>
  <si>
    <t>4. Beruházások, felújítások (19+20+21+22)</t>
  </si>
  <si>
    <t>4.1. Forgalomképtelen beruházások, felújítások</t>
  </si>
  <si>
    <t>4.2. Nemzetgazdasági szempontból kiemelt jelentőségű beruházások, felújítások</t>
  </si>
  <si>
    <t>4.3. Korlátozottan forgalomképes beruházások, felújítások</t>
  </si>
  <si>
    <t>4.4. Üzleti beruházások, felújítások</t>
  </si>
  <si>
    <t>5. Tárgyi eszközök értékhelyesbítése (24+25+26+27)</t>
  </si>
  <si>
    <t>5.1. Forgalomképtelen tárgyi eszközök értékhelyesbítése</t>
  </si>
  <si>
    <t>5.2. Nemzetgazdasági szempontból kiemelt jelentőségű tárgyi eszközök 
       értékhelyesbítése</t>
  </si>
  <si>
    <t>5.3. Korlátozottan forgalomképes tárgyi eszközök értékhelyesbítése</t>
  </si>
  <si>
    <t>5.4. Üzleti tárgyi eszközök értékhelyesbítése</t>
  </si>
  <si>
    <t>III. Befektetett pénzügyi eszközök (29+34+39)</t>
  </si>
  <si>
    <t>1. Tartós részesedések (30+31+32+33)</t>
  </si>
  <si>
    <t>1.1. Forgalomképtelen tartós részesedések</t>
  </si>
  <si>
    <t>1.2. Nemzetgazdasági szempontból kiemelt jelentőségű tartós részesedések</t>
  </si>
  <si>
    <t>1.3. Korlátozottan forgalomképes tartós részesedések</t>
  </si>
  <si>
    <t>1.4. Üzleti tartós részesedések</t>
  </si>
  <si>
    <t>2. Tartós hitelviszonyt megtestesítő értékpapírok (35+36+37+38)</t>
  </si>
  <si>
    <t>34.</t>
  </si>
  <si>
    <t>2.1. Forgalomképtelen tartós hitelviszonyt megtestesítő értékpapírok</t>
  </si>
  <si>
    <t>35.</t>
  </si>
  <si>
    <t>2.2. Nemzetgazdasági szempontból kiemelt jelentőségű tartós hitelviszonyt 
       megtestesítő értékpapírok</t>
  </si>
  <si>
    <t>36.</t>
  </si>
  <si>
    <t>2.3. Korlátozottan forgalomképes tartós hitelviszonyt megtestesítő értékpapírok</t>
  </si>
  <si>
    <t>37.</t>
  </si>
  <si>
    <t>2.4. Üzleti tartós hitelviszonyt megtestesítő értékpapírok</t>
  </si>
  <si>
    <t>38.</t>
  </si>
  <si>
    <t>3. Befektetett pénzügyi eszközök értékhelyesbítése (40+41+42+43)</t>
  </si>
  <si>
    <t>39.</t>
  </si>
  <si>
    <t>3.1. Forgalomképtelen befektetett pénzügyi eszközök értékhelyesbítése</t>
  </si>
  <si>
    <t>40.</t>
  </si>
  <si>
    <t>3.2. Nemzetgazdasági szempontból kiemelt jelentőségű befektetett pénzügyi 
       eszközök értékhelyesbítése</t>
  </si>
  <si>
    <t>41.</t>
  </si>
  <si>
    <t>3.3. Korlátozottan forgalomképes befektetett pénzügyi eszközök értékhelyesbítése</t>
  </si>
  <si>
    <t>42.</t>
  </si>
  <si>
    <t>3.4. Üzleti befektetett pénzügyi eszközök értékhelyesbítése</t>
  </si>
  <si>
    <t>43.</t>
  </si>
  <si>
    <t>IV. Koncesszióba, vagyonkezelésbe adott eszközök</t>
  </si>
  <si>
    <t>44.</t>
  </si>
  <si>
    <t>A) NEMZETI VAGYONBA TARTOZÓ BEFEKTETETT ESZKÖZÖK 
     (01+02+28+44)</t>
  </si>
  <si>
    <t>45.</t>
  </si>
  <si>
    <t>I. Készletek</t>
  </si>
  <si>
    <t>46.</t>
  </si>
  <si>
    <t>II. Értékpapírok</t>
  </si>
  <si>
    <t>47.</t>
  </si>
  <si>
    <t>B) NEMZETI VAGYONBA TARTOZÓ FORGÓESZKÖZÖK (46+47)</t>
  </si>
  <si>
    <t>48.</t>
  </si>
  <si>
    <t>I. Lekötött bankbetétek</t>
  </si>
  <si>
    <t>49.</t>
  </si>
  <si>
    <t>II. Pénztárak, csekkek, betétkönyvek</t>
  </si>
  <si>
    <t>50.</t>
  </si>
  <si>
    <t>III. Forintszámlák</t>
  </si>
  <si>
    <t>51.</t>
  </si>
  <si>
    <t>IV. Devizaszámlák</t>
  </si>
  <si>
    <t>52.</t>
  </si>
  <si>
    <t>C) PÉNZESZKÖZÖK (49+50+51+52)</t>
  </si>
  <si>
    <t>53.</t>
  </si>
  <si>
    <t>I. Költségvetési évben esedékes követelések</t>
  </si>
  <si>
    <t>54.</t>
  </si>
  <si>
    <t>II. Költségvetési évet követően esedékes követelések</t>
  </si>
  <si>
    <t>55.</t>
  </si>
  <si>
    <t>III. Követelés jellegű sajátos elszámolások</t>
  </si>
  <si>
    <t>56.</t>
  </si>
  <si>
    <t>D) KÖVETELÉSEK (54+55+56)</t>
  </si>
  <si>
    <t>57.</t>
  </si>
  <si>
    <t>I. December havi illetmények, munkabérek elszámolása</t>
  </si>
  <si>
    <t>58.</t>
  </si>
  <si>
    <t>II. Utalványok, bérletek és más hasonló, készpénz-helyettesítő fizetési 
     eszköznek nem minősülő eszközök elszámolásai</t>
  </si>
  <si>
    <t>59.</t>
  </si>
  <si>
    <t>60.</t>
  </si>
  <si>
    <t>F) AKTÍV IDŐBELI ELHATÁROLÁSOK</t>
  </si>
  <si>
    <t>61.</t>
  </si>
  <si>
    <t>ESZKÖZÖK ÖSSZESEN  (45+48+53+57+60+61)</t>
  </si>
  <si>
    <t>62.</t>
  </si>
  <si>
    <t>FORRÁSOK</t>
  </si>
  <si>
    <t>állományi 
érték</t>
  </si>
  <si>
    <t>I. Nemzeti vagyon induláskori értéke</t>
  </si>
  <si>
    <t>II. Nemzeti vagyon változásai</t>
  </si>
  <si>
    <t>III. Egyéb eszközök induláskori értéke és változásai</t>
  </si>
  <si>
    <t>IV. Felhalmozott eredmény</t>
  </si>
  <si>
    <t>V. Eszközök értékhelyesbítésének forrása</t>
  </si>
  <si>
    <t>VI. Mérleg szerinti eredmény</t>
  </si>
  <si>
    <t>G) SAJÁT TŐKE (01+….+06)</t>
  </si>
  <si>
    <t>I. Költségvetési évben esedékes kötelezettségek</t>
  </si>
  <si>
    <t>II. Költségvetési évet követően esedékes kötelezettségek</t>
  </si>
  <si>
    <t>III. Kötelezettség jellegű sajátos elszámolások</t>
  </si>
  <si>
    <t>H) KÖTELEZETTSÉGEK (08+09+10)</t>
  </si>
  <si>
    <t>I) KINCSTÁRI SZÁMLAVEZETÉSSEL KAPCSOLATOS ELSZÁMOLÁSOK</t>
  </si>
  <si>
    <t>J) PASSZÍV IDŐBELI ELHATÁROLÁSOK</t>
  </si>
  <si>
    <t>FORRÁSOK ÖSSZESEN  (07+11+12+13)</t>
  </si>
  <si>
    <t>Mennyiség
(db)</t>
  </si>
  <si>
    <t>Értéke
(Ft)</t>
  </si>
  <si>
    <t>„0”-ra leírt eszközök</t>
  </si>
  <si>
    <t>Használatban lévő kisértékű immateriális javak</t>
  </si>
  <si>
    <t>Használatban lévő kisértékű tárgyi eszközök</t>
  </si>
  <si>
    <t>Készletek</t>
  </si>
  <si>
    <t>01 számlacsoportban nyilvántartott befektetett eszközök (6+…+9)</t>
  </si>
  <si>
    <t>Államháztartáson belüli vagyonkezelésbe adott eszközök</t>
  </si>
  <si>
    <t>Bérbe vett befektetett eszközök</t>
  </si>
  <si>
    <t>Letétbe, bizományba, üzemeltetésre átvett befektetett eszközök</t>
  </si>
  <si>
    <t> PPP konstrukcióban használt befektetett eszközök</t>
  </si>
  <si>
    <t> 02 számlacsoportban nyilvántartott készletek (11+…+13)</t>
  </si>
  <si>
    <t> Bérbe vett készletek</t>
  </si>
  <si>
    <t> Letétbe bizományba átvett készletek</t>
  </si>
  <si>
    <t> Intervenciós készletek</t>
  </si>
  <si>
    <t>Gyűjtemény, régészeti lelet* (15+…+17)</t>
  </si>
  <si>
    <t>Közgyűjtemény</t>
  </si>
  <si>
    <t> Saját gyűjteményben nyilvántartott kulturális javak</t>
  </si>
  <si>
    <t> Régészeti lelet</t>
  </si>
  <si>
    <t> Egyéb érték nélkül nyilvántartott eszközök</t>
  </si>
  <si>
    <t>Összesen (1+…+4)+5+10+14+(18+…+31):</t>
  </si>
  <si>
    <t>* Nvt. 1. § (2) bekezdés g) és h) pontja szerinti kulturális javak és régészeti eszközök</t>
  </si>
  <si>
    <t>Gazdálkodó szervezet megnevezése</t>
  </si>
  <si>
    <t>Részesedés mértéke (%-ban)</t>
  </si>
  <si>
    <t>Részesedés összege (Ft-ban)</t>
  </si>
  <si>
    <t>Működésből származó kötelezettségek összege XII. 31-én
 (Ft-ban)</t>
  </si>
  <si>
    <t xml:space="preserve">       ÖSSZESEN:</t>
  </si>
  <si>
    <t>PÉNZESZKÖZÖK VÁLTOZÁSÁNAK LEVEZETÉSE</t>
  </si>
  <si>
    <t>Összeg  (Ft )</t>
  </si>
  <si>
    <r>
      <t xml:space="preserve"> </t>
    </r>
    <r>
      <rPr>
        <sz val="10"/>
        <rFont val="Times New Roman CE"/>
        <family val="1"/>
      </rPr>
      <t>Bankszámlák egyenlege</t>
    </r>
  </si>
  <si>
    <r>
      <t xml:space="preserve"> </t>
    </r>
    <r>
      <rPr>
        <sz val="10"/>
        <rFont val="Times New Roman CE"/>
        <family val="1"/>
      </rPr>
      <t>Pénztárak és betétkönyvek egyenlege</t>
    </r>
  </si>
  <si>
    <t>Bevételek   ( + )</t>
  </si>
  <si>
    <t>Kiadások    ( - )</t>
  </si>
  <si>
    <t>Egyéb korrekciós tételek (+,-)</t>
  </si>
  <si>
    <t>1. tájékoztató tábla</t>
  </si>
  <si>
    <t>Többéves kihatással járó döntésekből származó kötzelezettségek célok szerinti, évenkénti bontásban</t>
  </si>
  <si>
    <t>2. tájékoztató tábla</t>
  </si>
  <si>
    <t>3. tájékoztató tábla</t>
  </si>
  <si>
    <t>4. tájékoztató tábla</t>
  </si>
  <si>
    <t>5. tájékoztató tábla</t>
  </si>
  <si>
    <t>Az önkormányzat által adott közvetett támogatások</t>
  </si>
  <si>
    <t>(kedvezménye)</t>
  </si>
  <si>
    <t>K I M U T A T Á S</t>
  </si>
  <si>
    <t>6. tájékoztató tábla</t>
  </si>
  <si>
    <t>E) EGYÉB SAJÁTOS  ELSZÁMOLÁSOK (58+59)</t>
  </si>
  <si>
    <t>7.1. tájékoztató tábla</t>
  </si>
  <si>
    <t>VAGYONKIMUTATÁS</t>
  </si>
  <si>
    <t>a könyvviteli mérlegben értékkel szerplő eszközökről</t>
  </si>
  <si>
    <t>7.2. tájékoztató tábla</t>
  </si>
  <si>
    <t>7.3. tájékoztató tábla</t>
  </si>
  <si>
    <t>az érték nélkül nyilvántartott eszkzözkről</t>
  </si>
  <si>
    <t>8. tájékoztató tábla</t>
  </si>
  <si>
    <t>9. tájékoztató tábla</t>
  </si>
  <si>
    <t>Tartalomjegyzék</t>
  </si>
  <si>
    <t>Dokumentum neve</t>
  </si>
  <si>
    <t>A dokumentációs rendszerben található táblázatok listája</t>
  </si>
  <si>
    <t>Ugrás</t>
  </si>
  <si>
    <t>Alapadatok</t>
  </si>
  <si>
    <t>Adatok megadása</t>
  </si>
  <si>
    <t>Összefüggések</t>
  </si>
  <si>
    <t xml:space="preserve">1.1. melléklet </t>
  </si>
  <si>
    <t>1.2. melléklet</t>
  </si>
  <si>
    <t>1.3. melléklet</t>
  </si>
  <si>
    <t>1.4. melléklet</t>
  </si>
  <si>
    <t>Működési célú bevételek, kiadások mérlege</t>
  </si>
  <si>
    <t>Felhalmozási célú bevételek, kiadások mérlege</t>
  </si>
  <si>
    <t>Ellenőrző lista</t>
  </si>
  <si>
    <t>Ellenőrzés az 1-es és 2.1., 2.2. mellékletek adati esetében</t>
  </si>
  <si>
    <t>3. melléklet</t>
  </si>
  <si>
    <t>Beruházási (felhalmozási) kiadások előirányzata beruházásonként</t>
  </si>
  <si>
    <t>4. melléklet</t>
  </si>
  <si>
    <t>Felújítási kiadások előirányzata felújításonként</t>
  </si>
  <si>
    <t>5. melléklet</t>
  </si>
  <si>
    <t>Összes  bevétel, kiadás</t>
  </si>
  <si>
    <t>Kötelező feladtok bevételei, kiadásai</t>
  </si>
  <si>
    <t>6.1.3. melléklet</t>
  </si>
  <si>
    <t>Államigazgatási feladatok  bevételei, kiadásai</t>
  </si>
  <si>
    <t>6.2. melléklet</t>
  </si>
  <si>
    <t>6.3. melléklet</t>
  </si>
  <si>
    <t>6.4. melléklet</t>
  </si>
  <si>
    <t>6.5. melléklet</t>
  </si>
  <si>
    <t>6.6. melléklet</t>
  </si>
  <si>
    <t>6.7. melléklet</t>
  </si>
  <si>
    <t>6.8. melléklet</t>
  </si>
  <si>
    <t>6.9. melléklet</t>
  </si>
  <si>
    <t>6.10. melléklet</t>
  </si>
  <si>
    <t>6.11. melléklet</t>
  </si>
  <si>
    <t>6.12. melléklet</t>
  </si>
  <si>
    <t>ZÁRSZÁMADÁSI RENDLET</t>
  </si>
  <si>
    <t>Pénzeszköz változás levezetése</t>
  </si>
  <si>
    <t>a könyvviteli mérlegben értékkel szereplő forrásokról</t>
  </si>
  <si>
    <t>a</t>
  </si>
  <si>
    <t>/</t>
  </si>
  <si>
    <t>(</t>
  </si>
  <si>
    <t>)</t>
  </si>
  <si>
    <t>önkormányzati rendelethez</t>
  </si>
  <si>
    <t>Táblázatok adatainak összefüggései</t>
  </si>
  <si>
    <t>Előterjesztéskor</t>
  </si>
  <si>
    <t>Az önkormányzat által nyújtott hitel és kölcsön alakulása lejárat és eszközök szerinti bontásban</t>
  </si>
  <si>
    <t>Forintban</t>
  </si>
  <si>
    <t>Jogcím</t>
  </si>
  <si>
    <t>Tényleges támogatás összege</t>
  </si>
  <si>
    <t>Költségvetési szerv neve</t>
  </si>
  <si>
    <t>Költségvetési maradvány összege</t>
  </si>
  <si>
    <t>Elvonás
(-)</t>
  </si>
  <si>
    <t>Intézményt megillető maradvány</t>
  </si>
  <si>
    <t>Jóváhagyott</t>
  </si>
  <si>
    <t>Jóváhagyott-ból működési</t>
  </si>
  <si>
    <t>Jóváhagyott-ból felhalmozási</t>
  </si>
  <si>
    <r>
      <t>E=(C</t>
    </r>
    <r>
      <rPr>
        <b/>
        <sz val="8"/>
        <rFont val="Arial"/>
        <family val="2"/>
      </rPr>
      <t>-D</t>
    </r>
    <r>
      <rPr>
        <b/>
        <sz val="8"/>
        <rFont val="Times New Roman CE"/>
        <family val="1"/>
      </rPr>
      <t>)</t>
    </r>
  </si>
  <si>
    <t>KÖLTSÉGVETÉSI SZERVEK MARADVÁNYÁNAK ALAKULÁSA</t>
  </si>
  <si>
    <t>7. melléklet</t>
  </si>
  <si>
    <t>8. melléklet</t>
  </si>
  <si>
    <t>. évi</t>
  </si>
  <si>
    <t>Forintban!</t>
  </si>
  <si>
    <t>KÖTELEZŐ FELADATOK PÉNZÜGYI MÉRLEGE</t>
  </si>
  <si>
    <t>ÖNKÉNT VÁLLALT FELADATOK PÉNZÜGYI MÉRLEGE</t>
  </si>
  <si>
    <t>ÁLLAMIGAZGATÁSI FELADATOK PÉNZÜGYI MÉRLEGE</t>
  </si>
  <si>
    <t xml:space="preserve">Hiány külső finanszírozásának bevételei (21.+…+23.) </t>
  </si>
  <si>
    <t>Hiány belső finanszírozásának bevételei (15.+…+19. )</t>
  </si>
  <si>
    <t>Működési célú finanszírozási kiadások összesen (13.+...+23.)</t>
  </si>
  <si>
    <t>Működési célú finanszírozási bevételek összesen (14.+20.)</t>
  </si>
  <si>
    <t>Kommunális adó</t>
  </si>
  <si>
    <t>Mellékletben külön?</t>
  </si>
  <si>
    <t>.</t>
  </si>
  <si>
    <r>
      <t>2018. évi L.
törvény 2.  melléklete száma</t>
    </r>
    <r>
      <rPr>
        <b/>
        <sz val="10"/>
        <rFont val="Symbol"/>
        <family val="1"/>
      </rPr>
      <t>*</t>
    </r>
  </si>
  <si>
    <t>* Magyarország 2019. évi központi költségvetéséról szóló törvény</t>
  </si>
  <si>
    <t xml:space="preserve">bevételei, kiadásai, hozzájárulások  </t>
  </si>
  <si>
    <r>
      <t>EU-s projekt neve, azonosítója:</t>
    </r>
    <r>
      <rPr>
        <sz val="11"/>
        <rFont val="Times New Roman"/>
        <family val="1"/>
      </rPr>
      <t xml:space="preserve">* </t>
    </r>
  </si>
  <si>
    <t>Évenkénti ütemezés</t>
  </si>
  <si>
    <t xml:space="preserve">Önkormányzaton kívüli EU-s projekthez történő hozzájárulás </t>
  </si>
  <si>
    <t>EU-s projekt neve, azonosítója:</t>
  </si>
  <si>
    <t>Igen</t>
  </si>
  <si>
    <t>I=C+F</t>
  </si>
  <si>
    <t>B=C+E+H</t>
  </si>
  <si>
    <t>Módosítás utáni összes forrás, kiadás</t>
  </si>
  <si>
    <t>Összes
 tartozás</t>
  </si>
  <si>
    <t xml:space="preserve">Idegenforgalmi adó </t>
  </si>
  <si>
    <t>Idegenforgalmi adó</t>
  </si>
  <si>
    <t xml:space="preserve">Talajterhelési díj </t>
  </si>
  <si>
    <t>Rövid lejáratú  hitelek, kölcsönök felvétele</t>
  </si>
  <si>
    <t>Felhalmozási költségvetés kiadásai (2.1.+2.3.+2.5.)</t>
  </si>
  <si>
    <t>Belföldi értékpapírok kiadásai (5.1. + … + 5.4.)</t>
  </si>
  <si>
    <t>Külföldi finanszírozás kiadásai (7.1. + … + 7.4.)</t>
  </si>
  <si>
    <t>7.5</t>
  </si>
  <si>
    <t>Kállósemjén Nagyközség Önkormányzata</t>
  </si>
  <si>
    <t>Kállósemjéni Polgármesteri Hivatal</t>
  </si>
  <si>
    <t>Ficánka Óvoda, Mini Bölcsőde és Konyha</t>
  </si>
  <si>
    <t>Egyéb közhatalmi bevételek</t>
  </si>
  <si>
    <t>Központi irányítószervi támogatás</t>
  </si>
  <si>
    <t>Központi irányítószervi támogatás folyósítása</t>
  </si>
  <si>
    <t xml:space="preserve">    Központi irányítószervi támogatás folyósítása</t>
  </si>
  <si>
    <t xml:space="preserve">   Egyéb belső finanszírozási bevételek  (ÁH-n belüli megelőlegezés, központi irányítószervi támogatás)</t>
  </si>
  <si>
    <t>ÁH-n belüli megelőlegezés visszafizetése</t>
  </si>
  <si>
    <t>Módosított támogatás összege</t>
  </si>
  <si>
    <t>Bölcsőde kialakítása</t>
  </si>
  <si>
    <t>2019</t>
  </si>
  <si>
    <t>Külterületi utak: Péterhalom és Forrástanya településeken</t>
  </si>
  <si>
    <t>Informatikai eszközök beszerzése: nyomtató anyakönyvi irodába, számítógépház és nyomtató Könyvtárba, közmunkaprogramba nyomtató hőprés, kártyaolvasó és informatikai eszköz beszerzések Ficánka Óvoda, Mini Bölcsőde és Konyha részére, orvosi eszköz beszerzések (laptop, nyomtató), Polgármesteri Hivatalnak szünetmentes tápegység beszerzések és iktató géphez monitor, Közművelődésnek (PS4, VR szett, LG TV, kontrollerek), Védőnői Szolgálatnak külső meghajtó, Gondozási Központnak 2 db számítógép konfiguráció</t>
  </si>
  <si>
    <t>Egyéb tárgyi eszköz beszerzések: Platform kocsi Könyvtárnak, Konyha részére (tároló állvány, munkaasztalok, zsámoly, mini fali zuhany, mosógép, 5 db konyhai gép, asztalok, 3 db hűtőkamra + polcos állványok), Szociális közmunkaprogramba (damilos fűnyíró, fúrógép, ütvefúró, melegentartó), Hosszú távú közmunkaprogramba szivattyú, Helyi közmunkaprogramba (hőprés, betonkeverő), Start közmunkaprogramba (VW Transporter beszerzés, védőrács, rázóasztal öntőformákkal, vibromotor), Mezőgazdasági közmunkaprogramba (gumiköpeny, szárzúzó kardántengellyel), Szolgálatai lakás: Dózsa u. 25. kazáncsere, községgazdálkodásban (villanyszerelőnek szerszámkészlet és védőfelszerelés, irodabútor, köszörű, fúrókalapács), Polgármesteri Hivatalnak forgószék beszerzések és laminálógép, Ficánka Óvoda, Mini Bölcsőde és Konyha részére (kávéfőző, falióra, mérleg, wc tartály + ülőke, óvodai fektető, szénmonoxid érzékelő, porszívó, szőnyeg), Védőnői Szolgálatnak szűrőaudiométer Magyar Falu program keretében</t>
  </si>
  <si>
    <t>Önkormányzati utak kátyúzása</t>
  </si>
  <si>
    <t>EFOP-1.2.9-17-2017-00011 "A nők munkaerőpiaci reintegrációjának támogatása Kállósemjén térségben"</t>
  </si>
  <si>
    <t>TOP-5.3.1-16-SB1-2017-00017 "A helyi identitás és kohézió erősítése innovatív utakon Balkány és Kállósemjén felemelkedéséért" - Péterhalmi projekt</t>
  </si>
  <si>
    <t>MVH-tól támogatás</t>
  </si>
  <si>
    <t>2018. évi Európai Mobilitási Hét és Autómentes nap támogatása</t>
  </si>
  <si>
    <t>VP6-7.2.1-7.4.1 Konyha hűtőkamra pályázat</t>
  </si>
  <si>
    <t>VP6-7.2.1-7.4.1.2-16 Külterületi helyi közutak fejlesztése</t>
  </si>
  <si>
    <t>MFP-AEE/2019 kódszámú  Magyar Falu Program - Orvosi eszköz beszerzés</t>
  </si>
  <si>
    <t xml:space="preserve">MFP-NHI/2019 kódszámú "A nemzeti és helyi identitástudat erősítése" </t>
  </si>
  <si>
    <t>EFOP-1.5.3-16-2017-00119 "A cél közös, együtt a jövőnkért" - Piricsei Projekt</t>
  </si>
  <si>
    <t>Dél-Nyírségi Többcélú Önkormányzati Kistérségi Társulás</t>
  </si>
  <si>
    <t xml:space="preserve">támogatás </t>
  </si>
  <si>
    <t>Balla Sándor Józsefné</t>
  </si>
  <si>
    <t>támogatás</t>
  </si>
  <si>
    <t>Kállósemjéni Kállay-Kúria Nonprofit Kft.</t>
  </si>
  <si>
    <t>Pótbefizetés</t>
  </si>
  <si>
    <t>Kállósemjéni Polgárőr Egyesület</t>
  </si>
  <si>
    <t>Könnycsepp nélkül a Beteg Gyermekekért Alapítvány</t>
  </si>
  <si>
    <t>Kállósemjéni Önkéntes Tűzoltó Egyesület</t>
  </si>
  <si>
    <t>Nőszirom Egyesület</t>
  </si>
  <si>
    <t>Kállósemjéni Diákokért és Ifjakért Egyesület</t>
  </si>
  <si>
    <t>Kállósemjéni Óvodásokért Alapítvány</t>
  </si>
  <si>
    <t>Nyíri Alapfokú Művészeti Iskola, Szakgimnázium és Szakközépiskola</t>
  </si>
  <si>
    <t>Háztartások</t>
  </si>
  <si>
    <t>visszatérítendő kölcsön</t>
  </si>
  <si>
    <t>Kállósemjéni Sportegyesület</t>
  </si>
  <si>
    <t>Mindösszesen:</t>
  </si>
  <si>
    <t>VII.17.</t>
  </si>
</sst>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
    <numFmt numFmtId="167" formatCode="#"/>
    <numFmt numFmtId="168" formatCode="_-* #,##0\ _F_t_-;\-* #,##0\ _F_t_-;_-* &quot;-&quot;??\ _F_t_-;_-@_-"/>
    <numFmt numFmtId="169" formatCode="[$-40E]yyyy\.\ mmmm\ d\."/>
    <numFmt numFmtId="170" formatCode="&quot;Igen&quot;;&quot;Igen&quot;;&quot;Nem&quot;"/>
    <numFmt numFmtId="171" formatCode="&quot;Igaz&quot;;&quot;Igaz&quot;;&quot;Hamis&quot;"/>
    <numFmt numFmtId="172" formatCode="&quot;Be&quot;;&quot;Be&quot;;&quot;Ki&quot;"/>
    <numFmt numFmtId="173" formatCode="[$€-2]\ #\ ##,000_);[Red]\([$€-2]\ #\ ##,000\)"/>
    <numFmt numFmtId="174" formatCode="0&quot;.&quot;"/>
    <numFmt numFmtId="175" formatCode="#,##0.0"/>
    <numFmt numFmtId="176" formatCode="00"/>
    <numFmt numFmtId="177" formatCode="#,###__;\-#,###__"/>
    <numFmt numFmtId="178" formatCode="#,###\ _F_t;\-#,###\ _F_t"/>
    <numFmt numFmtId="179" formatCode="#,###__"/>
  </numFmts>
  <fonts count="110">
    <font>
      <sz val="10"/>
      <name val="Times New Roman CE"/>
      <family val="0"/>
    </font>
    <font>
      <sz val="11"/>
      <name val="Times New Roman CE"/>
      <family val="1"/>
    </font>
    <font>
      <sz val="12"/>
      <name val="Times New Roman CE"/>
      <family val="1"/>
    </font>
    <font>
      <b/>
      <sz val="10"/>
      <name val="Times New Roman CE"/>
      <family val="1"/>
    </font>
    <font>
      <b/>
      <i/>
      <sz val="10"/>
      <name val="Times New Roman CE"/>
      <family val="1"/>
    </font>
    <font>
      <b/>
      <sz val="12"/>
      <name val="Times New Roman CE"/>
      <family val="1"/>
    </font>
    <font>
      <b/>
      <sz val="9"/>
      <name val="Times New Roman CE"/>
      <family val="1"/>
    </font>
    <font>
      <i/>
      <sz val="10"/>
      <name val="Times New Roman CE"/>
      <family val="1"/>
    </font>
    <font>
      <i/>
      <sz val="11"/>
      <name val="Times New Roman CE"/>
      <family val="1"/>
    </font>
    <font>
      <u val="single"/>
      <sz val="12"/>
      <color indexed="12"/>
      <name val="Times New Roman CE"/>
      <family val="0"/>
    </font>
    <font>
      <u val="single"/>
      <sz val="12"/>
      <color indexed="36"/>
      <name val="Times New Roman CE"/>
      <family val="0"/>
    </font>
    <font>
      <sz val="9"/>
      <name val="Times New Roman CE"/>
      <family val="1"/>
    </font>
    <font>
      <b/>
      <sz val="8"/>
      <name val="Times New Roman CE"/>
      <family val="1"/>
    </font>
    <font>
      <sz val="8"/>
      <name val="Times New Roman CE"/>
      <family val="1"/>
    </font>
    <font>
      <b/>
      <sz val="12"/>
      <color indexed="10"/>
      <name val="Times New Roman CE"/>
      <family val="0"/>
    </font>
    <font>
      <b/>
      <sz val="9"/>
      <name val="Times New Roman"/>
      <family val="1"/>
    </font>
    <font>
      <sz val="8"/>
      <name val="Times New Roman"/>
      <family val="1"/>
    </font>
    <font>
      <b/>
      <sz val="8"/>
      <name val="Times New Roman"/>
      <family val="1"/>
    </font>
    <font>
      <i/>
      <sz val="8"/>
      <name val="Times New Roman CE"/>
      <family val="0"/>
    </font>
    <font>
      <b/>
      <sz val="11"/>
      <name val="Times New Roman CE"/>
      <family val="0"/>
    </font>
    <font>
      <b/>
      <i/>
      <sz val="9"/>
      <name val="Times New Roman CE"/>
      <family val="0"/>
    </font>
    <font>
      <b/>
      <sz val="14"/>
      <name val="Times New Roman CE"/>
      <family val="0"/>
    </font>
    <font>
      <b/>
      <sz val="9"/>
      <color indexed="8"/>
      <name val="Times New Roman"/>
      <family val="1"/>
    </font>
    <font>
      <sz val="9"/>
      <color indexed="17"/>
      <name val="Times New Roman CE"/>
      <family val="0"/>
    </font>
    <font>
      <sz val="10"/>
      <color indexed="17"/>
      <name val="Times New Roman CE"/>
      <family val="0"/>
    </font>
    <font>
      <sz val="12"/>
      <name val="Times New Roman"/>
      <family val="1"/>
    </font>
    <font>
      <b/>
      <i/>
      <sz val="8"/>
      <name val="Times New Roman"/>
      <family val="1"/>
    </font>
    <font>
      <i/>
      <sz val="9"/>
      <name val="Times New Roman"/>
      <family val="1"/>
    </font>
    <font>
      <i/>
      <sz val="11"/>
      <name val="Times New Roman"/>
      <family val="1"/>
    </font>
    <font>
      <b/>
      <sz val="6"/>
      <name val="Times New Roman CE"/>
      <family val="1"/>
    </font>
    <font>
      <b/>
      <sz val="12"/>
      <name val="Times New Roman"/>
      <family val="1"/>
    </font>
    <font>
      <sz val="12"/>
      <color indexed="10"/>
      <name val="Times New Roman"/>
      <family val="1"/>
    </font>
    <font>
      <b/>
      <i/>
      <sz val="9"/>
      <name val="Times New Roman"/>
      <family val="1"/>
    </font>
    <font>
      <b/>
      <sz val="11"/>
      <name val="Times New Roman"/>
      <family val="1"/>
    </font>
    <font>
      <b/>
      <sz val="7"/>
      <name val="Times New Roman"/>
      <family val="1"/>
    </font>
    <font>
      <i/>
      <sz val="8"/>
      <name val="Times New Roman"/>
      <family val="1"/>
    </font>
    <font>
      <b/>
      <i/>
      <sz val="7"/>
      <name val="Times New Roman"/>
      <family val="1"/>
    </font>
    <font>
      <sz val="7"/>
      <name val="Times New Roman"/>
      <family val="1"/>
    </font>
    <font>
      <b/>
      <sz val="12"/>
      <color indexed="10"/>
      <name val="Times New Roman"/>
      <family val="1"/>
    </font>
    <font>
      <b/>
      <sz val="12"/>
      <color indexed="8"/>
      <name val="Times New Roman"/>
      <family val="1"/>
    </font>
    <font>
      <b/>
      <sz val="10"/>
      <color indexed="8"/>
      <name val="Times New Roman"/>
      <family val="1"/>
    </font>
    <font>
      <sz val="12"/>
      <color indexed="8"/>
      <name val="Times New Roman"/>
      <family val="1"/>
    </font>
    <font>
      <b/>
      <i/>
      <sz val="8"/>
      <name val="Times New Roman CE"/>
      <family val="1"/>
    </font>
    <font>
      <sz val="10"/>
      <name val="Wingdings"/>
      <family val="0"/>
    </font>
    <font>
      <sz val="10"/>
      <color indexed="8"/>
      <name val="Times New Roman"/>
      <family val="1"/>
    </font>
    <font>
      <sz val="10"/>
      <name val="Times New Roman"/>
      <family val="1"/>
    </font>
    <font>
      <b/>
      <sz val="14"/>
      <name val="Times New Roman"/>
      <family val="1"/>
    </font>
    <font>
      <b/>
      <i/>
      <sz val="10"/>
      <name val="Times New Roman"/>
      <family val="1"/>
    </font>
    <font>
      <b/>
      <sz val="8"/>
      <name val="Arial"/>
      <family val="2"/>
    </font>
    <font>
      <b/>
      <sz val="10"/>
      <name val="Symbol"/>
      <family val="1"/>
    </font>
    <font>
      <i/>
      <sz val="12"/>
      <name val="Times New Roman CE"/>
      <family val="0"/>
    </font>
    <font>
      <sz val="11"/>
      <name val="Times New Roman"/>
      <family val="1"/>
    </font>
    <font>
      <b/>
      <sz val="5"/>
      <name val="Times New Roman CE"/>
      <family val="1"/>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u val="single"/>
      <sz val="10"/>
      <color indexed="12"/>
      <name val="Times New Roman CE"/>
      <family val="0"/>
    </font>
    <font>
      <sz val="11"/>
      <color indexed="52"/>
      <name val="Calibri"/>
      <family val="2"/>
    </font>
    <font>
      <sz val="11"/>
      <color indexed="17"/>
      <name val="Calibri"/>
      <family val="2"/>
    </font>
    <font>
      <b/>
      <sz val="11"/>
      <color indexed="63"/>
      <name val="Calibri"/>
      <family val="2"/>
    </font>
    <font>
      <u val="single"/>
      <sz val="10"/>
      <color indexed="20"/>
      <name val="Times New Roman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indexed="8"/>
      <name val="Times New Roman"/>
      <family val="1"/>
    </font>
    <font>
      <b/>
      <sz val="11"/>
      <color indexed="8"/>
      <name val="Times New Roman"/>
      <family val="1"/>
    </font>
    <font>
      <sz val="10"/>
      <color indexed="10"/>
      <name val="Times New Roman CE"/>
      <family val="0"/>
    </font>
    <font>
      <sz val="12"/>
      <color indexed="10"/>
      <name val="Times New Roman CE"/>
      <family val="0"/>
    </font>
    <font>
      <sz val="10"/>
      <color indexed="9"/>
      <name val="Times New Roman CE"/>
      <family val="0"/>
    </font>
    <font>
      <b/>
      <sz val="14"/>
      <color indexed="8"/>
      <name val="Times New Roman"/>
      <family val="1"/>
    </font>
    <font>
      <b/>
      <sz val="14"/>
      <color indexed="10"/>
      <name val="Times New Roman CE"/>
      <family val="0"/>
    </font>
    <font>
      <sz val="10"/>
      <color indexed="8"/>
      <name val="Calibri"/>
      <family val="2"/>
    </font>
    <font>
      <sz val="9"/>
      <color indexed="8"/>
      <name val="Calibri"/>
      <family val="2"/>
    </font>
    <font>
      <b/>
      <i/>
      <sz val="11"/>
      <color indexed="9"/>
      <name val="Calibri"/>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Times New Roman CE"/>
      <family val="0"/>
    </font>
    <font>
      <sz val="11"/>
      <color rgb="FFFA7D00"/>
      <name val="Calibri"/>
      <family val="2"/>
    </font>
    <font>
      <sz val="11"/>
      <color rgb="FF006100"/>
      <name val="Calibri"/>
      <family val="2"/>
    </font>
    <font>
      <b/>
      <sz val="11"/>
      <color rgb="FF3F3F3F"/>
      <name val="Calibri"/>
      <family val="2"/>
    </font>
    <font>
      <u val="single"/>
      <sz val="10"/>
      <color theme="11"/>
      <name val="Times New Roman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000000"/>
      <name val="Times New Roman"/>
      <family val="1"/>
    </font>
    <font>
      <b/>
      <sz val="11"/>
      <color rgb="FF000000"/>
      <name val="Times New Roman"/>
      <family val="1"/>
    </font>
    <font>
      <sz val="10"/>
      <color rgb="FFFF0000"/>
      <name val="Times New Roman CE"/>
      <family val="0"/>
    </font>
    <font>
      <sz val="12"/>
      <color rgb="FFFF0000"/>
      <name val="Times New Roman CE"/>
      <family val="0"/>
    </font>
    <font>
      <sz val="10"/>
      <color theme="0"/>
      <name val="Times New Roman CE"/>
      <family val="0"/>
    </font>
    <font>
      <b/>
      <sz val="14"/>
      <color rgb="FF000000"/>
      <name val="Times New Roman"/>
      <family val="1"/>
    </font>
    <font>
      <b/>
      <sz val="14"/>
      <color rgb="FFFF0000"/>
      <name val="Times New Roman CE"/>
      <family val="0"/>
    </font>
    <font>
      <sz val="10"/>
      <color theme="1"/>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Horizontal"/>
    </fill>
    <fill>
      <patternFill patternType="solid">
        <fgColor indexed="65"/>
        <bgColor indexed="64"/>
      </patternFill>
    </fill>
    <fill>
      <patternFill patternType="gray125">
        <bgColor indexed="47"/>
      </patternFill>
    </fill>
    <fill>
      <patternFill patternType="solid">
        <fgColor rgb="FFD8D8D8"/>
        <bgColor indexed="64"/>
      </patternFill>
    </fill>
    <fill>
      <patternFill patternType="solid">
        <fgColor rgb="FFFFC0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n"/>
      <top style="thin"/>
      <bottom style="thin"/>
    </border>
    <border>
      <left style="thin"/>
      <right style="thin"/>
      <top style="thin"/>
      <bottom>
        <color indexed="63"/>
      </botto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thin"/>
      <bottom style="thin"/>
    </border>
    <border>
      <left style="thin"/>
      <right style="medium"/>
      <top style="medium"/>
      <bottom style="medium"/>
    </border>
    <border>
      <left style="thin"/>
      <right style="medium"/>
      <top style="thin"/>
      <bottom>
        <color indexed="63"/>
      </botto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style="medium"/>
    </border>
    <border>
      <left style="thin"/>
      <right>
        <color indexed="63"/>
      </right>
      <top style="thin"/>
      <bottom style="thin"/>
    </border>
    <border>
      <left style="medium"/>
      <right style="medium"/>
      <top>
        <color indexed="63"/>
      </top>
      <bottom style="thin"/>
    </border>
    <border>
      <left style="medium"/>
      <right style="medium"/>
      <top style="thin"/>
      <bottom style="thin"/>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thin"/>
      <top>
        <color indexed="63"/>
      </top>
      <bottom style="medium"/>
    </border>
    <border>
      <left style="thin"/>
      <right style="medium"/>
      <top style="thin"/>
      <bottom style="medium"/>
    </border>
    <border>
      <left style="medium"/>
      <right>
        <color indexed="63"/>
      </right>
      <top style="medium"/>
      <bottom style="mediu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style="medium"/>
    </border>
    <border>
      <left style="medium"/>
      <right style="medium"/>
      <top style="medium"/>
      <bottom style="thin"/>
    </border>
    <border>
      <left style="thin"/>
      <right>
        <color indexed="63"/>
      </right>
      <top style="thin"/>
      <bottom>
        <color indexed="63"/>
      </bottom>
    </border>
    <border>
      <left style="thin"/>
      <right style="medium"/>
      <top>
        <color indexed="63"/>
      </top>
      <bottom style="thin"/>
    </border>
    <border>
      <left style="thin"/>
      <right style="medium"/>
      <top style="medium"/>
      <bottom>
        <color indexed="63"/>
      </bottom>
    </border>
    <border diagonalUp="1" diagonalDown="1">
      <left style="thin"/>
      <right style="thin"/>
      <top style="medium"/>
      <bottom style="medium"/>
      <diagonal style="thin"/>
    </border>
    <border>
      <left style="thin"/>
      <right>
        <color indexed="63"/>
      </right>
      <top style="medium"/>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hair"/>
    </border>
    <border>
      <left style="medium"/>
      <right style="medium"/>
      <top>
        <color indexed="63"/>
      </top>
      <bottom style="hair"/>
    </border>
    <border>
      <left>
        <color indexed="63"/>
      </left>
      <right style="medium"/>
      <top>
        <color indexed="63"/>
      </top>
      <bottom style="hair"/>
    </border>
    <border>
      <left style="medium"/>
      <right style="medium"/>
      <top style="hair"/>
      <bottom style="hair"/>
    </border>
    <border>
      <left style="medium"/>
      <right>
        <color indexed="63"/>
      </right>
      <top style="hair"/>
      <bottom style="hair"/>
    </border>
    <border>
      <left style="medium"/>
      <right style="medium"/>
      <top style="hair"/>
      <bottom style="medium"/>
    </border>
    <border>
      <left style="medium"/>
      <right>
        <color indexed="63"/>
      </right>
      <top style="hair"/>
      <bottom>
        <color indexed="63"/>
      </bottom>
    </border>
    <border>
      <left style="medium"/>
      <right style="medium"/>
      <top style="thin"/>
      <bottom style="medium"/>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thick">
        <color rgb="FF006600"/>
      </left>
      <right style="thick">
        <color rgb="FF006600"/>
      </right>
      <top style="thick">
        <color rgb="FF006600"/>
      </top>
      <bottom style="thick">
        <color rgb="FF006600"/>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1" applyNumberFormat="0" applyAlignment="0" applyProtection="0"/>
    <xf numFmtId="0" fontId="85" fillId="0" borderId="0" applyNumberFormat="0" applyFill="0" applyBorder="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0" fontId="8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0" fillId="22" borderId="7" applyNumberFormat="0" applyFont="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3" fillId="29" borderId="0" applyNumberFormat="0" applyBorder="0" applyAlignment="0" applyProtection="0"/>
    <xf numFmtId="0" fontId="94" fillId="30"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5" fillId="0" borderId="0">
      <alignment/>
      <protection/>
    </xf>
    <xf numFmtId="0" fontId="9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995">
    <xf numFmtId="0" fontId="0" fillId="0" borderId="0" xfId="0" applyAlignment="1">
      <alignment/>
    </xf>
    <xf numFmtId="166" fontId="2" fillId="0" borderId="0" xfId="0" applyNumberFormat="1" applyFont="1" applyFill="1" applyAlignment="1">
      <alignment vertical="center" wrapText="1"/>
    </xf>
    <xf numFmtId="0" fontId="0" fillId="0" borderId="0" xfId="0" applyFill="1" applyAlignment="1">
      <alignment vertical="center" wrapText="1"/>
    </xf>
    <xf numFmtId="0" fontId="5" fillId="0" borderId="0" xfId="6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0" fontId="13" fillId="0" borderId="10" xfId="61" applyFont="1" applyFill="1" applyBorder="1" applyAlignment="1" applyProtection="1">
      <alignment horizontal="left" vertical="center" wrapText="1" indent="1"/>
      <protection/>
    </xf>
    <xf numFmtId="0" fontId="13" fillId="0" borderId="11" xfId="61" applyFont="1" applyFill="1" applyBorder="1" applyAlignment="1" applyProtection="1">
      <alignment horizontal="left" vertical="center" wrapText="1" indent="1"/>
      <protection/>
    </xf>
    <xf numFmtId="0" fontId="13" fillId="0" borderId="12" xfId="61" applyFont="1" applyFill="1" applyBorder="1" applyAlignment="1" applyProtection="1">
      <alignment horizontal="left" vertical="center" wrapText="1" indent="1"/>
      <protection/>
    </xf>
    <xf numFmtId="0" fontId="13" fillId="0" borderId="13" xfId="61" applyFont="1" applyFill="1" applyBorder="1" applyAlignment="1" applyProtection="1">
      <alignment horizontal="left" vertical="center" wrapText="1" indent="1"/>
      <protection/>
    </xf>
    <xf numFmtId="0" fontId="13" fillId="0" borderId="14" xfId="61" applyFont="1" applyFill="1" applyBorder="1" applyAlignment="1" applyProtection="1">
      <alignment horizontal="left" vertical="center" wrapText="1" indent="1"/>
      <protection/>
    </xf>
    <xf numFmtId="0" fontId="13" fillId="0" borderId="15" xfId="61" applyFont="1" applyFill="1" applyBorder="1" applyAlignment="1" applyProtection="1">
      <alignment horizontal="left" vertical="center" wrapText="1" indent="1"/>
      <protection/>
    </xf>
    <xf numFmtId="49" fontId="13" fillId="0" borderId="16" xfId="61" applyNumberFormat="1" applyFont="1" applyFill="1" applyBorder="1" applyAlignment="1" applyProtection="1">
      <alignment horizontal="left" vertical="center" wrapText="1" indent="1"/>
      <protection/>
    </xf>
    <xf numFmtId="49" fontId="13" fillId="0" borderId="17" xfId="61" applyNumberFormat="1" applyFont="1" applyFill="1" applyBorder="1" applyAlignment="1" applyProtection="1">
      <alignment horizontal="left" vertical="center" wrapText="1" indent="1"/>
      <protection/>
    </xf>
    <xf numFmtId="49" fontId="13" fillId="0" borderId="18" xfId="61" applyNumberFormat="1" applyFont="1" applyFill="1" applyBorder="1" applyAlignment="1" applyProtection="1">
      <alignment horizontal="left" vertical="center" wrapText="1" indent="1"/>
      <protection/>
    </xf>
    <xf numFmtId="49" fontId="13" fillId="0" borderId="19" xfId="61" applyNumberFormat="1" applyFont="1" applyFill="1" applyBorder="1" applyAlignment="1" applyProtection="1">
      <alignment horizontal="left" vertical="center" wrapText="1" indent="1"/>
      <protection/>
    </xf>
    <xf numFmtId="49" fontId="13" fillId="0" borderId="20" xfId="61" applyNumberFormat="1" applyFont="1" applyFill="1" applyBorder="1" applyAlignment="1" applyProtection="1">
      <alignment horizontal="left" vertical="center" wrapText="1" indent="1"/>
      <protection/>
    </xf>
    <xf numFmtId="49" fontId="13" fillId="0" borderId="21" xfId="61" applyNumberFormat="1" applyFont="1" applyFill="1" applyBorder="1" applyAlignment="1" applyProtection="1">
      <alignment horizontal="left" vertical="center" wrapText="1" indent="1"/>
      <protection/>
    </xf>
    <xf numFmtId="0" fontId="13" fillId="0" borderId="0" xfId="61" applyFont="1" applyFill="1" applyBorder="1" applyAlignment="1" applyProtection="1">
      <alignment horizontal="left" vertical="center" wrapText="1" indent="1"/>
      <protection/>
    </xf>
    <xf numFmtId="0" fontId="12" fillId="0" borderId="22" xfId="61" applyFont="1" applyFill="1" applyBorder="1" applyAlignment="1" applyProtection="1">
      <alignment horizontal="left" vertical="center" wrapText="1" indent="1"/>
      <protection/>
    </xf>
    <xf numFmtId="0" fontId="12" fillId="0" borderId="23" xfId="61" applyFont="1" applyFill="1" applyBorder="1" applyAlignment="1" applyProtection="1">
      <alignment horizontal="left" vertical="center" wrapText="1" indent="1"/>
      <protection/>
    </xf>
    <xf numFmtId="0" fontId="12" fillId="0" borderId="24" xfId="61" applyFont="1" applyFill="1" applyBorder="1" applyAlignment="1" applyProtection="1">
      <alignment horizontal="left" vertical="center" wrapText="1" indent="1"/>
      <protection/>
    </xf>
    <xf numFmtId="166" fontId="13" fillId="0" borderId="11" xfId="0" applyNumberFormat="1" applyFont="1" applyFill="1" applyBorder="1" applyAlignment="1" applyProtection="1">
      <alignment vertical="center" wrapText="1"/>
      <protection locked="0"/>
    </xf>
    <xf numFmtId="166" fontId="13" fillId="0" borderId="15" xfId="0" applyNumberFormat="1" applyFont="1" applyFill="1" applyBorder="1" applyAlignment="1" applyProtection="1">
      <alignment vertical="center" wrapText="1"/>
      <protection locked="0"/>
    </xf>
    <xf numFmtId="0" fontId="12" fillId="0" borderId="23" xfId="61" applyFont="1" applyFill="1" applyBorder="1" applyAlignment="1" applyProtection="1">
      <alignment vertical="center" wrapText="1"/>
      <protection/>
    </xf>
    <xf numFmtId="0" fontId="12" fillId="0" borderId="25" xfId="61" applyFont="1" applyFill="1" applyBorder="1" applyAlignment="1" applyProtection="1">
      <alignment vertical="center" wrapText="1"/>
      <protection/>
    </xf>
    <xf numFmtId="0" fontId="12" fillId="0" borderId="22" xfId="61" applyFont="1" applyFill="1" applyBorder="1" applyAlignment="1" applyProtection="1">
      <alignment horizontal="center" vertical="center" wrapText="1"/>
      <protection/>
    </xf>
    <xf numFmtId="0" fontId="12" fillId="0" borderId="23" xfId="61" applyFont="1" applyFill="1" applyBorder="1" applyAlignment="1" applyProtection="1">
      <alignment horizontal="center" vertical="center" wrapText="1"/>
      <protection/>
    </xf>
    <xf numFmtId="166" fontId="0" fillId="0" borderId="0" xfId="0" applyNumberFormat="1" applyFill="1" applyAlignment="1">
      <alignment vertical="center" wrapText="1"/>
    </xf>
    <xf numFmtId="166" fontId="0" fillId="0" borderId="0" xfId="0" applyNumberFormat="1" applyFill="1" applyAlignment="1">
      <alignment horizontal="center" vertical="center" wrapText="1"/>
    </xf>
    <xf numFmtId="166" fontId="3" fillId="0" borderId="0" xfId="0" applyNumberFormat="1" applyFont="1" applyFill="1" applyAlignment="1">
      <alignment horizontal="center" vertical="center" wrapText="1"/>
    </xf>
    <xf numFmtId="166" fontId="13" fillId="0" borderId="17" xfId="0" applyNumberFormat="1" applyFont="1" applyFill="1" applyBorder="1" applyAlignment="1" applyProtection="1">
      <alignment horizontal="left" vertical="center" wrapText="1" indent="1"/>
      <protection locked="0"/>
    </xf>
    <xf numFmtId="0" fontId="0" fillId="0" borderId="0" xfId="0" applyFill="1" applyAlignment="1">
      <alignment/>
    </xf>
    <xf numFmtId="0" fontId="0" fillId="0" borderId="0" xfId="0" applyFill="1" applyAlignment="1">
      <alignment/>
    </xf>
    <xf numFmtId="166" fontId="0" fillId="0" borderId="0" xfId="0" applyNumberFormat="1" applyFill="1" applyAlignment="1" applyProtection="1">
      <alignment vertical="center" wrapText="1"/>
      <protection/>
    </xf>
    <xf numFmtId="166" fontId="13" fillId="0" borderId="26" xfId="0" applyNumberFormat="1" applyFont="1" applyFill="1" applyBorder="1" applyAlignment="1" applyProtection="1">
      <alignment vertical="center" wrapText="1"/>
      <protection/>
    </xf>
    <xf numFmtId="166" fontId="13" fillId="0" borderId="19" xfId="0" applyNumberFormat="1" applyFont="1" applyFill="1" applyBorder="1" applyAlignment="1" applyProtection="1">
      <alignment horizontal="left" vertical="center" wrapText="1" indent="1"/>
      <protection locked="0"/>
    </xf>
    <xf numFmtId="166" fontId="12" fillId="0" borderId="23" xfId="0" applyNumberFormat="1" applyFont="1" applyFill="1" applyBorder="1" applyAlignment="1" applyProtection="1">
      <alignment vertical="center" wrapText="1"/>
      <protection/>
    </xf>
    <xf numFmtId="166" fontId="12" fillId="0" borderId="27" xfId="0" applyNumberFormat="1" applyFont="1" applyFill="1" applyBorder="1" applyAlignment="1" applyProtection="1">
      <alignment vertical="center" wrapText="1"/>
      <protection/>
    </xf>
    <xf numFmtId="166" fontId="3" fillId="0" borderId="0" xfId="0" applyNumberFormat="1" applyFont="1" applyFill="1" applyAlignment="1">
      <alignment vertical="center" wrapText="1"/>
    </xf>
    <xf numFmtId="166" fontId="11" fillId="0" borderId="17" xfId="0" applyNumberFormat="1" applyFont="1" applyFill="1" applyBorder="1" applyAlignment="1" applyProtection="1">
      <alignment horizontal="left" vertical="center" wrapText="1" indent="1"/>
      <protection locked="0"/>
    </xf>
    <xf numFmtId="166" fontId="11" fillId="0" borderId="11" xfId="0" applyNumberFormat="1" applyFont="1" applyFill="1" applyBorder="1" applyAlignment="1" applyProtection="1">
      <alignment vertical="center" wrapText="1"/>
      <protection locked="0"/>
    </xf>
    <xf numFmtId="166" fontId="11" fillId="0" borderId="26" xfId="0" applyNumberFormat="1" applyFont="1" applyFill="1" applyBorder="1" applyAlignment="1" applyProtection="1">
      <alignment vertical="center" wrapText="1"/>
      <protection/>
    </xf>
    <xf numFmtId="166" fontId="11" fillId="0" borderId="19" xfId="0" applyNumberFormat="1" applyFont="1" applyFill="1" applyBorder="1" applyAlignment="1" applyProtection="1">
      <alignment horizontal="left" vertical="center" wrapText="1" indent="1"/>
      <protection locked="0"/>
    </xf>
    <xf numFmtId="166" fontId="11" fillId="0" borderId="15" xfId="0" applyNumberFormat="1" applyFont="1" applyFill="1" applyBorder="1" applyAlignment="1" applyProtection="1">
      <alignment vertical="center" wrapText="1"/>
      <protection locked="0"/>
    </xf>
    <xf numFmtId="166" fontId="11" fillId="0" borderId="28" xfId="0" applyNumberFormat="1" applyFont="1" applyFill="1" applyBorder="1" applyAlignment="1" applyProtection="1">
      <alignment vertical="center" wrapText="1"/>
      <protection/>
    </xf>
    <xf numFmtId="166" fontId="6" fillId="0" borderId="27" xfId="0" applyNumberFormat="1" applyFont="1" applyFill="1" applyBorder="1" applyAlignment="1" applyProtection="1">
      <alignment vertical="center" wrapText="1"/>
      <protection/>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166" fontId="13" fillId="0" borderId="11" xfId="0" applyNumberFormat="1" applyFont="1" applyFill="1" applyBorder="1" applyAlignment="1" applyProtection="1">
      <alignment horizontal="right" vertical="center" wrapText="1" indent="1"/>
      <protection locked="0"/>
    </xf>
    <xf numFmtId="166" fontId="13" fillId="0" borderId="29" xfId="0" applyNumberFormat="1" applyFont="1" applyFill="1" applyBorder="1" applyAlignment="1" applyProtection="1">
      <alignment horizontal="right" vertical="center" wrapText="1" indent="1"/>
      <protection locked="0"/>
    </xf>
    <xf numFmtId="0" fontId="5"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vertical="center" wrapText="1"/>
    </xf>
    <xf numFmtId="0" fontId="1" fillId="0" borderId="0" xfId="0" applyFont="1" applyFill="1" applyAlignment="1">
      <alignment vertical="center" wrapText="1"/>
    </xf>
    <xf numFmtId="0" fontId="7" fillId="0" borderId="0" xfId="0" applyFont="1" applyFill="1" applyAlignment="1">
      <alignment vertical="center" wrapText="1"/>
    </xf>
    <xf numFmtId="166" fontId="12" fillId="33" borderId="23" xfId="0" applyNumberFormat="1" applyFont="1" applyFill="1" applyBorder="1" applyAlignment="1" applyProtection="1">
      <alignment vertical="center" wrapText="1"/>
      <protection/>
    </xf>
    <xf numFmtId="166" fontId="6" fillId="33" borderId="23" xfId="0" applyNumberFormat="1" applyFont="1" applyFill="1" applyBorder="1" applyAlignment="1" applyProtection="1">
      <alignment vertical="center" wrapText="1"/>
      <protection/>
    </xf>
    <xf numFmtId="166" fontId="13" fillId="0" borderId="18" xfId="0" applyNumberFormat="1" applyFont="1" applyFill="1" applyBorder="1" applyAlignment="1" applyProtection="1">
      <alignment horizontal="left" vertical="center" wrapText="1" indent="1"/>
      <protection locked="0"/>
    </xf>
    <xf numFmtId="0" fontId="12" fillId="0" borderId="23" xfId="61" applyFont="1" applyFill="1" applyBorder="1" applyAlignment="1" applyProtection="1">
      <alignment horizontal="left" vertical="center" wrapText="1" indent="1"/>
      <protection/>
    </xf>
    <xf numFmtId="166" fontId="12" fillId="0" borderId="22" xfId="0" applyNumberFormat="1" applyFont="1" applyFill="1" applyBorder="1" applyAlignment="1" applyProtection="1">
      <alignment horizontal="left" vertical="center" wrapText="1" indent="1"/>
      <protection/>
    </xf>
    <xf numFmtId="166" fontId="13" fillId="0" borderId="30" xfId="0" applyNumberFormat="1" applyFont="1" applyFill="1" applyBorder="1" applyAlignment="1" applyProtection="1">
      <alignment horizontal="right" vertical="center" wrapText="1" indent="1"/>
      <protection locked="0"/>
    </xf>
    <xf numFmtId="166" fontId="13" fillId="0" borderId="14" xfId="0" applyNumberFormat="1" applyFont="1" applyFill="1" applyBorder="1" applyAlignment="1" applyProtection="1">
      <alignment horizontal="right" vertical="center" wrapText="1" indent="1"/>
      <protection locked="0"/>
    </xf>
    <xf numFmtId="0" fontId="4" fillId="0" borderId="31" xfId="0" applyFont="1" applyFill="1" applyBorder="1" applyAlignment="1" applyProtection="1">
      <alignment horizontal="right"/>
      <protection/>
    </xf>
    <xf numFmtId="0" fontId="13" fillId="0" borderId="32" xfId="61" applyFont="1" applyFill="1" applyBorder="1" applyAlignment="1" applyProtection="1">
      <alignment horizontal="left" vertical="center" wrapText="1" indent="1"/>
      <protection/>
    </xf>
    <xf numFmtId="0" fontId="13" fillId="0" borderId="11" xfId="61" applyFont="1" applyFill="1" applyBorder="1" applyAlignment="1" applyProtection="1">
      <alignment horizontal="left" indent="6"/>
      <protection/>
    </xf>
    <xf numFmtId="0" fontId="13" fillId="0" borderId="11" xfId="61" applyFont="1" applyFill="1" applyBorder="1" applyAlignment="1" applyProtection="1">
      <alignment horizontal="left" vertical="center" wrapText="1" indent="6"/>
      <protection/>
    </xf>
    <xf numFmtId="0" fontId="13" fillId="0" borderId="15" xfId="61" applyFont="1" applyFill="1" applyBorder="1" applyAlignment="1" applyProtection="1">
      <alignment horizontal="left" vertical="center" wrapText="1" indent="6"/>
      <protection/>
    </xf>
    <xf numFmtId="0" fontId="13" fillId="0" borderId="29" xfId="61" applyFont="1" applyFill="1" applyBorder="1" applyAlignment="1" applyProtection="1">
      <alignment horizontal="left" vertical="center" wrapText="1" indent="6"/>
      <protection/>
    </xf>
    <xf numFmtId="0" fontId="24" fillId="0" borderId="0" xfId="0" applyFont="1" applyAlignment="1">
      <alignment/>
    </xf>
    <xf numFmtId="0" fontId="0" fillId="0" borderId="0" xfId="0" applyFill="1" applyAlignment="1" applyProtection="1">
      <alignment/>
      <protection locked="0"/>
    </xf>
    <xf numFmtId="166" fontId="13" fillId="0" borderId="11" xfId="0" applyNumberFormat="1" applyFont="1" applyFill="1" applyBorder="1" applyAlignment="1" applyProtection="1">
      <alignment vertical="center"/>
      <protection locked="0"/>
    </xf>
    <xf numFmtId="166" fontId="13" fillId="0" borderId="15" xfId="0" applyNumberFormat="1" applyFont="1" applyFill="1" applyBorder="1" applyAlignment="1" applyProtection="1">
      <alignment vertical="center"/>
      <protection locked="0"/>
    </xf>
    <xf numFmtId="0" fontId="3" fillId="0" borderId="0" xfId="0" applyFont="1" applyFill="1" applyAlignment="1">
      <alignment/>
    </xf>
    <xf numFmtId="166" fontId="0" fillId="0" borderId="0" xfId="0" applyNumberFormat="1" applyFill="1" applyAlignment="1" applyProtection="1">
      <alignment horizontal="center" vertical="center" wrapText="1"/>
      <protection/>
    </xf>
    <xf numFmtId="166" fontId="6" fillId="0" borderId="22" xfId="0" applyNumberFormat="1" applyFont="1" applyFill="1" applyBorder="1" applyAlignment="1" applyProtection="1">
      <alignment horizontal="left" vertical="center" wrapText="1"/>
      <protection/>
    </xf>
    <xf numFmtId="166" fontId="6" fillId="0" borderId="23" xfId="0" applyNumberFormat="1" applyFont="1" applyFill="1" applyBorder="1" applyAlignment="1" applyProtection="1">
      <alignment vertical="center" wrapText="1"/>
      <protection/>
    </xf>
    <xf numFmtId="0" fontId="12" fillId="0" borderId="22"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3" fillId="0" borderId="11" xfId="0" applyFont="1" applyFill="1" applyBorder="1" applyAlignment="1" applyProtection="1">
      <alignment vertical="center" wrapText="1"/>
      <protection/>
    </xf>
    <xf numFmtId="0" fontId="12" fillId="0" borderId="22"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Alignment="1" applyProtection="1">
      <alignment/>
      <protection/>
    </xf>
    <xf numFmtId="0" fontId="5" fillId="0" borderId="0" xfId="0" applyFont="1" applyFill="1" applyAlignment="1" applyProtection="1">
      <alignment/>
      <protection/>
    </xf>
    <xf numFmtId="166" fontId="2" fillId="0" borderId="0" xfId="0" applyNumberFormat="1" applyFont="1" applyFill="1" applyAlignment="1" applyProtection="1">
      <alignment vertical="center" wrapText="1"/>
      <protection/>
    </xf>
    <xf numFmtId="0" fontId="12" fillId="0" borderId="23" xfId="0" applyFont="1" applyFill="1" applyBorder="1" applyAlignment="1" applyProtection="1">
      <alignment horizontal="left" vertical="center" wrapText="1" indent="1"/>
      <protection/>
    </xf>
    <xf numFmtId="0" fontId="17" fillId="0" borderId="22" xfId="0" applyFont="1" applyBorder="1" applyAlignment="1" applyProtection="1">
      <alignment horizontal="center" vertical="center" wrapText="1"/>
      <protection/>
    </xf>
    <xf numFmtId="0" fontId="22" fillId="0" borderId="33" xfId="0" applyFont="1" applyBorder="1" applyAlignment="1" applyProtection="1">
      <alignment horizontal="left" wrapText="1" indent="1"/>
      <protection/>
    </xf>
    <xf numFmtId="0" fontId="13"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indent="1"/>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vertical="center" wrapText="1"/>
      <protection/>
    </xf>
    <xf numFmtId="0" fontId="6" fillId="0" borderId="23" xfId="0" applyFont="1" applyFill="1" applyBorder="1" applyAlignment="1" applyProtection="1">
      <alignment horizontal="left" vertical="center" wrapText="1" indent="1"/>
      <protection/>
    </xf>
    <xf numFmtId="0" fontId="0" fillId="0" borderId="0" xfId="0" applyFill="1" applyAlignment="1" applyProtection="1">
      <alignment horizontal="left" vertical="center" wrapText="1"/>
      <protection/>
    </xf>
    <xf numFmtId="0" fontId="0" fillId="0" borderId="0" xfId="0" applyFill="1" applyAlignment="1" applyProtection="1">
      <alignment vertical="center" wrapText="1"/>
      <protection/>
    </xf>
    <xf numFmtId="0" fontId="3" fillId="0" borderId="22" xfId="0" applyFont="1" applyFill="1" applyBorder="1" applyAlignment="1" applyProtection="1">
      <alignment horizontal="left" vertical="center"/>
      <protection/>
    </xf>
    <xf numFmtId="0" fontId="3" fillId="0" borderId="33" xfId="0" applyFont="1" applyFill="1" applyBorder="1" applyAlignment="1" applyProtection="1">
      <alignment vertical="center" wrapText="1"/>
      <protection/>
    </xf>
    <xf numFmtId="16" fontId="0" fillId="0" borderId="0" xfId="0" applyNumberFormat="1" applyFill="1" applyAlignment="1">
      <alignment vertical="center" wrapText="1"/>
    </xf>
    <xf numFmtId="0" fontId="13" fillId="0" borderId="17" xfId="0" applyFont="1" applyFill="1" applyBorder="1" applyAlignment="1" applyProtection="1">
      <alignment horizontal="center" vertical="center"/>
      <protection/>
    </xf>
    <xf numFmtId="166" fontId="12" fillId="0" borderId="26" xfId="0" applyNumberFormat="1" applyFont="1" applyFill="1" applyBorder="1" applyAlignment="1" applyProtection="1">
      <alignment vertical="center"/>
      <protection/>
    </xf>
    <xf numFmtId="0" fontId="13" fillId="0" borderId="19" xfId="0" applyFont="1" applyFill="1" applyBorder="1" applyAlignment="1" applyProtection="1">
      <alignment horizontal="center" vertical="center"/>
      <protection/>
    </xf>
    <xf numFmtId="0" fontId="13" fillId="0" borderId="15" xfId="0" applyFont="1" applyFill="1" applyBorder="1" applyAlignment="1" applyProtection="1">
      <alignment vertical="center" wrapText="1"/>
      <protection/>
    </xf>
    <xf numFmtId="166" fontId="12" fillId="0" borderId="23" xfId="0" applyNumberFormat="1" applyFont="1" applyFill="1" applyBorder="1" applyAlignment="1" applyProtection="1">
      <alignment vertical="center"/>
      <protection/>
    </xf>
    <xf numFmtId="166" fontId="12" fillId="0" borderId="27" xfId="0" applyNumberFormat="1" applyFont="1" applyFill="1" applyBorder="1" applyAlignment="1" applyProtection="1">
      <alignment vertical="center"/>
      <protection/>
    </xf>
    <xf numFmtId="166" fontId="12" fillId="0" borderId="34" xfId="61" applyNumberFormat="1" applyFont="1" applyFill="1" applyBorder="1" applyAlignment="1" applyProtection="1">
      <alignment horizontal="right" vertical="center" wrapText="1" indent="1"/>
      <protection/>
    </xf>
    <xf numFmtId="166" fontId="13" fillId="0" borderId="35" xfId="61" applyNumberFormat="1" applyFont="1" applyFill="1" applyBorder="1" applyAlignment="1" applyProtection="1">
      <alignment horizontal="right" vertical="center" wrapText="1" indent="1"/>
      <protection locked="0"/>
    </xf>
    <xf numFmtId="166" fontId="13" fillId="0" borderId="36" xfId="61" applyNumberFormat="1" applyFont="1" applyFill="1" applyBorder="1" applyAlignment="1" applyProtection="1">
      <alignment horizontal="right" vertical="center" wrapText="1" indent="1"/>
      <protection locked="0"/>
    </xf>
    <xf numFmtId="166" fontId="13" fillId="0" borderId="37" xfId="61" applyNumberFormat="1" applyFont="1" applyFill="1" applyBorder="1" applyAlignment="1" applyProtection="1">
      <alignment horizontal="right" vertical="center" wrapText="1" indent="1"/>
      <protection locked="0"/>
    </xf>
    <xf numFmtId="166" fontId="13" fillId="0" borderId="35" xfId="61" applyNumberFormat="1" applyFont="1" applyFill="1" applyBorder="1" applyAlignment="1" applyProtection="1">
      <alignment horizontal="right" vertical="center" wrapText="1" indent="1"/>
      <protection locked="0"/>
    </xf>
    <xf numFmtId="166" fontId="13" fillId="0" borderId="37" xfId="61" applyNumberFormat="1" applyFont="1" applyFill="1" applyBorder="1" applyAlignment="1" applyProtection="1">
      <alignment horizontal="right" vertical="center" wrapText="1" indent="1"/>
      <protection locked="0"/>
    </xf>
    <xf numFmtId="166" fontId="13" fillId="0" borderId="36" xfId="61" applyNumberFormat="1" applyFont="1" applyFill="1" applyBorder="1" applyAlignment="1" applyProtection="1">
      <alignment horizontal="right" vertical="center" wrapText="1" indent="1"/>
      <protection locked="0"/>
    </xf>
    <xf numFmtId="0" fontId="17" fillId="0" borderId="23" xfId="0" applyFont="1" applyBorder="1" applyAlignment="1" applyProtection="1">
      <alignment horizontal="left" vertical="center" wrapText="1" indent="1"/>
      <protection/>
    </xf>
    <xf numFmtId="0" fontId="16" fillId="0" borderId="11" xfId="0" applyFont="1" applyBorder="1" applyAlignment="1" applyProtection="1">
      <alignment horizontal="left" vertical="center" wrapText="1" indent="1"/>
      <protection/>
    </xf>
    <xf numFmtId="0" fontId="16" fillId="0" borderId="15" xfId="0" applyFont="1" applyBorder="1" applyAlignment="1" applyProtection="1">
      <alignment horizontal="left" vertical="center" wrapText="1" indent="1"/>
      <protection/>
    </xf>
    <xf numFmtId="0" fontId="17" fillId="0" borderId="38" xfId="0" applyFont="1" applyBorder="1" applyAlignment="1" applyProtection="1">
      <alignment horizontal="left" vertical="center" wrapText="1" indent="1"/>
      <protection/>
    </xf>
    <xf numFmtId="166" fontId="5" fillId="0" borderId="0" xfId="61" applyNumberFormat="1" applyFont="1" applyFill="1" applyBorder="1" applyAlignment="1" applyProtection="1">
      <alignment horizontal="right" vertical="center" wrapText="1" indent="1"/>
      <protection/>
    </xf>
    <xf numFmtId="0" fontId="4" fillId="0" borderId="31" xfId="0" applyFont="1" applyFill="1" applyBorder="1" applyAlignment="1" applyProtection="1">
      <alignment horizontal="right" vertical="center"/>
      <protection/>
    </xf>
    <xf numFmtId="166" fontId="13" fillId="0" borderId="12" xfId="0" applyNumberFormat="1" applyFont="1" applyFill="1" applyBorder="1" applyAlignment="1" applyProtection="1">
      <alignment horizontal="right" vertical="center" wrapText="1" indent="1"/>
      <protection locked="0"/>
    </xf>
    <xf numFmtId="166" fontId="13" fillId="0" borderId="11" xfId="0" applyNumberFormat="1" applyFont="1" applyFill="1" applyBorder="1" applyAlignment="1" applyProtection="1">
      <alignment horizontal="right" vertical="center" wrapText="1" indent="1"/>
      <protection locked="0"/>
    </xf>
    <xf numFmtId="166" fontId="13" fillId="0" borderId="39" xfId="0" applyNumberFormat="1" applyFont="1" applyFill="1" applyBorder="1" applyAlignment="1" applyProtection="1">
      <alignment horizontal="right" vertical="center" wrapText="1" indent="1"/>
      <protection locked="0"/>
    </xf>
    <xf numFmtId="166" fontId="13" fillId="0" borderId="15" xfId="0" applyNumberFormat="1" applyFont="1" applyFill="1" applyBorder="1" applyAlignment="1" applyProtection="1">
      <alignment horizontal="right" vertical="center" wrapText="1" indent="1"/>
      <protection locked="0"/>
    </xf>
    <xf numFmtId="166" fontId="12" fillId="0" borderId="23" xfId="0" applyNumberFormat="1" applyFont="1" applyFill="1" applyBorder="1" applyAlignment="1" applyProtection="1">
      <alignment horizontal="right" vertical="center" wrapText="1" indent="1"/>
      <protection/>
    </xf>
    <xf numFmtId="166" fontId="13" fillId="0" borderId="10" xfId="0" applyNumberFormat="1" applyFont="1" applyFill="1" applyBorder="1" applyAlignment="1" applyProtection="1">
      <alignment horizontal="right" vertical="center" wrapText="1" indent="1"/>
      <protection locked="0"/>
    </xf>
    <xf numFmtId="166" fontId="12" fillId="0" borderId="27" xfId="0" applyNumberFormat="1" applyFont="1" applyFill="1" applyBorder="1" applyAlignment="1" applyProtection="1">
      <alignment horizontal="right" vertical="center" wrapText="1" indent="1"/>
      <protection/>
    </xf>
    <xf numFmtId="166" fontId="3" fillId="0" borderId="0" xfId="0" applyNumberFormat="1" applyFont="1" applyFill="1" applyAlignment="1" applyProtection="1">
      <alignment horizontal="center" vertical="center" wrapText="1"/>
      <protection/>
    </xf>
    <xf numFmtId="166" fontId="12" fillId="0" borderId="0" xfId="0" applyNumberFormat="1" applyFont="1" applyFill="1" applyAlignment="1" applyProtection="1">
      <alignment horizontal="center" vertical="center" wrapText="1"/>
      <protection/>
    </xf>
    <xf numFmtId="166" fontId="0" fillId="0" borderId="40" xfId="0" applyNumberFormat="1" applyFill="1" applyBorder="1" applyAlignment="1" applyProtection="1">
      <alignment horizontal="left" vertical="center" wrapText="1" indent="1"/>
      <protection/>
    </xf>
    <xf numFmtId="166" fontId="13" fillId="0" borderId="18" xfId="0" applyNumberFormat="1" applyFont="1" applyFill="1" applyBorder="1" applyAlignment="1" applyProtection="1">
      <alignment horizontal="left" vertical="center" wrapText="1" indent="1"/>
      <protection/>
    </xf>
    <xf numFmtId="166" fontId="0" fillId="0" borderId="41" xfId="0" applyNumberFormat="1" applyFill="1" applyBorder="1" applyAlignment="1" applyProtection="1">
      <alignment horizontal="left" vertical="center" wrapText="1" indent="1"/>
      <protection/>
    </xf>
    <xf numFmtId="166" fontId="13" fillId="0" borderId="17" xfId="0" applyNumberFormat="1" applyFont="1" applyFill="1" applyBorder="1" applyAlignment="1" applyProtection="1">
      <alignment horizontal="left" vertical="center" wrapText="1" indent="1"/>
      <protection/>
    </xf>
    <xf numFmtId="166" fontId="13" fillId="0" borderId="42" xfId="0" applyNumberFormat="1" applyFont="1" applyFill="1" applyBorder="1" applyAlignment="1" applyProtection="1">
      <alignment horizontal="left" vertical="center" wrapText="1" indent="1"/>
      <protection/>
    </xf>
    <xf numFmtId="166" fontId="3" fillId="0" borderId="43" xfId="0" applyNumberFormat="1" applyFont="1" applyFill="1" applyBorder="1" applyAlignment="1" applyProtection="1">
      <alignment horizontal="left" vertical="center" wrapText="1" indent="1"/>
      <protection/>
    </xf>
    <xf numFmtId="166" fontId="0" fillId="0" borderId="44" xfId="0" applyNumberFormat="1" applyFont="1" applyFill="1" applyBorder="1" applyAlignment="1" applyProtection="1">
      <alignment horizontal="left" vertical="center" wrapText="1" indent="1"/>
      <protection/>
    </xf>
    <xf numFmtId="166" fontId="13" fillId="0" borderId="16" xfId="0" applyNumberFormat="1" applyFont="1" applyFill="1" applyBorder="1" applyAlignment="1" applyProtection="1">
      <alignment horizontal="left" vertical="center" wrapText="1" indent="1"/>
      <protection/>
    </xf>
    <xf numFmtId="166" fontId="13" fillId="0" borderId="17" xfId="0" applyNumberFormat="1" applyFont="1" applyFill="1" applyBorder="1" applyAlignment="1" applyProtection="1">
      <alignment horizontal="left" vertical="center" wrapText="1" indent="1"/>
      <protection/>
    </xf>
    <xf numFmtId="166" fontId="0" fillId="0" borderId="41" xfId="0" applyNumberFormat="1" applyFont="1" applyFill="1" applyBorder="1" applyAlignment="1" applyProtection="1">
      <alignment horizontal="left" vertical="center" wrapText="1" indent="1"/>
      <protection/>
    </xf>
    <xf numFmtId="166" fontId="18" fillId="0" borderId="11" xfId="0" applyNumberFormat="1" applyFont="1" applyFill="1" applyBorder="1" applyAlignment="1" applyProtection="1">
      <alignment horizontal="right" vertical="center" wrapText="1" indent="1"/>
      <protection/>
    </xf>
    <xf numFmtId="166" fontId="3" fillId="0" borderId="22" xfId="0" applyNumberFormat="1" applyFont="1" applyFill="1" applyBorder="1" applyAlignment="1" applyProtection="1">
      <alignment horizontal="left" vertical="center" wrapText="1" indent="1"/>
      <protection/>
    </xf>
    <xf numFmtId="166" fontId="13" fillId="0" borderId="18" xfId="0" applyNumberFormat="1" applyFont="1" applyFill="1" applyBorder="1" applyAlignment="1" applyProtection="1">
      <alignment horizontal="left" vertical="center" wrapText="1" indent="1"/>
      <protection locked="0"/>
    </xf>
    <xf numFmtId="166" fontId="18" fillId="0" borderId="16" xfId="0" applyNumberFormat="1" applyFont="1" applyFill="1" applyBorder="1" applyAlignment="1" applyProtection="1">
      <alignment horizontal="left" vertical="center" wrapText="1" indent="1"/>
      <protection/>
    </xf>
    <xf numFmtId="166" fontId="13" fillId="0" borderId="17" xfId="0" applyNumberFormat="1" applyFont="1" applyFill="1" applyBorder="1" applyAlignment="1" applyProtection="1">
      <alignment horizontal="left" vertical="center" wrapText="1" indent="2"/>
      <protection/>
    </xf>
    <xf numFmtId="166" fontId="13" fillId="0" borderId="11" xfId="0" applyNumberFormat="1" applyFont="1" applyFill="1" applyBorder="1" applyAlignment="1" applyProtection="1">
      <alignment horizontal="left" vertical="center" wrapText="1" indent="2"/>
      <protection/>
    </xf>
    <xf numFmtId="166" fontId="18" fillId="0" borderId="11" xfId="0" applyNumberFormat="1" applyFont="1" applyFill="1" applyBorder="1" applyAlignment="1" applyProtection="1">
      <alignment horizontal="left" vertical="center" wrapText="1" indent="1"/>
      <protection/>
    </xf>
    <xf numFmtId="166" fontId="13" fillId="0" borderId="18" xfId="0" applyNumberFormat="1" applyFont="1" applyFill="1" applyBorder="1" applyAlignment="1" applyProtection="1">
      <alignment horizontal="left" vertical="center" wrapText="1" indent="1"/>
      <protection/>
    </xf>
    <xf numFmtId="166" fontId="13" fillId="0" borderId="18" xfId="0" applyNumberFormat="1" applyFont="1" applyFill="1" applyBorder="1" applyAlignment="1" applyProtection="1">
      <alignment horizontal="left" vertical="center" wrapText="1" indent="2"/>
      <protection/>
    </xf>
    <xf numFmtId="166" fontId="13" fillId="0" borderId="19" xfId="0" applyNumberFormat="1" applyFont="1" applyFill="1" applyBorder="1" applyAlignment="1" applyProtection="1">
      <alignment horizontal="left" vertical="center" wrapText="1" indent="2"/>
      <protection/>
    </xf>
    <xf numFmtId="166" fontId="18" fillId="0" borderId="12" xfId="0" applyNumberFormat="1" applyFont="1" applyFill="1" applyBorder="1" applyAlignment="1" applyProtection="1">
      <alignment horizontal="right" vertical="center" wrapText="1" indent="1"/>
      <protection/>
    </xf>
    <xf numFmtId="166" fontId="13" fillId="0" borderId="45" xfId="0" applyNumberFormat="1" applyFont="1" applyFill="1" applyBorder="1" applyAlignment="1" applyProtection="1">
      <alignment horizontal="right" vertical="center" wrapText="1" indent="1"/>
      <protection locked="0"/>
    </xf>
    <xf numFmtId="166" fontId="12" fillId="0" borderId="34" xfId="0" applyNumberFormat="1" applyFont="1" applyFill="1" applyBorder="1" applyAlignment="1" applyProtection="1">
      <alignment horizontal="right" vertical="center" wrapText="1" indent="1"/>
      <protection locked="0"/>
    </xf>
    <xf numFmtId="166" fontId="12" fillId="0" borderId="34" xfId="0" applyNumberFormat="1" applyFont="1" applyFill="1" applyBorder="1" applyAlignment="1" applyProtection="1">
      <alignment horizontal="right" vertical="center" wrapText="1" indent="1"/>
      <protection/>
    </xf>
    <xf numFmtId="166" fontId="12" fillId="0" borderId="0" xfId="0" applyNumberFormat="1" applyFont="1" applyFill="1" applyBorder="1" applyAlignment="1" applyProtection="1">
      <alignment horizontal="right" vertical="center" wrapText="1" indent="1"/>
      <protection/>
    </xf>
    <xf numFmtId="0" fontId="13" fillId="0" borderId="0" xfId="0" applyFont="1" applyFill="1" applyAlignment="1" applyProtection="1">
      <alignment horizontal="right" vertical="center" wrapText="1" indent="1"/>
      <protection/>
    </xf>
    <xf numFmtId="166" fontId="12" fillId="0" borderId="34" xfId="0" applyNumberFormat="1" applyFont="1" applyFill="1" applyBorder="1" applyAlignment="1" applyProtection="1">
      <alignment horizontal="right" vertical="center" wrapText="1" indent="1"/>
      <protection/>
    </xf>
    <xf numFmtId="0" fontId="0" fillId="0" borderId="0" xfId="0" applyFill="1" applyAlignment="1" applyProtection="1">
      <alignment horizontal="right" vertical="center" wrapText="1" indent="1"/>
      <protection/>
    </xf>
    <xf numFmtId="0" fontId="8" fillId="0" borderId="0" xfId="0" applyFont="1" applyFill="1" applyAlignment="1" applyProtection="1">
      <alignment vertical="center" wrapText="1"/>
      <protection/>
    </xf>
    <xf numFmtId="0" fontId="15" fillId="0" borderId="32" xfId="0" applyFont="1" applyBorder="1" applyAlignment="1" applyProtection="1">
      <alignment horizontal="left" vertical="center" wrapText="1" indent="1"/>
      <protection/>
    </xf>
    <xf numFmtId="0" fontId="2" fillId="0" borderId="0" xfId="61" applyFont="1" applyFill="1" applyProtection="1">
      <alignment/>
      <protection/>
    </xf>
    <xf numFmtId="0" fontId="2" fillId="0" borderId="0" xfId="61" applyFont="1" applyFill="1" applyAlignment="1" applyProtection="1">
      <alignment horizontal="right" vertical="center" inden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right" vertical="center" wrapText="1" inden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right" vertical="center" wrapText="1" indent="1"/>
      <protection/>
    </xf>
    <xf numFmtId="166" fontId="0" fillId="0" borderId="44" xfId="0" applyNumberFormat="1" applyFill="1" applyBorder="1" applyAlignment="1" applyProtection="1">
      <alignment horizontal="left" vertical="center" wrapText="1" indent="1"/>
      <protection/>
    </xf>
    <xf numFmtId="166" fontId="13" fillId="0" borderId="16" xfId="0" applyNumberFormat="1" applyFont="1" applyFill="1" applyBorder="1" applyAlignment="1" applyProtection="1">
      <alignment horizontal="left" vertical="center" wrapText="1" indent="1"/>
      <protection/>
    </xf>
    <xf numFmtId="166" fontId="13" fillId="0" borderId="46" xfId="0" applyNumberFormat="1" applyFont="1" applyFill="1" applyBorder="1" applyAlignment="1" applyProtection="1">
      <alignment horizontal="right" vertical="center" wrapText="1" indent="1"/>
      <protection locked="0"/>
    </xf>
    <xf numFmtId="166" fontId="12" fillId="0" borderId="25" xfId="61" applyNumberFormat="1" applyFont="1" applyFill="1" applyBorder="1" applyAlignment="1" applyProtection="1">
      <alignment horizontal="right" vertical="center" wrapText="1" indent="1"/>
      <protection/>
    </xf>
    <xf numFmtId="166" fontId="12" fillId="0" borderId="23" xfId="61" applyNumberFormat="1" applyFont="1" applyFill="1" applyBorder="1" applyAlignment="1" applyProtection="1">
      <alignment horizontal="right" vertical="center" wrapText="1" indent="1"/>
      <protection/>
    </xf>
    <xf numFmtId="166" fontId="13" fillId="0" borderId="11" xfId="61" applyNumberFormat="1" applyFont="1" applyFill="1" applyBorder="1" applyAlignment="1" applyProtection="1">
      <alignment horizontal="right" vertical="center" wrapText="1" indent="1"/>
      <protection locked="0"/>
    </xf>
    <xf numFmtId="166" fontId="13" fillId="0" borderId="12" xfId="61" applyNumberFormat="1" applyFont="1" applyFill="1" applyBorder="1" applyAlignment="1" applyProtection="1">
      <alignment horizontal="right" vertical="center" wrapText="1" indent="1"/>
      <protection locked="0"/>
    </xf>
    <xf numFmtId="166" fontId="13" fillId="0" borderId="15" xfId="61" applyNumberFormat="1" applyFont="1" applyFill="1" applyBorder="1" applyAlignment="1" applyProtection="1">
      <alignment horizontal="right" vertical="center" wrapText="1" indent="1"/>
      <protection locked="0"/>
    </xf>
    <xf numFmtId="166" fontId="13" fillId="0" borderId="11" xfId="61" applyNumberFormat="1" applyFont="1" applyFill="1" applyBorder="1" applyAlignment="1" applyProtection="1">
      <alignment horizontal="right" vertical="center" wrapText="1" indent="1"/>
      <protection locked="0"/>
    </xf>
    <xf numFmtId="166" fontId="13" fillId="0" borderId="15" xfId="61" applyNumberFormat="1" applyFont="1" applyFill="1" applyBorder="1" applyAlignment="1" applyProtection="1">
      <alignment horizontal="right" vertical="center" wrapText="1" indent="1"/>
      <protection locked="0"/>
    </xf>
    <xf numFmtId="166" fontId="12" fillId="0" borderId="23" xfId="61" applyNumberFormat="1" applyFont="1" applyFill="1" applyBorder="1" applyAlignment="1" applyProtection="1">
      <alignment horizontal="right" vertical="center" wrapText="1" indent="1"/>
      <protection/>
    </xf>
    <xf numFmtId="0" fontId="12" fillId="0" borderId="24" xfId="61" applyFont="1" applyFill="1" applyBorder="1" applyAlignment="1" applyProtection="1">
      <alignment horizontal="center" vertical="center" wrapText="1"/>
      <protection/>
    </xf>
    <xf numFmtId="0" fontId="12" fillId="0" borderId="25" xfId="61" applyFont="1" applyFill="1" applyBorder="1" applyAlignment="1" applyProtection="1">
      <alignment horizontal="center" vertical="center" wrapText="1"/>
      <protection/>
    </xf>
    <xf numFmtId="0" fontId="13" fillId="0" borderId="12" xfId="61" applyFont="1" applyFill="1" applyBorder="1" applyAlignment="1" applyProtection="1">
      <alignment horizontal="left" vertical="center" wrapText="1" indent="6"/>
      <protection/>
    </xf>
    <xf numFmtId="0" fontId="2" fillId="0" borderId="0" xfId="61" applyFill="1" applyProtection="1">
      <alignment/>
      <protection/>
    </xf>
    <xf numFmtId="0" fontId="13" fillId="0" borderId="0" xfId="61" applyFont="1" applyFill="1" applyProtection="1">
      <alignment/>
      <protection/>
    </xf>
    <xf numFmtId="0" fontId="0" fillId="0" borderId="0" xfId="61" applyFont="1" applyFill="1" applyProtection="1">
      <alignment/>
      <protection/>
    </xf>
    <xf numFmtId="0" fontId="16" fillId="0" borderId="12" xfId="0" applyFont="1" applyBorder="1" applyAlignment="1" applyProtection="1">
      <alignment horizontal="left" wrapText="1" indent="1"/>
      <protection/>
    </xf>
    <xf numFmtId="0" fontId="16" fillId="0" borderId="11" xfId="0" applyFont="1" applyBorder="1" applyAlignment="1" applyProtection="1">
      <alignment horizontal="left" wrapText="1" indent="1"/>
      <protection/>
    </xf>
    <xf numFmtId="0" fontId="16" fillId="0" borderId="15" xfId="0" applyFont="1" applyBorder="1" applyAlignment="1" applyProtection="1">
      <alignment horizontal="left" wrapText="1" indent="1"/>
      <protection/>
    </xf>
    <xf numFmtId="0" fontId="16" fillId="0" borderId="15" xfId="0" applyFont="1" applyBorder="1" applyAlignment="1" applyProtection="1">
      <alignment wrapText="1"/>
      <protection/>
    </xf>
    <xf numFmtId="0" fontId="16" fillId="0" borderId="18" xfId="0" applyFont="1" applyBorder="1" applyAlignment="1" applyProtection="1">
      <alignment wrapText="1"/>
      <protection/>
    </xf>
    <xf numFmtId="0" fontId="16" fillId="0" borderId="17" xfId="0" applyFont="1" applyBorder="1" applyAlignment="1" applyProtection="1">
      <alignment wrapText="1"/>
      <protection/>
    </xf>
    <xf numFmtId="0" fontId="16" fillId="0" borderId="19" xfId="0" applyFont="1" applyBorder="1" applyAlignment="1" applyProtection="1">
      <alignment wrapText="1"/>
      <protection/>
    </xf>
    <xf numFmtId="0" fontId="17" fillId="0" borderId="23" xfId="0" applyFont="1" applyBorder="1" applyAlignment="1" applyProtection="1">
      <alignment wrapText="1"/>
      <protection/>
    </xf>
    <xf numFmtId="0" fontId="17" fillId="0" borderId="32" xfId="0" applyFont="1" applyBorder="1" applyAlignment="1" applyProtection="1">
      <alignment wrapText="1"/>
      <protection/>
    </xf>
    <xf numFmtId="0" fontId="2" fillId="0" borderId="0" xfId="61" applyFill="1" applyAlignment="1" applyProtection="1">
      <alignment/>
      <protection/>
    </xf>
    <xf numFmtId="0" fontId="14" fillId="0" borderId="0" xfId="61" applyFont="1" applyFill="1" applyProtection="1">
      <alignment/>
      <protection/>
    </xf>
    <xf numFmtId="0" fontId="5" fillId="0" borderId="0" xfId="61" applyFont="1" applyFill="1" applyProtection="1">
      <alignment/>
      <protection/>
    </xf>
    <xf numFmtId="166" fontId="13" fillId="0" borderId="0" xfId="0" applyNumberFormat="1" applyFont="1" applyFill="1" applyBorder="1" applyAlignment="1" applyProtection="1">
      <alignment horizontal="left" vertical="center" wrapText="1" indent="1"/>
      <protection locked="0"/>
    </xf>
    <xf numFmtId="166" fontId="13" fillId="0" borderId="17" xfId="0" applyNumberFormat="1" applyFont="1" applyFill="1" applyBorder="1" applyAlignment="1" applyProtection="1" quotePrefix="1">
      <alignment horizontal="left" vertical="center" wrapText="1" indent="3"/>
      <protection locked="0"/>
    </xf>
    <xf numFmtId="166" fontId="13" fillId="0" borderId="16" xfId="0" applyNumberFormat="1" applyFont="1" applyFill="1" applyBorder="1" applyAlignment="1" applyProtection="1">
      <alignment horizontal="left" vertical="center" wrapText="1" indent="1"/>
      <protection locked="0"/>
    </xf>
    <xf numFmtId="166" fontId="13" fillId="0" borderId="17" xfId="0" applyNumberFormat="1" applyFont="1" applyFill="1" applyBorder="1" applyAlignment="1" applyProtection="1" quotePrefix="1">
      <alignment horizontal="left" vertical="center" wrapText="1" indent="6"/>
      <protection locked="0"/>
    </xf>
    <xf numFmtId="166" fontId="13" fillId="0" borderId="17" xfId="0" applyNumberFormat="1" applyFont="1" applyFill="1" applyBorder="1" applyAlignment="1" applyProtection="1" quotePrefix="1">
      <alignment horizontal="left" vertical="center" wrapText="1" indent="6"/>
      <protection locked="0"/>
    </xf>
    <xf numFmtId="49" fontId="13" fillId="0" borderId="18" xfId="61" applyNumberFormat="1" applyFont="1" applyFill="1" applyBorder="1" applyAlignment="1" applyProtection="1">
      <alignment horizontal="center" vertical="center" wrapText="1"/>
      <protection/>
    </xf>
    <xf numFmtId="49" fontId="13" fillId="0" borderId="17" xfId="61" applyNumberFormat="1" applyFont="1" applyFill="1" applyBorder="1" applyAlignment="1" applyProtection="1">
      <alignment horizontal="center" vertical="center" wrapText="1"/>
      <protection/>
    </xf>
    <xf numFmtId="49" fontId="13" fillId="0" borderId="19" xfId="61" applyNumberFormat="1" applyFont="1" applyFill="1" applyBorder="1" applyAlignment="1" applyProtection="1">
      <alignment horizontal="center" vertical="center" wrapText="1"/>
      <protection/>
    </xf>
    <xf numFmtId="0" fontId="17" fillId="0" borderId="22" xfId="0" applyFont="1" applyBorder="1" applyAlignment="1" applyProtection="1">
      <alignment horizontal="center" wrapText="1"/>
      <protection/>
    </xf>
    <xf numFmtId="0" fontId="16" fillId="0" borderId="18" xfId="0" applyFont="1" applyBorder="1" applyAlignment="1" applyProtection="1">
      <alignment horizontal="center" wrapText="1"/>
      <protection/>
    </xf>
    <xf numFmtId="0" fontId="16" fillId="0" borderId="17" xfId="0" applyFont="1" applyBorder="1" applyAlignment="1" applyProtection="1">
      <alignment horizontal="center" wrapText="1"/>
      <protection/>
    </xf>
    <xf numFmtId="0" fontId="16" fillId="0" borderId="19" xfId="0" applyFont="1" applyBorder="1" applyAlignment="1" applyProtection="1">
      <alignment horizontal="center" wrapText="1"/>
      <protection/>
    </xf>
    <xf numFmtId="0" fontId="17" fillId="0" borderId="38" xfId="0" applyFont="1" applyBorder="1" applyAlignment="1" applyProtection="1">
      <alignment horizontal="center" wrapText="1"/>
      <protection/>
    </xf>
    <xf numFmtId="49" fontId="13" fillId="0" borderId="20" xfId="61" applyNumberFormat="1" applyFont="1" applyFill="1" applyBorder="1" applyAlignment="1" applyProtection="1">
      <alignment horizontal="center" vertical="center" wrapText="1"/>
      <protection/>
    </xf>
    <xf numFmtId="49" fontId="13" fillId="0" borderId="16" xfId="61" applyNumberFormat="1" applyFont="1" applyFill="1" applyBorder="1" applyAlignment="1" applyProtection="1">
      <alignment horizontal="center" vertical="center" wrapText="1"/>
      <protection/>
    </xf>
    <xf numFmtId="49" fontId="13" fillId="0" borderId="21" xfId="61" applyNumberFormat="1" applyFont="1" applyFill="1" applyBorder="1" applyAlignment="1" applyProtection="1">
      <alignment horizontal="center" vertical="center" wrapText="1"/>
      <protection/>
    </xf>
    <xf numFmtId="0" fontId="17" fillId="0" borderId="38" xfId="0" applyFont="1" applyBorder="1" applyAlignment="1" applyProtection="1">
      <alignment horizontal="center" vertical="center" wrapText="1"/>
      <protection/>
    </xf>
    <xf numFmtId="166" fontId="12" fillId="0" borderId="34" xfId="61" applyNumberFormat="1" applyFont="1" applyFill="1" applyBorder="1" applyAlignment="1" applyProtection="1">
      <alignment horizontal="right" vertical="center" wrapText="1" indent="1"/>
      <protection/>
    </xf>
    <xf numFmtId="49" fontId="13" fillId="0" borderId="20" xfId="0" applyNumberFormat="1" applyFont="1" applyFill="1" applyBorder="1" applyAlignment="1" applyProtection="1">
      <alignment horizontal="center" vertical="center" wrapText="1"/>
      <protection/>
    </xf>
    <xf numFmtId="49" fontId="13" fillId="0" borderId="17" xfId="0" applyNumberFormat="1" applyFont="1" applyFill="1" applyBorder="1" applyAlignment="1" applyProtection="1">
      <alignment horizontal="center" vertical="center" wrapText="1"/>
      <protection/>
    </xf>
    <xf numFmtId="49" fontId="13" fillId="0" borderId="18" xfId="0" applyNumberFormat="1" applyFont="1" applyFill="1" applyBorder="1" applyAlignment="1" applyProtection="1">
      <alignment horizontal="center" vertical="center" wrapText="1"/>
      <protection/>
    </xf>
    <xf numFmtId="0" fontId="13" fillId="0" borderId="12" xfId="61" applyFont="1" applyFill="1" applyBorder="1" applyAlignment="1" applyProtection="1">
      <alignment horizontal="left" vertical="center" wrapText="1" indent="1"/>
      <protection/>
    </xf>
    <xf numFmtId="0" fontId="13" fillId="0" borderId="11" xfId="61" applyFont="1" applyFill="1" applyBorder="1" applyAlignment="1" applyProtection="1">
      <alignment horizontal="left" vertical="center" wrapText="1" indent="1"/>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5" fillId="0" borderId="0" xfId="0" applyFont="1" applyFill="1" applyAlignment="1" applyProtection="1">
      <alignment horizontal="center" vertical="center" wrapText="1"/>
      <protection/>
    </xf>
    <xf numFmtId="0" fontId="1" fillId="0" borderId="0" xfId="0" applyFont="1" applyFill="1" applyAlignment="1" applyProtection="1">
      <alignment vertical="center" wrapText="1"/>
      <protection/>
    </xf>
    <xf numFmtId="0" fontId="7" fillId="0" borderId="0" xfId="0" applyFont="1" applyFill="1" applyAlignment="1" applyProtection="1">
      <alignment vertical="center" wrapText="1"/>
      <protection/>
    </xf>
    <xf numFmtId="166" fontId="13" fillId="0" borderId="12" xfId="61" applyNumberFormat="1" applyFont="1" applyFill="1" applyBorder="1" applyAlignment="1" applyProtection="1">
      <alignment horizontal="right" vertical="center" wrapText="1" indent="1"/>
      <protection locked="0"/>
    </xf>
    <xf numFmtId="0" fontId="17" fillId="0" borderId="22" xfId="0" applyFont="1" applyBorder="1" applyAlignment="1" applyProtection="1">
      <alignment vertical="center" wrapText="1"/>
      <protection/>
    </xf>
    <xf numFmtId="0" fontId="17" fillId="0" borderId="38" xfId="0" applyFont="1" applyBorder="1" applyAlignment="1" applyProtection="1">
      <alignment vertical="center" wrapText="1"/>
      <protection/>
    </xf>
    <xf numFmtId="166" fontId="12" fillId="0" borderId="23" xfId="61" applyNumberFormat="1" applyFont="1" applyFill="1" applyBorder="1" applyAlignment="1" applyProtection="1">
      <alignment horizontal="right" vertical="center" wrapText="1" indent="1"/>
      <protection locked="0"/>
    </xf>
    <xf numFmtId="166" fontId="12" fillId="0" borderId="34" xfId="61" applyNumberFormat="1" applyFont="1" applyFill="1" applyBorder="1" applyAlignment="1" applyProtection="1">
      <alignment horizontal="right" vertical="center" wrapText="1" indent="1"/>
      <protection locked="0"/>
    </xf>
    <xf numFmtId="166" fontId="13" fillId="0" borderId="17" xfId="0" applyNumberFormat="1" applyFont="1" applyFill="1" applyBorder="1" applyAlignment="1" applyProtection="1">
      <alignment horizontal="left" vertical="center" wrapText="1"/>
      <protection locked="0"/>
    </xf>
    <xf numFmtId="49" fontId="13" fillId="0" borderId="11"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0" fontId="16" fillId="0" borderId="15" xfId="0" applyFont="1" applyBorder="1" applyAlignment="1" applyProtection="1">
      <alignment vertical="center" wrapText="1"/>
      <protection/>
    </xf>
    <xf numFmtId="0" fontId="12" fillId="0" borderId="38" xfId="61" applyFont="1" applyFill="1" applyBorder="1" applyAlignment="1" applyProtection="1">
      <alignment horizontal="left" vertical="center" wrapText="1" indent="1"/>
      <protection/>
    </xf>
    <xf numFmtId="0" fontId="12" fillId="0" borderId="32" xfId="61" applyFont="1" applyFill="1" applyBorder="1" applyAlignment="1" applyProtection="1">
      <alignment vertical="center" wrapText="1"/>
      <protection/>
    </xf>
    <xf numFmtId="0" fontId="13" fillId="0" borderId="29" xfId="61" applyFont="1" applyFill="1" applyBorder="1" applyAlignment="1" applyProtection="1">
      <alignment horizontal="left" vertical="center" wrapText="1" indent="7"/>
      <protection/>
    </xf>
    <xf numFmtId="0" fontId="12" fillId="0" borderId="22" xfId="61" applyFont="1" applyFill="1" applyBorder="1" applyAlignment="1" applyProtection="1">
      <alignment horizontal="left" vertical="center" wrapText="1"/>
      <protection/>
    </xf>
    <xf numFmtId="166" fontId="18" fillId="0" borderId="10" xfId="0" applyNumberFormat="1" applyFont="1" applyFill="1" applyBorder="1" applyAlignment="1" applyProtection="1">
      <alignment horizontal="right" vertical="center" wrapText="1" indent="1"/>
      <protection/>
    </xf>
    <xf numFmtId="49" fontId="12" fillId="0" borderId="22" xfId="61" applyNumberFormat="1" applyFont="1" applyFill="1" applyBorder="1" applyAlignment="1" applyProtection="1">
      <alignment horizontal="center" vertical="center" wrapText="1"/>
      <protection/>
    </xf>
    <xf numFmtId="166" fontId="12" fillId="0" borderId="47" xfId="61" applyNumberFormat="1" applyFont="1" applyFill="1" applyBorder="1" applyAlignment="1" applyProtection="1">
      <alignment horizontal="right" vertical="center" wrapText="1" indent="1"/>
      <protection/>
    </xf>
    <xf numFmtId="166" fontId="13" fillId="0" borderId="48" xfId="61" applyNumberFormat="1" applyFont="1" applyFill="1" applyBorder="1" applyAlignment="1" applyProtection="1">
      <alignment horizontal="right" vertical="center" wrapText="1" indent="1"/>
      <protection locked="0"/>
    </xf>
    <xf numFmtId="166" fontId="13" fillId="0" borderId="49" xfId="61" applyNumberFormat="1" applyFont="1" applyFill="1" applyBorder="1" applyAlignment="1" applyProtection="1">
      <alignment horizontal="right" vertical="center" wrapText="1" indent="1"/>
      <protection locked="0"/>
    </xf>
    <xf numFmtId="166" fontId="12" fillId="0" borderId="50" xfId="61" applyNumberFormat="1" applyFont="1" applyFill="1" applyBorder="1" applyAlignment="1" applyProtection="1">
      <alignment horizontal="right" vertical="center" wrapText="1" indent="1"/>
      <protection/>
    </xf>
    <xf numFmtId="166" fontId="17" fillId="0" borderId="34" xfId="0" applyNumberFormat="1" applyFont="1" applyBorder="1" applyAlignment="1" applyProtection="1">
      <alignment horizontal="right" vertical="center" wrapText="1" indent="1"/>
      <protection/>
    </xf>
    <xf numFmtId="166" fontId="17" fillId="0" borderId="34" xfId="0" applyNumberFormat="1" applyFont="1" applyBorder="1" applyAlignment="1" applyProtection="1">
      <alignment horizontal="right" vertical="center" wrapText="1" indent="1"/>
      <protection locked="0"/>
    </xf>
    <xf numFmtId="166" fontId="15" fillId="0" borderId="34" xfId="0" applyNumberFormat="1" applyFont="1" applyBorder="1" applyAlignment="1" applyProtection="1" quotePrefix="1">
      <alignment horizontal="right" vertical="center" wrapText="1" indent="1"/>
      <protection/>
    </xf>
    <xf numFmtId="166" fontId="13" fillId="0" borderId="13" xfId="61" applyNumberFormat="1" applyFont="1" applyFill="1" applyBorder="1" applyAlignment="1" applyProtection="1">
      <alignment horizontal="right" vertical="center" wrapText="1" indent="1"/>
      <protection locked="0"/>
    </xf>
    <xf numFmtId="166" fontId="13" fillId="0" borderId="29" xfId="61" applyNumberFormat="1" applyFont="1" applyFill="1" applyBorder="1" applyAlignment="1" applyProtection="1">
      <alignment horizontal="right" vertical="center" wrapText="1" indent="1"/>
      <protection locked="0"/>
    </xf>
    <xf numFmtId="166" fontId="12" fillId="0" borderId="32" xfId="61" applyNumberFormat="1" applyFont="1" applyFill="1" applyBorder="1" applyAlignment="1" applyProtection="1">
      <alignment horizontal="right" vertical="center" wrapText="1" indent="1"/>
      <protection/>
    </xf>
    <xf numFmtId="166" fontId="17" fillId="0" borderId="23" xfId="0" applyNumberFormat="1" applyFont="1" applyBorder="1" applyAlignment="1" applyProtection="1">
      <alignment horizontal="right" vertical="center" wrapText="1" indent="1"/>
      <protection/>
    </xf>
    <xf numFmtId="166" fontId="17" fillId="0" borderId="23" xfId="0" applyNumberFormat="1" applyFont="1" applyBorder="1" applyAlignment="1" applyProtection="1">
      <alignment horizontal="right" vertical="center" wrapText="1" indent="1"/>
      <protection locked="0"/>
    </xf>
    <xf numFmtId="166" fontId="15" fillId="0" borderId="23" xfId="0" applyNumberFormat="1" applyFont="1" applyBorder="1" applyAlignment="1" applyProtection="1" quotePrefix="1">
      <alignment horizontal="right" vertical="center" wrapText="1" indent="1"/>
      <protection/>
    </xf>
    <xf numFmtId="0" fontId="6" fillId="0" borderId="29" xfId="61" applyFont="1" applyFill="1" applyBorder="1" applyAlignment="1" applyProtection="1">
      <alignment horizontal="center" vertical="center" wrapText="1"/>
      <protection/>
    </xf>
    <xf numFmtId="0" fontId="6" fillId="0" borderId="51" xfId="61" applyFont="1" applyFill="1" applyBorder="1" applyAlignment="1" applyProtection="1">
      <alignment horizontal="center" vertical="center" wrapText="1"/>
      <protection/>
    </xf>
    <xf numFmtId="0" fontId="12" fillId="0" borderId="52" xfId="61" applyFont="1" applyFill="1" applyBorder="1" applyAlignment="1" applyProtection="1">
      <alignment horizontal="center" vertical="center" wrapText="1"/>
      <protection/>
    </xf>
    <xf numFmtId="166" fontId="12" fillId="0" borderId="53" xfId="61" applyNumberFormat="1" applyFont="1" applyFill="1" applyBorder="1" applyAlignment="1" applyProtection="1">
      <alignment horizontal="right" vertical="center" wrapText="1" indent="1"/>
      <protection/>
    </xf>
    <xf numFmtId="166" fontId="12" fillId="0" borderId="33" xfId="61" applyNumberFormat="1" applyFont="1" applyFill="1" applyBorder="1" applyAlignment="1" applyProtection="1">
      <alignment horizontal="right" vertical="center" wrapText="1" indent="1"/>
      <protection/>
    </xf>
    <xf numFmtId="166" fontId="13" fillId="0" borderId="30" xfId="61" applyNumberFormat="1" applyFont="1" applyFill="1" applyBorder="1" applyAlignment="1" applyProtection="1">
      <alignment horizontal="right" vertical="center" wrapText="1" indent="1"/>
      <protection locked="0"/>
    </xf>
    <xf numFmtId="166" fontId="13" fillId="0" borderId="14" xfId="61" applyNumberFormat="1" applyFont="1" applyFill="1" applyBorder="1" applyAlignment="1" applyProtection="1">
      <alignment horizontal="right" vertical="center" wrapText="1" indent="1"/>
      <protection locked="0"/>
    </xf>
    <xf numFmtId="166" fontId="13" fillId="0" borderId="54" xfId="61" applyNumberFormat="1" applyFont="1" applyFill="1" applyBorder="1" applyAlignment="1" applyProtection="1">
      <alignment horizontal="right" vertical="center" wrapText="1" indent="1"/>
      <protection locked="0"/>
    </xf>
    <xf numFmtId="166" fontId="12" fillId="0" borderId="33" xfId="61" applyNumberFormat="1" applyFont="1" applyFill="1" applyBorder="1" applyAlignment="1" applyProtection="1">
      <alignment horizontal="right" vertical="center" wrapText="1" indent="1"/>
      <protection/>
    </xf>
    <xf numFmtId="166" fontId="17" fillId="0" borderId="33" xfId="0" applyNumberFormat="1" applyFont="1" applyBorder="1" applyAlignment="1" applyProtection="1">
      <alignment horizontal="right" vertical="center" wrapText="1" indent="1"/>
      <protection/>
    </xf>
    <xf numFmtId="166" fontId="17" fillId="0" borderId="33" xfId="0" applyNumberFormat="1" applyFont="1" applyBorder="1" applyAlignment="1" applyProtection="1">
      <alignment horizontal="right" vertical="center" wrapText="1" indent="1"/>
      <protection locked="0"/>
    </xf>
    <xf numFmtId="166" fontId="15" fillId="0" borderId="33" xfId="0" applyNumberFormat="1" applyFont="1" applyBorder="1" applyAlignment="1" applyProtection="1" quotePrefix="1">
      <alignment horizontal="right" vertical="center" wrapText="1" indent="1"/>
      <protection/>
    </xf>
    <xf numFmtId="0" fontId="12" fillId="0" borderId="33" xfId="61" applyFont="1" applyFill="1" applyBorder="1" applyAlignment="1" applyProtection="1">
      <alignment horizontal="center" vertical="center" wrapText="1"/>
      <protection/>
    </xf>
    <xf numFmtId="166" fontId="13" fillId="0" borderId="14" xfId="0" applyNumberFormat="1" applyFont="1" applyFill="1" applyBorder="1" applyAlignment="1" applyProtection="1">
      <alignment horizontal="right" vertical="center" wrapText="1" indent="1"/>
      <protection locked="0"/>
    </xf>
    <xf numFmtId="166" fontId="13" fillId="0" borderId="54" xfId="0" applyNumberFormat="1" applyFont="1" applyFill="1" applyBorder="1" applyAlignment="1" applyProtection="1">
      <alignment horizontal="right" vertical="center" wrapText="1" indent="1"/>
      <protection locked="0"/>
    </xf>
    <xf numFmtId="166" fontId="12" fillId="0" borderId="33" xfId="0" applyNumberFormat="1" applyFont="1" applyFill="1" applyBorder="1" applyAlignment="1" applyProtection="1">
      <alignment horizontal="right" vertical="center" wrapText="1" indent="1"/>
      <protection/>
    </xf>
    <xf numFmtId="166" fontId="13" fillId="0" borderId="55" xfId="0" applyNumberFormat="1" applyFont="1" applyFill="1" applyBorder="1" applyAlignment="1" applyProtection="1">
      <alignment horizontal="right" vertical="center" wrapText="1" indent="1"/>
      <protection locked="0"/>
    </xf>
    <xf numFmtId="166" fontId="13" fillId="0" borderId="36" xfId="0" applyNumberFormat="1" applyFont="1" applyFill="1" applyBorder="1" applyAlignment="1" applyProtection="1">
      <alignment horizontal="right" vertical="center" wrapText="1" indent="1"/>
      <protection locked="0"/>
    </xf>
    <xf numFmtId="166" fontId="13" fillId="0" borderId="35" xfId="0" applyNumberFormat="1" applyFont="1" applyFill="1" applyBorder="1" applyAlignment="1" applyProtection="1">
      <alignment horizontal="right" vertical="center" wrapText="1" indent="1"/>
      <protection locked="0"/>
    </xf>
    <xf numFmtId="166" fontId="13" fillId="0" borderId="37" xfId="0" applyNumberFormat="1" applyFont="1" applyFill="1" applyBorder="1" applyAlignment="1" applyProtection="1">
      <alignment horizontal="right" vertical="center" wrapText="1" indent="1"/>
      <protection locked="0"/>
    </xf>
    <xf numFmtId="166" fontId="13" fillId="0" borderId="52" xfId="0" applyNumberFormat="1" applyFont="1" applyFill="1" applyBorder="1" applyAlignment="1" applyProtection="1">
      <alignment horizontal="right" vertical="center" wrapText="1" indent="1"/>
      <protection locked="0"/>
    </xf>
    <xf numFmtId="166" fontId="13" fillId="0" borderId="35" xfId="0" applyNumberFormat="1" applyFont="1" applyFill="1" applyBorder="1" applyAlignment="1" applyProtection="1">
      <alignment horizontal="right" vertical="center" wrapText="1" indent="1"/>
      <protection locked="0"/>
    </xf>
    <xf numFmtId="166" fontId="13" fillId="0" borderId="52" xfId="0" applyNumberFormat="1" applyFont="1" applyFill="1" applyBorder="1" applyAlignment="1" applyProtection="1">
      <alignment horizontal="right" vertical="center" wrapText="1" indent="1"/>
      <protection locked="0"/>
    </xf>
    <xf numFmtId="166" fontId="13" fillId="0" borderId="36" xfId="0" applyNumberFormat="1" applyFont="1" applyFill="1" applyBorder="1" applyAlignment="1" applyProtection="1">
      <alignment horizontal="right" vertical="center" wrapText="1" indent="1"/>
      <protection locked="0"/>
    </xf>
    <xf numFmtId="166" fontId="13" fillId="0" borderId="10" xfId="0" applyNumberFormat="1" applyFont="1" applyFill="1" applyBorder="1" applyAlignment="1" applyProtection="1">
      <alignment horizontal="right" vertical="center" wrapText="1" indent="1"/>
      <protection locked="0"/>
    </xf>
    <xf numFmtId="166" fontId="13" fillId="0" borderId="12" xfId="0" applyNumberFormat="1" applyFont="1" applyFill="1" applyBorder="1" applyAlignment="1" applyProtection="1">
      <alignment horizontal="right" vertical="center" wrapText="1" indent="1"/>
      <protection locked="0"/>
    </xf>
    <xf numFmtId="166" fontId="13" fillId="0" borderId="13" xfId="0" applyNumberFormat="1" applyFont="1" applyFill="1" applyBorder="1" applyAlignment="1" applyProtection="1">
      <alignment horizontal="right" vertical="center" wrapText="1" indent="1"/>
      <protection locked="0"/>
    </xf>
    <xf numFmtId="0" fontId="21" fillId="0" borderId="0" xfId="0" applyFont="1" applyAlignment="1" applyProtection="1">
      <alignment/>
      <protection/>
    </xf>
    <xf numFmtId="0" fontId="14" fillId="0" borderId="0" xfId="0" applyFont="1" applyAlignment="1" applyProtection="1">
      <alignment horizontal="center"/>
      <protection/>
    </xf>
    <xf numFmtId="0" fontId="11" fillId="0" borderId="0" xfId="0" applyFont="1" applyFill="1" applyAlignment="1" applyProtection="1">
      <alignment/>
      <protection/>
    </xf>
    <xf numFmtId="3" fontId="11" fillId="0" borderId="0" xfId="0" applyNumberFormat="1" applyFont="1" applyFill="1" applyAlignment="1" applyProtection="1">
      <alignment horizontal="right" indent="1"/>
      <protection/>
    </xf>
    <xf numFmtId="0" fontId="11" fillId="0" borderId="0" xfId="0" applyFont="1" applyFill="1" applyAlignment="1" applyProtection="1">
      <alignment horizontal="right" indent="1"/>
      <protection/>
    </xf>
    <xf numFmtId="3" fontId="6" fillId="0" borderId="0" xfId="0" applyNumberFormat="1" applyFont="1" applyFill="1" applyAlignment="1" applyProtection="1">
      <alignment horizontal="right" indent="1"/>
      <protection/>
    </xf>
    <xf numFmtId="0" fontId="23" fillId="0" borderId="0" xfId="0" applyFont="1" applyFill="1" applyAlignment="1" applyProtection="1">
      <alignment/>
      <protection/>
    </xf>
    <xf numFmtId="0" fontId="19" fillId="0" borderId="0" xfId="0" applyFont="1" applyFill="1" applyAlignment="1" applyProtection="1">
      <alignment/>
      <protection/>
    </xf>
    <xf numFmtId="0" fontId="5" fillId="0" borderId="0" xfId="0" applyFont="1" applyAlignment="1" applyProtection="1">
      <alignment/>
      <protection/>
    </xf>
    <xf numFmtId="0" fontId="19" fillId="0" borderId="0" xfId="0" applyFont="1" applyAlignment="1" applyProtection="1">
      <alignment/>
      <protection/>
    </xf>
    <xf numFmtId="0" fontId="12" fillId="0" borderId="56" xfId="0" applyFont="1" applyFill="1" applyBorder="1" applyAlignment="1" applyProtection="1">
      <alignment horizontal="center" vertical="center" wrapText="1"/>
      <protection/>
    </xf>
    <xf numFmtId="166" fontId="13" fillId="0" borderId="14" xfId="61" applyNumberFormat="1" applyFont="1" applyFill="1" applyBorder="1" applyAlignment="1" applyProtection="1">
      <alignment horizontal="right" vertical="center" wrapText="1" indent="1"/>
      <protection locked="0"/>
    </xf>
    <xf numFmtId="166" fontId="13" fillId="0" borderId="54" xfId="61" applyNumberFormat="1" applyFont="1" applyFill="1" applyBorder="1" applyAlignment="1" applyProtection="1">
      <alignment horizontal="right" vertical="center" wrapText="1" indent="1"/>
      <protection locked="0"/>
    </xf>
    <xf numFmtId="166" fontId="13" fillId="0" borderId="30" xfId="61" applyNumberFormat="1" applyFont="1" applyFill="1" applyBorder="1" applyAlignment="1" applyProtection="1">
      <alignment horizontal="right" vertical="center" wrapText="1" indent="1"/>
      <protection locked="0"/>
    </xf>
    <xf numFmtId="166" fontId="13" fillId="0" borderId="51" xfId="61" applyNumberFormat="1" applyFont="1" applyFill="1" applyBorder="1" applyAlignment="1" applyProtection="1">
      <alignment horizontal="right" vertical="center" wrapText="1" indent="1"/>
      <protection locked="0"/>
    </xf>
    <xf numFmtId="3" fontId="3" fillId="0" borderId="34" xfId="0" applyNumberFormat="1" applyFont="1" applyFill="1" applyBorder="1" applyAlignment="1" applyProtection="1">
      <alignment horizontal="right" vertical="center" wrapText="1" indent="1"/>
      <protection locked="0"/>
    </xf>
    <xf numFmtId="3" fontId="3" fillId="0" borderId="23" xfId="0" applyNumberFormat="1" applyFont="1" applyFill="1" applyBorder="1" applyAlignment="1" applyProtection="1">
      <alignment horizontal="right" vertical="center" wrapText="1" indent="1"/>
      <protection locked="0"/>
    </xf>
    <xf numFmtId="166" fontId="13" fillId="0" borderId="51" xfId="61" applyNumberFormat="1" applyFont="1" applyFill="1" applyBorder="1" applyAlignment="1" applyProtection="1">
      <alignment horizontal="right" vertical="center" wrapText="1" indent="1"/>
      <protection locked="0"/>
    </xf>
    <xf numFmtId="166" fontId="12" fillId="0" borderId="33" xfId="0" applyNumberFormat="1" applyFont="1" applyFill="1" applyBorder="1" applyAlignment="1" applyProtection="1">
      <alignment horizontal="right" vertical="center" wrapText="1" indent="1"/>
      <protection/>
    </xf>
    <xf numFmtId="166" fontId="13" fillId="0" borderId="48" xfId="0" applyNumberFormat="1" applyFont="1" applyFill="1" applyBorder="1" applyAlignment="1" applyProtection="1">
      <alignment horizontal="right" vertical="center" wrapText="1" indent="1"/>
      <protection locked="0"/>
    </xf>
    <xf numFmtId="166" fontId="13" fillId="0" borderId="49" xfId="0" applyNumberFormat="1" applyFont="1" applyFill="1" applyBorder="1" applyAlignment="1" applyProtection="1">
      <alignment horizontal="right" vertical="center" wrapText="1" indent="1"/>
      <protection locked="0"/>
    </xf>
    <xf numFmtId="166" fontId="12" fillId="0" borderId="23" xfId="0" applyNumberFormat="1" applyFont="1" applyFill="1" applyBorder="1" applyAlignment="1" applyProtection="1">
      <alignment horizontal="right" vertical="center" wrapText="1" indent="1"/>
      <protection locked="0"/>
    </xf>
    <xf numFmtId="166" fontId="12" fillId="0" borderId="23" xfId="0" applyNumberFormat="1" applyFont="1" applyFill="1" applyBorder="1" applyAlignment="1" applyProtection="1">
      <alignment horizontal="right" vertical="center" wrapText="1" indent="1"/>
      <protection/>
    </xf>
    <xf numFmtId="166" fontId="12" fillId="0" borderId="33" xfId="0" applyNumberFormat="1" applyFont="1" applyFill="1" applyBorder="1" applyAlignment="1" applyProtection="1">
      <alignment horizontal="right" vertical="center" wrapText="1" indent="1"/>
      <protection locked="0"/>
    </xf>
    <xf numFmtId="166" fontId="13" fillId="0" borderId="55" xfId="0" applyNumberFormat="1" applyFont="1" applyFill="1" applyBorder="1" applyAlignment="1" applyProtection="1">
      <alignment horizontal="right" vertical="center" wrapText="1" indent="1"/>
      <protection locked="0"/>
    </xf>
    <xf numFmtId="166" fontId="13" fillId="0" borderId="51" xfId="0" applyNumberFormat="1" applyFont="1" applyFill="1" applyBorder="1" applyAlignment="1" applyProtection="1">
      <alignment horizontal="right" vertical="center" wrapText="1" indent="1"/>
      <protection locked="0"/>
    </xf>
    <xf numFmtId="0" fontId="3" fillId="0" borderId="22" xfId="0" applyFont="1" applyBorder="1" applyAlignment="1">
      <alignment horizontal="left" vertical="center"/>
    </xf>
    <xf numFmtId="0" fontId="3" fillId="0" borderId="33" xfId="0" applyFont="1" applyBorder="1" applyAlignment="1">
      <alignment vertical="center" wrapText="1"/>
    </xf>
    <xf numFmtId="0" fontId="3" fillId="0" borderId="38" xfId="0" applyFont="1" applyBorder="1" applyAlignment="1">
      <alignment horizontal="left" vertical="center"/>
    </xf>
    <xf numFmtId="0" fontId="3" fillId="0" borderId="57" xfId="0" applyFont="1" applyBorder="1" applyAlignment="1">
      <alignment vertical="center" wrapText="1"/>
    </xf>
    <xf numFmtId="166" fontId="6" fillId="0" borderId="23" xfId="0" applyNumberFormat="1" applyFont="1" applyFill="1" applyBorder="1" applyAlignment="1" applyProtection="1">
      <alignment horizontal="right" vertical="center" wrapText="1" indent="1"/>
      <protection/>
    </xf>
    <xf numFmtId="166" fontId="6" fillId="0" borderId="34" xfId="0" applyNumberFormat="1" applyFont="1" applyFill="1" applyBorder="1" applyAlignment="1" applyProtection="1">
      <alignment horizontal="right" vertical="center" wrapText="1" indent="1"/>
      <protection/>
    </xf>
    <xf numFmtId="0" fontId="16" fillId="0" borderId="12" xfId="0" applyFont="1" applyBorder="1" applyAlignment="1">
      <alignment horizontal="left" wrapText="1" indent="1"/>
    </xf>
    <xf numFmtId="0" fontId="16" fillId="0" borderId="10" xfId="0" applyFont="1" applyBorder="1" applyAlignment="1">
      <alignment horizontal="left" vertical="center" wrapText="1" indent="1"/>
    </xf>
    <xf numFmtId="0" fontId="6" fillId="0" borderId="58" xfId="61" applyFont="1" applyFill="1" applyBorder="1" applyAlignment="1" applyProtection="1">
      <alignment horizontal="center" vertical="center" wrapText="1"/>
      <protection locked="0"/>
    </xf>
    <xf numFmtId="166" fontId="6" fillId="0" borderId="33" xfId="0" applyNumberFormat="1" applyFont="1" applyFill="1" applyBorder="1" applyAlignment="1" applyProtection="1">
      <alignment horizontal="center" vertical="center" wrapText="1"/>
      <protection locked="0"/>
    </xf>
    <xf numFmtId="166" fontId="6" fillId="0" borderId="34" xfId="0" applyNumberFormat="1" applyFont="1" applyFill="1" applyBorder="1" applyAlignment="1" applyProtection="1">
      <alignment horizontal="center" vertical="center" wrapText="1"/>
      <protection locked="0"/>
    </xf>
    <xf numFmtId="166" fontId="6" fillId="0" borderId="23" xfId="0" applyNumberFormat="1" applyFont="1" applyFill="1" applyBorder="1" applyAlignment="1" applyProtection="1">
      <alignment horizontal="center" vertical="center" wrapText="1"/>
      <protection locked="0"/>
    </xf>
    <xf numFmtId="166" fontId="6" fillId="0" borderId="27" xfId="0" applyNumberFormat="1"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13" fillId="0" borderId="29" xfId="61" applyFont="1" applyFill="1" applyBorder="1" applyAlignment="1" applyProtection="1">
      <alignment horizontal="left" vertical="center" wrapText="1" indent="1"/>
      <protection/>
    </xf>
    <xf numFmtId="0" fontId="2" fillId="0" borderId="0" xfId="61" applyFont="1" applyFill="1" applyProtection="1">
      <alignment/>
      <protection locked="0"/>
    </xf>
    <xf numFmtId="0" fontId="2" fillId="0" borderId="0" xfId="61" applyFont="1" applyFill="1" applyAlignment="1" applyProtection="1">
      <alignment horizontal="right" vertical="center" indent="1"/>
      <protection locked="0"/>
    </xf>
    <xf numFmtId="0" fontId="2" fillId="0" borderId="0" xfId="61" applyFill="1" applyProtection="1">
      <alignment/>
      <protection locked="0"/>
    </xf>
    <xf numFmtId="0" fontId="4" fillId="0" borderId="0" xfId="0" applyFont="1" applyFill="1" applyBorder="1" applyAlignment="1" applyProtection="1">
      <alignment horizontal="right" vertical="center"/>
      <protection locked="0"/>
    </xf>
    <xf numFmtId="0" fontId="16" fillId="0" borderId="29" xfId="0" applyFont="1" applyBorder="1" applyAlignment="1" applyProtection="1">
      <alignment wrapText="1"/>
      <protection/>
    </xf>
    <xf numFmtId="166" fontId="13" fillId="0" borderId="29" xfId="61" applyNumberFormat="1" applyFont="1" applyFill="1" applyBorder="1" applyAlignment="1" applyProtection="1">
      <alignment horizontal="right" vertical="center" wrapText="1" indent="1"/>
      <protection locked="0"/>
    </xf>
    <xf numFmtId="166" fontId="13" fillId="0" borderId="49" xfId="61" applyNumberFormat="1" applyFont="1" applyFill="1" applyBorder="1" applyAlignment="1" applyProtection="1">
      <alignment horizontal="right" vertical="center" wrapText="1" indent="1"/>
      <protection locked="0"/>
    </xf>
    <xf numFmtId="166" fontId="2" fillId="0" borderId="0" xfId="0" applyNumberFormat="1" applyFont="1" applyFill="1" applyAlignment="1" applyProtection="1">
      <alignment horizontal="left" vertical="center" wrapText="1"/>
      <protection locked="0"/>
    </xf>
    <xf numFmtId="0" fontId="6" fillId="0" borderId="22" xfId="0"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right" vertical="center" inden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horizontal="right"/>
      <protection locked="0"/>
    </xf>
    <xf numFmtId="0" fontId="3" fillId="0" borderId="0" xfId="0" applyFont="1" applyFill="1" applyAlignment="1" applyProtection="1">
      <alignment vertical="center"/>
      <protection locked="0"/>
    </xf>
    <xf numFmtId="0" fontId="6" fillId="0" borderId="59"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43" xfId="0" applyFont="1" applyFill="1" applyBorder="1" applyAlignment="1" applyProtection="1" quotePrefix="1">
      <alignment horizontal="right" vertical="center" indent="1"/>
      <protection locked="0"/>
    </xf>
    <xf numFmtId="49" fontId="6" fillId="0" borderId="43" xfId="0" applyNumberFormat="1" applyFont="1" applyFill="1" applyBorder="1" applyAlignment="1" applyProtection="1">
      <alignment horizontal="right" vertical="center" indent="1"/>
      <protection locked="0"/>
    </xf>
    <xf numFmtId="166" fontId="11" fillId="0" borderId="0" xfId="0" applyNumberFormat="1" applyFont="1" applyFill="1" applyAlignment="1" applyProtection="1">
      <alignment vertical="center" wrapText="1"/>
      <protection locked="0"/>
    </xf>
    <xf numFmtId="166" fontId="2" fillId="0" borderId="0" xfId="0" applyNumberFormat="1" applyFont="1" applyFill="1" applyAlignment="1" applyProtection="1">
      <alignment vertical="center" wrapText="1"/>
      <protection locked="0"/>
    </xf>
    <xf numFmtId="0" fontId="4" fillId="0" borderId="0" xfId="0" applyNumberFormat="1" applyFont="1" applyFill="1" applyAlignment="1" applyProtection="1">
      <alignment horizontal="right"/>
      <protection locked="0"/>
    </xf>
    <xf numFmtId="166" fontId="8" fillId="0" borderId="0" xfId="0" applyNumberFormat="1" applyFont="1" applyFill="1" applyAlignment="1" applyProtection="1">
      <alignment vertical="center" wrapText="1"/>
      <protection locked="0"/>
    </xf>
    <xf numFmtId="166" fontId="0" fillId="0" borderId="0" xfId="0" applyNumberFormat="1" applyFill="1" applyAlignment="1" applyProtection="1">
      <alignment horizontal="center" vertical="center" wrapText="1"/>
      <protection locked="0"/>
    </xf>
    <xf numFmtId="166" fontId="0" fillId="0" borderId="0" xfId="0" applyNumberFormat="1" applyFill="1" applyAlignment="1" applyProtection="1">
      <alignment vertical="center" wrapText="1"/>
      <protection locked="0"/>
    </xf>
    <xf numFmtId="166" fontId="4" fillId="0" borderId="0" xfId="0" applyNumberFormat="1" applyFont="1" applyFill="1" applyAlignment="1" applyProtection="1">
      <alignment horizontal="right" wrapText="1"/>
      <protection locked="0"/>
    </xf>
    <xf numFmtId="166" fontId="6" fillId="0" borderId="22" xfId="0" applyNumberFormat="1" applyFont="1" applyFill="1" applyBorder="1" applyAlignment="1" applyProtection="1">
      <alignment horizontal="center" vertical="center" wrapText="1"/>
      <protection locked="0"/>
    </xf>
    <xf numFmtId="166" fontId="12" fillId="0" borderId="38" xfId="0" applyNumberFormat="1" applyFont="1" applyFill="1" applyBorder="1" applyAlignment="1" applyProtection="1">
      <alignment horizontal="center" vertical="center" wrapText="1"/>
      <protection locked="0"/>
    </xf>
    <xf numFmtId="166" fontId="12" fillId="0" borderId="32" xfId="0" applyNumberFormat="1" applyFont="1" applyFill="1" applyBorder="1" applyAlignment="1" applyProtection="1">
      <alignment horizontal="center" vertical="center" wrapText="1"/>
      <protection locked="0"/>
    </xf>
    <xf numFmtId="166" fontId="12" fillId="0" borderId="60" xfId="0" applyNumberFormat="1" applyFont="1" applyFill="1" applyBorder="1" applyAlignment="1" applyProtection="1">
      <alignment horizontal="center" vertical="center" wrapText="1"/>
      <protection locked="0"/>
    </xf>
    <xf numFmtId="166" fontId="5" fillId="0" borderId="0" xfId="0" applyNumberFormat="1" applyFont="1" applyFill="1" applyAlignment="1" applyProtection="1">
      <alignment horizontal="centerContinuous" vertical="center" wrapText="1"/>
      <protection locked="0"/>
    </xf>
    <xf numFmtId="166" fontId="0" fillId="0" borderId="0" xfId="0" applyNumberFormat="1" applyFill="1" applyAlignment="1" applyProtection="1">
      <alignment horizontal="centerContinuous" vertical="center"/>
      <protection locked="0"/>
    </xf>
    <xf numFmtId="166" fontId="4" fillId="0" borderId="0" xfId="0" applyNumberFormat="1" applyFont="1" applyFill="1" applyAlignment="1" applyProtection="1">
      <alignment horizontal="right" vertical="center"/>
      <protection locked="0"/>
    </xf>
    <xf numFmtId="166" fontId="6" fillId="0" borderId="22" xfId="0" applyNumberFormat="1" applyFont="1" applyFill="1" applyBorder="1" applyAlignment="1" applyProtection="1">
      <alignment horizontal="centerContinuous" vertical="center" wrapText="1"/>
      <protection locked="0"/>
    </xf>
    <xf numFmtId="166" fontId="6" fillId="0" borderId="23" xfId="0" applyNumberFormat="1" applyFont="1" applyFill="1" applyBorder="1" applyAlignment="1" applyProtection="1">
      <alignment horizontal="centerContinuous" vertical="center" wrapText="1"/>
      <protection locked="0"/>
    </xf>
    <xf numFmtId="166" fontId="6" fillId="0" borderId="33" xfId="0" applyNumberFormat="1" applyFont="1" applyFill="1" applyBorder="1" applyAlignment="1" applyProtection="1">
      <alignment horizontal="centerContinuous" vertical="center" wrapText="1"/>
      <protection locked="0"/>
    </xf>
    <xf numFmtId="166" fontId="6" fillId="0" borderId="27" xfId="0" applyNumberFormat="1" applyFont="1" applyFill="1" applyBorder="1" applyAlignment="1" applyProtection="1">
      <alignment horizontal="centerContinuous" vertical="center" wrapText="1"/>
      <protection locked="0"/>
    </xf>
    <xf numFmtId="166" fontId="6" fillId="0" borderId="61" xfId="0" applyNumberFormat="1" applyFont="1" applyFill="1" applyBorder="1" applyAlignment="1" applyProtection="1">
      <alignment horizontal="centerContinuous" vertical="center" wrapText="1"/>
      <protection locked="0"/>
    </xf>
    <xf numFmtId="166" fontId="6" fillId="0" borderId="47" xfId="0" applyNumberFormat="1" applyFont="1" applyFill="1" applyBorder="1" applyAlignment="1" applyProtection="1">
      <alignment horizontal="centerContinuous" vertical="center" wrapText="1"/>
      <protection locked="0"/>
    </xf>
    <xf numFmtId="166" fontId="12" fillId="0" borderId="43" xfId="0" applyNumberFormat="1" applyFont="1" applyFill="1" applyBorder="1" applyAlignment="1" applyProtection="1">
      <alignment horizontal="center" vertical="center" wrapText="1"/>
      <protection locked="0"/>
    </xf>
    <xf numFmtId="166" fontId="12" fillId="0" borderId="22" xfId="0" applyNumberFormat="1" applyFont="1" applyFill="1" applyBorder="1" applyAlignment="1" applyProtection="1">
      <alignment horizontal="center" vertical="center" wrapText="1"/>
      <protection locked="0"/>
    </xf>
    <xf numFmtId="166" fontId="12" fillId="0" borderId="23" xfId="0" applyNumberFormat="1" applyFont="1" applyFill="1" applyBorder="1" applyAlignment="1" applyProtection="1">
      <alignment horizontal="center" vertical="center" wrapText="1"/>
      <protection locked="0"/>
    </xf>
    <xf numFmtId="166" fontId="12" fillId="0" borderId="25" xfId="0" applyNumberFormat="1" applyFont="1" applyFill="1" applyBorder="1" applyAlignment="1" applyProtection="1">
      <alignment horizontal="center" vertical="center" wrapText="1"/>
      <protection locked="0"/>
    </xf>
    <xf numFmtId="166" fontId="12" fillId="0" borderId="52" xfId="0" applyNumberFormat="1" applyFont="1" applyFill="1" applyBorder="1" applyAlignment="1" applyProtection="1">
      <alignment horizontal="center" vertical="center" wrapText="1"/>
      <protection locked="0"/>
    </xf>
    <xf numFmtId="166" fontId="12" fillId="0" borderId="33" xfId="0" applyNumberFormat="1" applyFont="1" applyFill="1" applyBorder="1" applyAlignment="1" applyProtection="1">
      <alignment horizontal="center" vertical="center" wrapText="1"/>
      <protection locked="0"/>
    </xf>
    <xf numFmtId="166" fontId="12" fillId="0" borderId="34" xfId="0" applyNumberFormat="1"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6" fillId="0" borderId="58" xfId="61" applyFont="1" applyFill="1" applyBorder="1" applyAlignment="1" applyProtection="1">
      <alignment horizontal="center" vertical="center" wrapText="1"/>
      <protection/>
    </xf>
    <xf numFmtId="0" fontId="12" fillId="0" borderId="23" xfId="61" applyFont="1" applyFill="1" applyBorder="1" applyAlignment="1" applyProtection="1">
      <alignment horizontal="left" vertical="center" wrapText="1"/>
      <protection/>
    </xf>
    <xf numFmtId="0" fontId="16" fillId="0" borderId="12"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166" fontId="13" fillId="34" borderId="11" xfId="61" applyNumberFormat="1" applyFont="1" applyFill="1" applyBorder="1" applyAlignment="1" applyProtection="1">
      <alignment horizontal="right" vertical="center" wrapText="1" indent="1"/>
      <protection locked="0"/>
    </xf>
    <xf numFmtId="0" fontId="16" fillId="0" borderId="15" xfId="0" applyFont="1" applyBorder="1" applyAlignment="1" applyProtection="1">
      <alignment horizontal="left" vertical="center" wrapText="1"/>
      <protection/>
    </xf>
    <xf numFmtId="166" fontId="13" fillId="34" borderId="15" xfId="61" applyNumberFormat="1" applyFont="1" applyFill="1" applyBorder="1" applyAlignment="1" applyProtection="1">
      <alignment horizontal="right" vertical="center" wrapText="1" indent="1"/>
      <protection locked="0"/>
    </xf>
    <xf numFmtId="0" fontId="17" fillId="0" borderId="23" xfId="0" applyFont="1" applyBorder="1" applyAlignment="1" applyProtection="1">
      <alignment horizontal="left" vertical="center" wrapText="1"/>
      <protection/>
    </xf>
    <xf numFmtId="0" fontId="16" fillId="0" borderId="12" xfId="0" applyFont="1" applyBorder="1" applyAlignment="1">
      <alignment horizontal="left"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pplyProtection="1">
      <alignment vertical="center" wrapText="1"/>
      <protection/>
    </xf>
    <xf numFmtId="0" fontId="16" fillId="0" borderId="17" xfId="0" applyFont="1" applyBorder="1" applyAlignment="1" applyProtection="1">
      <alignment vertical="center" wrapText="1"/>
      <protection/>
    </xf>
    <xf numFmtId="0" fontId="16" fillId="0" borderId="19" xfId="0" applyFont="1" applyBorder="1" applyAlignment="1" applyProtection="1">
      <alignment vertical="center" wrapText="1"/>
      <protection/>
    </xf>
    <xf numFmtId="0" fontId="17" fillId="0" borderId="23" xfId="0" applyFont="1" applyBorder="1" applyAlignment="1" applyProtection="1">
      <alignment vertical="center" wrapText="1"/>
      <protection/>
    </xf>
    <xf numFmtId="0" fontId="17" fillId="0" borderId="32" xfId="0" applyFont="1" applyBorder="1" applyAlignment="1" applyProtection="1">
      <alignment vertical="center" wrapText="1"/>
      <protection/>
    </xf>
    <xf numFmtId="166" fontId="20" fillId="0" borderId="31" xfId="61" applyNumberFormat="1" applyFont="1" applyFill="1" applyBorder="1" applyAlignment="1" applyProtection="1">
      <alignment/>
      <protection/>
    </xf>
    <xf numFmtId="0" fontId="12" fillId="0" borderId="34" xfId="61" applyFont="1" applyFill="1" applyBorder="1" applyAlignment="1" applyProtection="1">
      <alignment horizontal="center" vertical="center" wrapText="1"/>
      <protection/>
    </xf>
    <xf numFmtId="0" fontId="13" fillId="0" borderId="13" xfId="61" applyFont="1" applyFill="1" applyBorder="1" applyAlignment="1" applyProtection="1">
      <alignment horizontal="left" vertical="center" wrapText="1"/>
      <protection/>
    </xf>
    <xf numFmtId="0" fontId="13" fillId="0" borderId="11" xfId="61" applyFont="1" applyFill="1" applyBorder="1" applyAlignment="1" applyProtection="1">
      <alignment horizontal="left" vertical="center" wrapText="1"/>
      <protection/>
    </xf>
    <xf numFmtId="0" fontId="13" fillId="0" borderId="14" xfId="61" applyFont="1" applyFill="1" applyBorder="1" applyAlignment="1" applyProtection="1">
      <alignment horizontal="left" vertical="center" wrapText="1"/>
      <protection/>
    </xf>
    <xf numFmtId="0" fontId="13" fillId="0" borderId="0" xfId="61" applyFont="1" applyFill="1" applyBorder="1" applyAlignment="1" applyProtection="1">
      <alignment horizontal="left" vertical="center" wrapText="1"/>
      <protection/>
    </xf>
    <xf numFmtId="0" fontId="13" fillId="0" borderId="11" xfId="61" applyFont="1" applyFill="1" applyBorder="1" applyAlignment="1" applyProtection="1">
      <alignment horizontal="left" vertical="center"/>
      <protection/>
    </xf>
    <xf numFmtId="0" fontId="13" fillId="0" borderId="15" xfId="61" applyFont="1" applyFill="1" applyBorder="1" applyAlignment="1" applyProtection="1">
      <alignment horizontal="left" vertical="center" wrapText="1"/>
      <protection/>
    </xf>
    <xf numFmtId="0" fontId="13" fillId="0" borderId="29" xfId="61" applyFont="1" applyFill="1" applyBorder="1" applyAlignment="1" applyProtection="1">
      <alignment horizontal="left" vertical="center" wrapText="1"/>
      <protection/>
    </xf>
    <xf numFmtId="0" fontId="13" fillId="0" borderId="12" xfId="61" applyFont="1" applyFill="1" applyBorder="1" applyAlignment="1" applyProtection="1">
      <alignment horizontal="left" vertical="center" wrapText="1"/>
      <protection/>
    </xf>
    <xf numFmtId="0" fontId="2" fillId="0" borderId="0" xfId="61" applyFill="1" applyAlignment="1" applyProtection="1">
      <alignment horizontal="left" vertical="center" indent="1"/>
      <protection/>
    </xf>
    <xf numFmtId="0" fontId="12" fillId="0" borderId="23" xfId="61" applyFont="1" applyFill="1" applyBorder="1" applyAlignment="1" applyProtection="1">
      <alignment horizontal="left" vertical="center" wrapText="1"/>
      <protection/>
    </xf>
    <xf numFmtId="0" fontId="13" fillId="0" borderId="10" xfId="61" applyFont="1" applyFill="1" applyBorder="1" applyAlignment="1" applyProtection="1">
      <alignment horizontal="left" vertical="center" wrapText="1"/>
      <protection/>
    </xf>
    <xf numFmtId="0" fontId="15" fillId="0" borderId="32" xfId="0" applyFont="1" applyBorder="1" applyAlignment="1" applyProtection="1">
      <alignment horizontal="left" vertical="center" wrapText="1"/>
      <protection/>
    </xf>
    <xf numFmtId="166" fontId="6" fillId="0" borderId="62" xfId="0" applyNumberFormat="1" applyFont="1" applyFill="1" applyBorder="1" applyAlignment="1" applyProtection="1">
      <alignment horizontal="centerContinuous" vertical="center"/>
      <protection/>
    </xf>
    <xf numFmtId="166" fontId="6" fillId="0" borderId="63" xfId="0" applyNumberFormat="1" applyFont="1" applyFill="1" applyBorder="1" applyAlignment="1" applyProtection="1">
      <alignment horizontal="centerContinuous" vertical="center"/>
      <protection/>
    </xf>
    <xf numFmtId="166" fontId="6" fillId="0" borderId="48" xfId="0" applyNumberFormat="1" applyFont="1" applyFill="1" applyBorder="1" applyAlignment="1" applyProtection="1">
      <alignment horizontal="centerContinuous" vertical="center"/>
      <protection/>
    </xf>
    <xf numFmtId="166" fontId="19" fillId="0" borderId="0" xfId="0" applyNumberFormat="1" applyFont="1" applyFill="1" applyAlignment="1">
      <alignment vertical="center"/>
    </xf>
    <xf numFmtId="166" fontId="6" fillId="0" borderId="64" xfId="0" applyNumberFormat="1" applyFont="1" applyFill="1" applyBorder="1" applyAlignment="1" applyProtection="1">
      <alignment horizontal="center" vertical="center"/>
      <protection/>
    </xf>
    <xf numFmtId="166" fontId="6" fillId="0" borderId="65" xfId="0" applyNumberFormat="1" applyFont="1" applyFill="1" applyBorder="1" applyAlignment="1" applyProtection="1">
      <alignment horizontal="center" vertical="center"/>
      <protection/>
    </xf>
    <xf numFmtId="166" fontId="6" fillId="0" borderId="58" xfId="0" applyNumberFormat="1" applyFont="1" applyFill="1" applyBorder="1" applyAlignment="1" applyProtection="1">
      <alignment horizontal="center" vertical="center" wrapText="1"/>
      <protection/>
    </xf>
    <xf numFmtId="166" fontId="19" fillId="0" borderId="0" xfId="0" applyNumberFormat="1" applyFont="1" applyFill="1" applyAlignment="1">
      <alignment horizontal="center" vertical="center"/>
    </xf>
    <xf numFmtId="166" fontId="12" fillId="0" borderId="59" xfId="0" applyNumberFormat="1" applyFont="1" applyFill="1" applyBorder="1" applyAlignment="1" applyProtection="1">
      <alignment horizontal="center" vertical="center" wrapText="1"/>
      <protection/>
    </xf>
    <xf numFmtId="166" fontId="12" fillId="0" borderId="23" xfId="0" applyNumberFormat="1" applyFont="1" applyFill="1" applyBorder="1" applyAlignment="1" applyProtection="1">
      <alignment horizontal="center" vertical="center" wrapText="1"/>
      <protection/>
    </xf>
    <xf numFmtId="166" fontId="12" fillId="0" borderId="53" xfId="0" applyNumberFormat="1" applyFont="1" applyFill="1" applyBorder="1" applyAlignment="1" applyProtection="1">
      <alignment horizontal="center" vertical="center" wrapText="1"/>
      <protection/>
    </xf>
    <xf numFmtId="166" fontId="12" fillId="0" borderId="44" xfId="0" applyNumberFormat="1" applyFont="1" applyFill="1" applyBorder="1" applyAlignment="1" applyProtection="1">
      <alignment horizontal="center" vertical="center" wrapText="1"/>
      <protection/>
    </xf>
    <xf numFmtId="166" fontId="12" fillId="0" borderId="0" xfId="0" applyNumberFormat="1" applyFont="1" applyFill="1" applyAlignment="1">
      <alignment horizontal="center" vertical="center" wrapText="1"/>
    </xf>
    <xf numFmtId="166" fontId="12" fillId="0" borderId="20" xfId="0" applyNumberFormat="1" applyFont="1" applyFill="1" applyBorder="1" applyAlignment="1" applyProtection="1">
      <alignment horizontal="right" vertical="center" wrapText="1" indent="1"/>
      <protection/>
    </xf>
    <xf numFmtId="166" fontId="12" fillId="0" borderId="13" xfId="0" applyNumberFormat="1" applyFont="1" applyFill="1" applyBorder="1" applyAlignment="1" applyProtection="1">
      <alignment horizontal="left" vertical="center" wrapText="1" indent="1"/>
      <protection/>
    </xf>
    <xf numFmtId="1" fontId="3" fillId="33" borderId="13" xfId="0" applyNumberFormat="1" applyFont="1" applyFill="1" applyBorder="1" applyAlignment="1" applyProtection="1">
      <alignment horizontal="center" vertical="center" wrapText="1"/>
      <protection/>
    </xf>
    <xf numFmtId="166" fontId="12" fillId="0" borderId="13" xfId="0" applyNumberFormat="1" applyFont="1" applyFill="1" applyBorder="1" applyAlignment="1" applyProtection="1">
      <alignment vertical="center" wrapText="1"/>
      <protection/>
    </xf>
    <xf numFmtId="166" fontId="12" fillId="0" borderId="62" xfId="0" applyNumberFormat="1" applyFont="1" applyFill="1" applyBorder="1" applyAlignment="1" applyProtection="1">
      <alignment vertical="center" wrapText="1"/>
      <protection/>
    </xf>
    <xf numFmtId="166" fontId="12" fillId="0" borderId="66" xfId="0" applyNumberFormat="1" applyFont="1" applyFill="1" applyBorder="1" applyAlignment="1" applyProtection="1">
      <alignment vertical="center" wrapText="1"/>
      <protection/>
    </xf>
    <xf numFmtId="166" fontId="12" fillId="0" borderId="17" xfId="0" applyNumberFormat="1" applyFont="1" applyFill="1" applyBorder="1" applyAlignment="1" applyProtection="1">
      <alignment horizontal="right" vertical="center" wrapText="1" indent="1"/>
      <protection/>
    </xf>
    <xf numFmtId="166" fontId="13" fillId="0" borderId="11" xfId="0" applyNumberFormat="1" applyFont="1" applyFill="1" applyBorder="1" applyAlignment="1" applyProtection="1">
      <alignment horizontal="left" vertical="center" wrapText="1" indent="1"/>
      <protection locked="0"/>
    </xf>
    <xf numFmtId="1" fontId="0" fillId="0" borderId="11" xfId="0" applyNumberFormat="1" applyFont="1" applyFill="1" applyBorder="1" applyAlignment="1" applyProtection="1">
      <alignment horizontal="center" vertical="center" wrapText="1"/>
      <protection locked="0"/>
    </xf>
    <xf numFmtId="166" fontId="13" fillId="0" borderId="39" xfId="0" applyNumberFormat="1" applyFont="1" applyFill="1" applyBorder="1" applyAlignment="1" applyProtection="1">
      <alignment vertical="center" wrapText="1"/>
      <protection locked="0"/>
    </xf>
    <xf numFmtId="166" fontId="13" fillId="0" borderId="41" xfId="0" applyNumberFormat="1" applyFont="1" applyFill="1" applyBorder="1" applyAlignment="1" applyProtection="1">
      <alignment vertical="center" wrapText="1"/>
      <protection/>
    </xf>
    <xf numFmtId="166" fontId="12" fillId="0" borderId="11" xfId="0" applyNumberFormat="1" applyFont="1" applyFill="1" applyBorder="1" applyAlignment="1" applyProtection="1">
      <alignment horizontal="left" vertical="center" wrapText="1" indent="1"/>
      <protection/>
    </xf>
    <xf numFmtId="1" fontId="3" fillId="33" borderId="11" xfId="0" applyNumberFormat="1" applyFont="1" applyFill="1" applyBorder="1" applyAlignment="1" applyProtection="1">
      <alignment horizontal="center" vertical="center" wrapText="1"/>
      <protection/>
    </xf>
    <xf numFmtId="166" fontId="12" fillId="0" borderId="11" xfId="0" applyNumberFormat="1" applyFont="1" applyFill="1" applyBorder="1" applyAlignment="1" applyProtection="1">
      <alignment vertical="center" wrapText="1"/>
      <protection/>
    </xf>
    <xf numFmtId="166" fontId="12" fillId="0" borderId="39" xfId="0" applyNumberFormat="1" applyFont="1" applyFill="1" applyBorder="1" applyAlignment="1" applyProtection="1">
      <alignment vertical="center" wrapText="1"/>
      <protection/>
    </xf>
    <xf numFmtId="166" fontId="12" fillId="0" borderId="41" xfId="0" applyNumberFormat="1" applyFont="1" applyFill="1" applyBorder="1" applyAlignment="1" applyProtection="1">
      <alignment vertical="center" wrapText="1"/>
      <protection/>
    </xf>
    <xf numFmtId="166" fontId="12" fillId="0" borderId="11" xfId="0" applyNumberFormat="1" applyFont="1" applyFill="1" applyBorder="1" applyAlignment="1" applyProtection="1">
      <alignment horizontal="left" vertical="center" wrapText="1" indent="1"/>
      <protection/>
    </xf>
    <xf numFmtId="166" fontId="12" fillId="0" borderId="16" xfId="0" applyNumberFormat="1" applyFont="1" applyFill="1" applyBorder="1" applyAlignment="1" applyProtection="1">
      <alignment horizontal="right" vertical="center" wrapText="1" indent="1"/>
      <protection/>
    </xf>
    <xf numFmtId="166" fontId="12" fillId="0" borderId="10" xfId="0" applyNumberFormat="1" applyFont="1" applyFill="1" applyBorder="1" applyAlignment="1" applyProtection="1">
      <alignment horizontal="left" vertical="center" wrapText="1" indent="1"/>
      <protection/>
    </xf>
    <xf numFmtId="1" fontId="3" fillId="33" borderId="15" xfId="0" applyNumberFormat="1" applyFont="1" applyFill="1" applyBorder="1" applyAlignment="1" applyProtection="1">
      <alignment horizontal="center" vertical="center" wrapText="1"/>
      <protection/>
    </xf>
    <xf numFmtId="166" fontId="12" fillId="0" borderId="10" xfId="0" applyNumberFormat="1" applyFont="1" applyFill="1" applyBorder="1" applyAlignment="1" applyProtection="1">
      <alignment vertical="center" wrapText="1"/>
      <protection/>
    </xf>
    <xf numFmtId="166" fontId="12" fillId="0" borderId="46" xfId="0" applyNumberFormat="1" applyFont="1" applyFill="1" applyBorder="1" applyAlignment="1" applyProtection="1">
      <alignment vertical="center" wrapText="1"/>
      <protection/>
    </xf>
    <xf numFmtId="1" fontId="0" fillId="0" borderId="46" xfId="0" applyNumberFormat="1" applyFont="1" applyFill="1" applyBorder="1" applyAlignment="1" applyProtection="1">
      <alignment horizontal="center" vertical="center" wrapText="1"/>
      <protection locked="0"/>
    </xf>
    <xf numFmtId="166" fontId="13" fillId="0" borderId="10" xfId="0" applyNumberFormat="1" applyFont="1" applyFill="1" applyBorder="1" applyAlignment="1" applyProtection="1">
      <alignment vertical="center" wrapText="1"/>
      <protection locked="0"/>
    </xf>
    <xf numFmtId="166" fontId="13" fillId="0" borderId="46" xfId="0" applyNumberFormat="1" applyFont="1" applyFill="1" applyBorder="1" applyAlignment="1" applyProtection="1">
      <alignment vertical="center" wrapText="1"/>
      <protection locked="0"/>
    </xf>
    <xf numFmtId="166" fontId="12" fillId="0" borderId="22" xfId="0" applyNumberFormat="1" applyFont="1" applyFill="1" applyBorder="1" applyAlignment="1" applyProtection="1">
      <alignment horizontal="right" vertical="center" wrapText="1" indent="1"/>
      <protection/>
    </xf>
    <xf numFmtId="166" fontId="12" fillId="0" borderId="23" xfId="0" applyNumberFormat="1" applyFont="1" applyFill="1" applyBorder="1" applyAlignment="1" applyProtection="1">
      <alignment horizontal="left" vertical="center" wrapText="1" indent="1"/>
      <protection/>
    </xf>
    <xf numFmtId="1" fontId="13" fillId="33" borderId="53" xfId="0" applyNumberFormat="1" applyFont="1" applyFill="1" applyBorder="1" applyAlignment="1" applyProtection="1">
      <alignment vertical="center" wrapText="1"/>
      <protection/>
    </xf>
    <xf numFmtId="166" fontId="12" fillId="0" borderId="23" xfId="0" applyNumberFormat="1" applyFont="1" applyFill="1" applyBorder="1" applyAlignment="1" applyProtection="1">
      <alignment vertical="center" wrapText="1"/>
      <protection/>
    </xf>
    <xf numFmtId="166" fontId="12" fillId="0" borderId="53" xfId="0" applyNumberFormat="1" applyFont="1" applyFill="1" applyBorder="1" applyAlignment="1" applyProtection="1">
      <alignment vertical="center" wrapText="1"/>
      <protection/>
    </xf>
    <xf numFmtId="166" fontId="12" fillId="0" borderId="43" xfId="0" applyNumberFormat="1" applyFont="1" applyFill="1" applyBorder="1" applyAlignment="1" applyProtection="1">
      <alignment vertical="center" wrapText="1"/>
      <protection/>
    </xf>
    <xf numFmtId="166" fontId="8" fillId="0" borderId="0" xfId="0" applyNumberFormat="1" applyFont="1" applyFill="1" applyAlignment="1">
      <alignment vertical="center" wrapText="1"/>
    </xf>
    <xf numFmtId="166" fontId="19" fillId="0" borderId="0" xfId="0" applyNumberFormat="1" applyFont="1" applyFill="1" applyAlignment="1">
      <alignment horizontal="center" vertical="center" wrapText="1"/>
    </xf>
    <xf numFmtId="166" fontId="12" fillId="0" borderId="22" xfId="0" applyNumberFormat="1" applyFont="1" applyFill="1" applyBorder="1" applyAlignment="1">
      <alignment horizontal="right" vertical="center" wrapText="1" indent="1"/>
    </xf>
    <xf numFmtId="166" fontId="12" fillId="0" borderId="43" xfId="0" applyNumberFormat="1" applyFont="1" applyFill="1" applyBorder="1" applyAlignment="1">
      <alignment horizontal="left" vertical="center" wrapText="1" indent="1"/>
    </xf>
    <xf numFmtId="166" fontId="0" fillId="33" borderId="43" xfId="0" applyNumberFormat="1" applyFont="1" applyFill="1" applyBorder="1" applyAlignment="1">
      <alignment horizontal="left" vertical="center" wrapText="1" indent="2"/>
    </xf>
    <xf numFmtId="166" fontId="0" fillId="33" borderId="33" xfId="0" applyNumberFormat="1" applyFont="1" applyFill="1" applyBorder="1" applyAlignment="1">
      <alignment horizontal="left" vertical="center" wrapText="1" indent="2"/>
    </xf>
    <xf numFmtId="166" fontId="12" fillId="0" borderId="22" xfId="0" applyNumberFormat="1" applyFont="1" applyFill="1" applyBorder="1" applyAlignment="1">
      <alignment vertical="center" wrapText="1"/>
    </xf>
    <xf numFmtId="166" fontId="12" fillId="0" borderId="23" xfId="0" applyNumberFormat="1" applyFont="1" applyFill="1" applyBorder="1" applyAlignment="1">
      <alignment vertical="center" wrapText="1"/>
    </xf>
    <xf numFmtId="166" fontId="12" fillId="0" borderId="27" xfId="0" applyNumberFormat="1" applyFont="1" applyFill="1" applyBorder="1" applyAlignment="1">
      <alignment vertical="center" wrapText="1"/>
    </xf>
    <xf numFmtId="166" fontId="12" fillId="0" borderId="17" xfId="0" applyNumberFormat="1" applyFont="1" applyFill="1" applyBorder="1" applyAlignment="1">
      <alignment horizontal="right" vertical="center" wrapText="1" indent="1"/>
    </xf>
    <xf numFmtId="166" fontId="13" fillId="0" borderId="41" xfId="0" applyNumberFormat="1" applyFont="1" applyFill="1" applyBorder="1" applyAlignment="1" applyProtection="1">
      <alignment horizontal="left" vertical="center" wrapText="1" indent="1"/>
      <protection locked="0"/>
    </xf>
    <xf numFmtId="167" fontId="0" fillId="0" borderId="41" xfId="0" applyNumberFormat="1" applyFont="1" applyFill="1" applyBorder="1" applyAlignment="1" applyProtection="1">
      <alignment horizontal="right" vertical="center" wrapText="1" indent="2"/>
      <protection locked="0"/>
    </xf>
    <xf numFmtId="167" fontId="0" fillId="0" borderId="11" xfId="0" applyNumberFormat="1" applyFont="1" applyFill="1" applyBorder="1" applyAlignment="1" applyProtection="1">
      <alignment horizontal="right" vertical="center" wrapText="1" indent="2"/>
      <protection locked="0"/>
    </xf>
    <xf numFmtId="166" fontId="13" fillId="0" borderId="17" xfId="0" applyNumberFormat="1" applyFont="1" applyFill="1" applyBorder="1" applyAlignment="1" applyProtection="1">
      <alignment vertical="center" wrapText="1"/>
      <protection locked="0"/>
    </xf>
    <xf numFmtId="166" fontId="13" fillId="0" borderId="26" xfId="0" applyNumberFormat="1" applyFont="1" applyFill="1" applyBorder="1" applyAlignment="1" applyProtection="1">
      <alignment vertical="center" wrapText="1"/>
      <protection locked="0"/>
    </xf>
    <xf numFmtId="166" fontId="0" fillId="33" borderId="43" xfId="0" applyNumberFormat="1" applyFont="1" applyFill="1" applyBorder="1" applyAlignment="1">
      <alignment horizontal="right" vertical="center" wrapText="1" indent="2"/>
    </xf>
    <xf numFmtId="166" fontId="0" fillId="33" borderId="33" xfId="0" applyNumberFormat="1" applyFont="1" applyFill="1" applyBorder="1" applyAlignment="1">
      <alignment horizontal="right" vertical="center" wrapText="1" indent="2"/>
    </xf>
    <xf numFmtId="166" fontId="13" fillId="0" borderId="39" xfId="0" applyNumberFormat="1" applyFont="1" applyFill="1" applyBorder="1" applyAlignment="1" applyProtection="1">
      <alignment vertical="center"/>
      <protection locked="0"/>
    </xf>
    <xf numFmtId="166" fontId="12" fillId="0" borderId="39" xfId="0" applyNumberFormat="1" applyFont="1" applyFill="1" applyBorder="1" applyAlignment="1" applyProtection="1">
      <alignment vertical="center"/>
      <protection/>
    </xf>
    <xf numFmtId="166" fontId="13" fillId="0" borderId="67" xfId="0" applyNumberFormat="1" applyFont="1" applyFill="1" applyBorder="1" applyAlignment="1" applyProtection="1">
      <alignment vertical="center"/>
      <protection locked="0"/>
    </xf>
    <xf numFmtId="0" fontId="13" fillId="0" borderId="21" xfId="0" applyFont="1" applyFill="1" applyBorder="1" applyAlignment="1" applyProtection="1">
      <alignment horizontal="center" vertical="center"/>
      <protection/>
    </xf>
    <xf numFmtId="0" fontId="13" fillId="0" borderId="29" xfId="0" applyFont="1" applyFill="1" applyBorder="1" applyAlignment="1" applyProtection="1">
      <alignment vertical="center" wrapText="1"/>
      <protection/>
    </xf>
    <xf numFmtId="166" fontId="13" fillId="0" borderId="29" xfId="0" applyNumberFormat="1" applyFont="1" applyFill="1" applyBorder="1" applyAlignment="1" applyProtection="1">
      <alignment vertical="center"/>
      <protection locked="0"/>
    </xf>
    <xf numFmtId="166" fontId="13" fillId="0" borderId="65" xfId="0" applyNumberFormat="1" applyFont="1" applyFill="1" applyBorder="1" applyAlignment="1" applyProtection="1">
      <alignment vertical="center"/>
      <protection locked="0"/>
    </xf>
    <xf numFmtId="166" fontId="12" fillId="0" borderId="53" xfId="0" applyNumberFormat="1" applyFont="1" applyFill="1" applyBorder="1" applyAlignment="1" applyProtection="1">
      <alignment vertical="center"/>
      <protection/>
    </xf>
    <xf numFmtId="166" fontId="12" fillId="0" borderId="58" xfId="0" applyNumberFormat="1" applyFont="1" applyFill="1" applyBorder="1" applyAlignment="1" applyProtection="1">
      <alignment vertical="center"/>
      <protection/>
    </xf>
    <xf numFmtId="166" fontId="6" fillId="0" borderId="23" xfId="0" applyNumberFormat="1" applyFont="1" applyFill="1" applyBorder="1" applyAlignment="1" applyProtection="1">
      <alignment vertical="center"/>
      <protection/>
    </xf>
    <xf numFmtId="0" fontId="13" fillId="0" borderId="18" xfId="0" applyFont="1" applyFill="1" applyBorder="1" applyAlignment="1" applyProtection="1">
      <alignment horizontal="right" vertical="center" wrapText="1" indent="1"/>
      <protection/>
    </xf>
    <xf numFmtId="0" fontId="16" fillId="0" borderId="30" xfId="0" applyFont="1" applyFill="1" applyBorder="1" applyAlignment="1" applyProtection="1">
      <alignment horizontal="left" vertical="center" wrapText="1" indent="1"/>
      <protection locked="0"/>
    </xf>
    <xf numFmtId="3" fontId="13" fillId="0" borderId="12" xfId="0" applyNumberFormat="1" applyFont="1" applyFill="1" applyBorder="1" applyAlignment="1" applyProtection="1">
      <alignment horizontal="right" vertical="center" wrapText="1" indent="1"/>
      <protection locked="0"/>
    </xf>
    <xf numFmtId="3" fontId="13" fillId="0" borderId="68" xfId="0" applyNumberFormat="1" applyFont="1" applyFill="1" applyBorder="1" applyAlignment="1" applyProtection="1">
      <alignment horizontal="right" vertical="center" wrapText="1" indent="1"/>
      <protection locked="0"/>
    </xf>
    <xf numFmtId="0" fontId="13" fillId="0" borderId="17" xfId="0" applyFont="1" applyFill="1" applyBorder="1" applyAlignment="1" applyProtection="1">
      <alignment horizontal="right" vertical="center" wrapText="1" indent="1"/>
      <protection/>
    </xf>
    <xf numFmtId="0" fontId="16" fillId="0" borderId="14" xfId="0" applyFont="1" applyFill="1" applyBorder="1" applyAlignment="1" applyProtection="1">
      <alignment horizontal="left" vertical="center" wrapText="1" indent="1"/>
      <protection locked="0"/>
    </xf>
    <xf numFmtId="3" fontId="13" fillId="0" borderId="11" xfId="0" applyNumberFormat="1" applyFont="1" applyFill="1" applyBorder="1" applyAlignment="1" applyProtection="1">
      <alignment horizontal="right" vertical="center" wrapText="1" indent="1"/>
      <protection locked="0"/>
    </xf>
    <xf numFmtId="3" fontId="13" fillId="0" borderId="26" xfId="0" applyNumberFormat="1" applyFont="1" applyFill="1" applyBorder="1" applyAlignment="1" applyProtection="1">
      <alignment horizontal="right" vertical="center" wrapText="1" indent="1"/>
      <protection locked="0"/>
    </xf>
    <xf numFmtId="0" fontId="13" fillId="0" borderId="17" xfId="0" applyFont="1" applyFill="1" applyBorder="1" applyAlignment="1">
      <alignment horizontal="right" vertical="center" wrapText="1" indent="1"/>
    </xf>
    <xf numFmtId="0" fontId="16" fillId="0" borderId="14" xfId="0" applyFont="1" applyFill="1" applyBorder="1" applyAlignment="1" applyProtection="1">
      <alignment horizontal="left" vertical="center" wrapText="1" indent="8"/>
      <protection locked="0"/>
    </xf>
    <xf numFmtId="0" fontId="13" fillId="0" borderId="11" xfId="0" applyFont="1" applyFill="1" applyBorder="1" applyAlignment="1" applyProtection="1">
      <alignment vertical="center" wrapText="1"/>
      <protection locked="0"/>
    </xf>
    <xf numFmtId="0" fontId="13" fillId="0" borderId="21" xfId="0" applyFont="1" applyFill="1" applyBorder="1" applyAlignment="1">
      <alignment horizontal="right" vertical="center" wrapText="1" indent="1"/>
    </xf>
    <xf numFmtId="0" fontId="13" fillId="0" borderId="29" xfId="0" applyFont="1" applyFill="1" applyBorder="1" applyAlignment="1" applyProtection="1">
      <alignment vertical="center" wrapText="1"/>
      <protection locked="0"/>
    </xf>
    <xf numFmtId="3" fontId="13" fillId="0" borderId="29" xfId="0" applyNumberFormat="1" applyFont="1" applyFill="1" applyBorder="1" applyAlignment="1" applyProtection="1">
      <alignment horizontal="right" vertical="center" wrapText="1" indent="1"/>
      <protection locked="0"/>
    </xf>
    <xf numFmtId="3" fontId="13" fillId="0" borderId="58" xfId="0" applyNumberFormat="1" applyFont="1" applyFill="1" applyBorder="1" applyAlignment="1" applyProtection="1">
      <alignment horizontal="right" vertical="center" wrapText="1" indent="1"/>
      <protection locked="0"/>
    </xf>
    <xf numFmtId="0" fontId="12" fillId="0" borderId="22" xfId="0" applyFont="1" applyFill="1" applyBorder="1" applyAlignment="1">
      <alignment horizontal="right" vertical="center" wrapText="1" indent="1"/>
    </xf>
    <xf numFmtId="0" fontId="0" fillId="0" borderId="0" xfId="0" applyFill="1" applyAlignment="1">
      <alignment horizontal="right" vertical="center" wrapText="1"/>
    </xf>
    <xf numFmtId="0" fontId="0" fillId="0" borderId="0" xfId="0" applyFill="1" applyAlignment="1">
      <alignment horizontal="center" vertical="center" wrapText="1"/>
    </xf>
    <xf numFmtId="0" fontId="13" fillId="0" borderId="20" xfId="0" applyFont="1" applyFill="1" applyBorder="1" applyAlignment="1">
      <alignment horizontal="right" vertical="center" indent="1"/>
    </xf>
    <xf numFmtId="0" fontId="13" fillId="0" borderId="13" xfId="0" applyFont="1" applyFill="1" applyBorder="1" applyAlignment="1" applyProtection="1">
      <alignment horizontal="left" vertical="center" indent="1"/>
      <protection locked="0"/>
    </xf>
    <xf numFmtId="3" fontId="13" fillId="0" borderId="62" xfId="0" applyNumberFormat="1" applyFont="1" applyFill="1" applyBorder="1" applyAlignment="1" applyProtection="1">
      <alignment horizontal="right" vertical="center"/>
      <protection locked="0"/>
    </xf>
    <xf numFmtId="3" fontId="13" fillId="0" borderId="45" xfId="0" applyNumberFormat="1" applyFont="1" applyFill="1" applyBorder="1" applyAlignment="1" applyProtection="1">
      <alignment horizontal="right" vertical="center"/>
      <protection locked="0"/>
    </xf>
    <xf numFmtId="0" fontId="13" fillId="0" borderId="17" xfId="0" applyFont="1" applyFill="1" applyBorder="1" applyAlignment="1">
      <alignment horizontal="right" vertical="center" indent="1"/>
    </xf>
    <xf numFmtId="0" fontId="13" fillId="0" borderId="11" xfId="0" applyFont="1" applyFill="1" applyBorder="1" applyAlignment="1" applyProtection="1">
      <alignment horizontal="left" vertical="center" indent="1"/>
      <protection locked="0"/>
    </xf>
    <xf numFmtId="3" fontId="13" fillId="0" borderId="39" xfId="0" applyNumberFormat="1" applyFont="1" applyFill="1" applyBorder="1" applyAlignment="1" applyProtection="1">
      <alignment horizontal="right" vertical="center"/>
      <protection locked="0"/>
    </xf>
    <xf numFmtId="3" fontId="13" fillId="0" borderId="26" xfId="0" applyNumberFormat="1" applyFont="1" applyFill="1" applyBorder="1" applyAlignment="1" applyProtection="1">
      <alignment horizontal="right" vertical="center"/>
      <protection locked="0"/>
    </xf>
    <xf numFmtId="0" fontId="13" fillId="0" borderId="19" xfId="0" applyFont="1" applyFill="1" applyBorder="1" applyAlignment="1">
      <alignment horizontal="right" vertical="center" indent="1"/>
    </xf>
    <xf numFmtId="0" fontId="13" fillId="0" borderId="15" xfId="0" applyFont="1" applyFill="1" applyBorder="1" applyAlignment="1" applyProtection="1">
      <alignment horizontal="left" vertical="center" indent="1"/>
      <protection locked="0"/>
    </xf>
    <xf numFmtId="3" fontId="13" fillId="0" borderId="67" xfId="0" applyNumberFormat="1" applyFont="1" applyFill="1" applyBorder="1" applyAlignment="1" applyProtection="1">
      <alignment horizontal="right" vertical="center"/>
      <protection locked="0"/>
    </xf>
    <xf numFmtId="3" fontId="13" fillId="0" borderId="28" xfId="0" applyNumberFormat="1" applyFont="1" applyFill="1" applyBorder="1" applyAlignment="1" applyProtection="1">
      <alignment horizontal="right" vertical="center"/>
      <protection locked="0"/>
    </xf>
    <xf numFmtId="0" fontId="0" fillId="0" borderId="23" xfId="0" applyFill="1" applyBorder="1" applyAlignment="1">
      <alignment vertical="center"/>
    </xf>
    <xf numFmtId="166" fontId="12" fillId="0" borderId="23" xfId="0" applyNumberFormat="1" applyFont="1" applyFill="1" applyBorder="1" applyAlignment="1">
      <alignment vertical="center" wrapText="1"/>
    </xf>
    <xf numFmtId="166" fontId="12" fillId="0" borderId="27" xfId="0" applyNumberFormat="1" applyFont="1" applyFill="1" applyBorder="1" applyAlignment="1">
      <alignment vertical="center" wrapText="1"/>
    </xf>
    <xf numFmtId="0" fontId="25" fillId="0" borderId="0" xfId="63" applyFill="1" applyProtection="1">
      <alignment/>
      <protection/>
    </xf>
    <xf numFmtId="0" fontId="31" fillId="0" borderId="0" xfId="63" applyFont="1" applyFill="1" applyProtection="1">
      <alignment/>
      <protection/>
    </xf>
    <xf numFmtId="0" fontId="25" fillId="0" borderId="0" xfId="63" applyFill="1" applyAlignment="1" applyProtection="1">
      <alignment horizontal="center" vertical="center"/>
      <protection/>
    </xf>
    <xf numFmtId="0" fontId="17" fillId="0" borderId="20" xfId="63" applyFont="1" applyFill="1" applyBorder="1" applyAlignment="1" applyProtection="1">
      <alignment vertical="center" wrapText="1"/>
      <protection/>
    </xf>
    <xf numFmtId="176" fontId="13" fillId="0" borderId="13" xfId="62" applyNumberFormat="1" applyFont="1" applyFill="1" applyBorder="1" applyAlignment="1" applyProtection="1">
      <alignment horizontal="center" vertical="center"/>
      <protection/>
    </xf>
    <xf numFmtId="177" fontId="34" fillId="0" borderId="13" xfId="63" applyNumberFormat="1" applyFont="1" applyFill="1" applyBorder="1" applyAlignment="1" applyProtection="1">
      <alignment horizontal="right" vertical="center" wrapText="1"/>
      <protection locked="0"/>
    </xf>
    <xf numFmtId="177" fontId="34" fillId="0" borderId="45" xfId="63" applyNumberFormat="1" applyFont="1" applyFill="1" applyBorder="1" applyAlignment="1" applyProtection="1">
      <alignment horizontal="right" vertical="center" wrapText="1"/>
      <protection locked="0"/>
    </xf>
    <xf numFmtId="0" fontId="25" fillId="0" borderId="0" xfId="63" applyFill="1" applyAlignment="1" applyProtection="1">
      <alignment vertical="center"/>
      <protection/>
    </xf>
    <xf numFmtId="0" fontId="17" fillId="0" borderId="17" xfId="63" applyFont="1" applyFill="1" applyBorder="1" applyAlignment="1" applyProtection="1">
      <alignment vertical="center" wrapText="1"/>
      <protection/>
    </xf>
    <xf numFmtId="176" fontId="13" fillId="0" borderId="11" xfId="62" applyNumberFormat="1" applyFont="1" applyFill="1" applyBorder="1" applyAlignment="1" applyProtection="1">
      <alignment horizontal="center" vertical="center"/>
      <protection/>
    </xf>
    <xf numFmtId="177" fontId="34" fillId="0" borderId="11" xfId="63" applyNumberFormat="1" applyFont="1" applyFill="1" applyBorder="1" applyAlignment="1" applyProtection="1">
      <alignment horizontal="right" vertical="center" wrapText="1"/>
      <protection/>
    </xf>
    <xf numFmtId="177" fontId="34" fillId="0" borderId="26" xfId="63" applyNumberFormat="1" applyFont="1" applyFill="1" applyBorder="1" applyAlignment="1" applyProtection="1">
      <alignment horizontal="right" vertical="center" wrapText="1"/>
      <protection/>
    </xf>
    <xf numFmtId="0" fontId="35" fillId="0" borderId="17" xfId="63" applyFont="1" applyFill="1" applyBorder="1" applyAlignment="1" applyProtection="1">
      <alignment horizontal="left" vertical="center" wrapText="1" indent="1"/>
      <protection/>
    </xf>
    <xf numFmtId="177" fontId="36" fillId="0" borderId="11" xfId="63" applyNumberFormat="1" applyFont="1" applyFill="1" applyBorder="1" applyAlignment="1" applyProtection="1">
      <alignment horizontal="right" vertical="center" wrapText="1"/>
      <protection locked="0"/>
    </xf>
    <xf numFmtId="177" fontId="36" fillId="0" borderId="26" xfId="63" applyNumberFormat="1" applyFont="1" applyFill="1" applyBorder="1" applyAlignment="1" applyProtection="1">
      <alignment horizontal="right" vertical="center" wrapText="1"/>
      <protection locked="0"/>
    </xf>
    <xf numFmtId="177" fontId="37" fillId="0" borderId="11" xfId="63" applyNumberFormat="1" applyFont="1" applyFill="1" applyBorder="1" applyAlignment="1" applyProtection="1">
      <alignment horizontal="right" vertical="center" wrapText="1"/>
      <protection locked="0"/>
    </xf>
    <xf numFmtId="177" fontId="37" fillId="0" borderId="26" xfId="63" applyNumberFormat="1" applyFont="1" applyFill="1" applyBorder="1" applyAlignment="1" applyProtection="1">
      <alignment horizontal="right" vertical="center" wrapText="1"/>
      <protection locked="0"/>
    </xf>
    <xf numFmtId="177" fontId="37" fillId="0" borderId="11" xfId="63" applyNumberFormat="1" applyFont="1" applyFill="1" applyBorder="1" applyAlignment="1" applyProtection="1">
      <alignment horizontal="right" vertical="center" wrapText="1"/>
      <protection/>
    </xf>
    <xf numFmtId="177" fontId="37" fillId="0" borderId="26" xfId="63" applyNumberFormat="1" applyFont="1" applyFill="1" applyBorder="1" applyAlignment="1" applyProtection="1">
      <alignment horizontal="right" vertical="center" wrapText="1"/>
      <protection/>
    </xf>
    <xf numFmtId="0" fontId="17" fillId="0" borderId="21" xfId="63" applyFont="1" applyFill="1" applyBorder="1" applyAlignment="1" applyProtection="1">
      <alignment vertical="center" wrapText="1"/>
      <protection/>
    </xf>
    <xf numFmtId="176" fontId="13" fillId="0" borderId="29" xfId="62" applyNumberFormat="1" applyFont="1" applyFill="1" applyBorder="1" applyAlignment="1" applyProtection="1">
      <alignment horizontal="center" vertical="center"/>
      <protection/>
    </xf>
    <xf numFmtId="177" fontId="34" fillId="0" borderId="29" xfId="63" applyNumberFormat="1" applyFont="1" applyFill="1" applyBorder="1" applyAlignment="1" applyProtection="1">
      <alignment horizontal="right" vertical="center" wrapText="1"/>
      <protection/>
    </xf>
    <xf numFmtId="177" fontId="34" fillId="0" borderId="58" xfId="63" applyNumberFormat="1" applyFont="1" applyFill="1" applyBorder="1" applyAlignment="1" applyProtection="1">
      <alignment horizontal="right" vertical="center" wrapText="1"/>
      <protection/>
    </xf>
    <xf numFmtId="0" fontId="16" fillId="0" borderId="0" xfId="63" applyFont="1" applyFill="1" applyProtection="1">
      <alignment/>
      <protection/>
    </xf>
    <xf numFmtId="3" fontId="25" fillId="0" borderId="0" xfId="63" applyNumberFormat="1" applyFont="1" applyFill="1" applyProtection="1">
      <alignment/>
      <protection/>
    </xf>
    <xf numFmtId="3" fontId="25" fillId="0" borderId="0" xfId="63" applyNumberFormat="1" applyFont="1" applyFill="1" applyAlignment="1" applyProtection="1">
      <alignment horizontal="center"/>
      <protection/>
    </xf>
    <xf numFmtId="0" fontId="25" fillId="0" borderId="0" xfId="63" applyFont="1" applyFill="1" applyProtection="1">
      <alignment/>
      <protection/>
    </xf>
    <xf numFmtId="0" fontId="25" fillId="0" borderId="0" xfId="63" applyFill="1" applyAlignment="1" applyProtection="1">
      <alignment horizontal="center"/>
      <protection/>
    </xf>
    <xf numFmtId="0" fontId="0" fillId="0" borderId="0" xfId="62" applyFill="1" applyAlignment="1" applyProtection="1">
      <alignment vertical="center"/>
      <protection/>
    </xf>
    <xf numFmtId="0" fontId="0" fillId="0" borderId="0" xfId="62" applyFill="1" applyAlignment="1" applyProtection="1">
      <alignment vertical="center" wrapText="1"/>
      <protection/>
    </xf>
    <xf numFmtId="0" fontId="0" fillId="0" borderId="0" xfId="62" applyFill="1" applyAlignment="1" applyProtection="1">
      <alignment horizontal="center" vertical="center"/>
      <protection/>
    </xf>
    <xf numFmtId="49" fontId="0" fillId="0" borderId="0" xfId="62" applyNumberFormat="1" applyFont="1" applyFill="1" applyAlignment="1" applyProtection="1">
      <alignment horizontal="center" vertical="center"/>
      <protection/>
    </xf>
    <xf numFmtId="176" fontId="13" fillId="0" borderId="12" xfId="62" applyNumberFormat="1" applyFont="1" applyFill="1" applyBorder="1" applyAlignment="1" applyProtection="1">
      <alignment horizontal="center" vertical="center"/>
      <protection/>
    </xf>
    <xf numFmtId="178" fontId="13" fillId="0" borderId="68" xfId="62" applyNumberFormat="1" applyFont="1" applyFill="1" applyBorder="1" applyAlignment="1" applyProtection="1">
      <alignment vertical="center"/>
      <protection locked="0"/>
    </xf>
    <xf numFmtId="178" fontId="13" fillId="0" borderId="26" xfId="62" applyNumberFormat="1" applyFont="1" applyFill="1" applyBorder="1" applyAlignment="1" applyProtection="1">
      <alignment vertical="center"/>
      <protection locked="0"/>
    </xf>
    <xf numFmtId="178" fontId="12" fillId="0" borderId="26" xfId="62" applyNumberFormat="1" applyFont="1" applyFill="1" applyBorder="1" applyAlignment="1" applyProtection="1">
      <alignment vertical="center"/>
      <protection/>
    </xf>
    <xf numFmtId="178" fontId="12" fillId="0" borderId="26" xfId="62" applyNumberFormat="1" applyFont="1" applyFill="1" applyBorder="1" applyAlignment="1" applyProtection="1">
      <alignment vertical="center"/>
      <protection locked="0"/>
    </xf>
    <xf numFmtId="0" fontId="0" fillId="0" borderId="0" xfId="62" applyFont="1" applyFill="1" applyAlignment="1" applyProtection="1">
      <alignment vertical="center"/>
      <protection/>
    </xf>
    <xf numFmtId="0" fontId="12" fillId="0" borderId="21" xfId="62" applyFont="1" applyFill="1" applyBorder="1" applyAlignment="1" applyProtection="1">
      <alignment horizontal="left" vertical="center" wrapText="1"/>
      <protection/>
    </xf>
    <xf numFmtId="178" fontId="12" fillId="0" borderId="58" xfId="62" applyNumberFormat="1" applyFont="1" applyFill="1" applyBorder="1" applyAlignment="1" applyProtection="1">
      <alignment vertical="center"/>
      <protection/>
    </xf>
    <xf numFmtId="0" fontId="25" fillId="0" borderId="0" xfId="63" applyFont="1" applyFill="1" applyAlignment="1" applyProtection="1">
      <alignment/>
      <protection/>
    </xf>
    <xf numFmtId="0" fontId="11" fillId="0" borderId="0" xfId="62" applyFont="1" applyFill="1" applyAlignment="1" applyProtection="1">
      <alignment horizontal="center" vertical="center"/>
      <protection/>
    </xf>
    <xf numFmtId="0" fontId="25" fillId="0" borderId="0" xfId="63" applyFill="1">
      <alignment/>
      <protection/>
    </xf>
    <xf numFmtId="0" fontId="15" fillId="0" borderId="24" xfId="63" applyFont="1" applyFill="1" applyBorder="1" applyAlignment="1">
      <alignment horizontal="center" vertical="center"/>
      <protection/>
    </xf>
    <xf numFmtId="0" fontId="20" fillId="0" borderId="25" xfId="62" applyFont="1" applyFill="1" applyBorder="1" applyAlignment="1" applyProtection="1">
      <alignment horizontal="center" vertical="center" textRotation="90"/>
      <protection/>
    </xf>
    <xf numFmtId="0" fontId="15" fillId="0" borderId="25" xfId="63" applyFont="1" applyFill="1" applyBorder="1" applyAlignment="1">
      <alignment horizontal="center" vertical="center" wrapText="1"/>
      <protection/>
    </xf>
    <xf numFmtId="0" fontId="15" fillId="0" borderId="69" xfId="63" applyFont="1" applyFill="1" applyBorder="1" applyAlignment="1">
      <alignment horizontal="center" vertical="center" wrapText="1"/>
      <protection/>
    </xf>
    <xf numFmtId="0" fontId="15" fillId="0" borderId="22" xfId="63" applyFont="1" applyFill="1" applyBorder="1" applyAlignment="1">
      <alignment horizontal="center" vertical="center"/>
      <protection/>
    </xf>
    <xf numFmtId="0" fontId="15" fillId="0" borderId="23" xfId="63" applyFont="1" applyFill="1" applyBorder="1" applyAlignment="1">
      <alignment horizontal="center" vertical="center" wrapText="1"/>
      <protection/>
    </xf>
    <xf numFmtId="0" fontId="15" fillId="0" borderId="27" xfId="63" applyFont="1" applyFill="1" applyBorder="1" applyAlignment="1">
      <alignment horizontal="center" vertical="center" wrapText="1"/>
      <protection/>
    </xf>
    <xf numFmtId="0" fontId="16" fillId="0" borderId="17" xfId="63" applyFont="1" applyFill="1" applyBorder="1" applyProtection="1">
      <alignment/>
      <protection locked="0"/>
    </xf>
    <xf numFmtId="0" fontId="16" fillId="0" borderId="12" xfId="63" applyFont="1" applyFill="1" applyBorder="1" applyAlignment="1">
      <alignment horizontal="right" indent="1"/>
      <protection/>
    </xf>
    <xf numFmtId="3" fontId="16" fillId="0" borderId="12" xfId="63" applyNumberFormat="1" applyFont="1" applyFill="1" applyBorder="1" applyProtection="1">
      <alignment/>
      <protection locked="0"/>
    </xf>
    <xf numFmtId="3" fontId="16" fillId="0" borderId="68" xfId="63" applyNumberFormat="1" applyFont="1" applyFill="1" applyBorder="1" applyProtection="1">
      <alignment/>
      <protection locked="0"/>
    </xf>
    <xf numFmtId="0" fontId="16" fillId="0" borderId="11" xfId="63" applyFont="1" applyFill="1" applyBorder="1" applyAlignment="1">
      <alignment horizontal="right" indent="1"/>
      <protection/>
    </xf>
    <xf numFmtId="3" fontId="16" fillId="0" borderId="11" xfId="63" applyNumberFormat="1" applyFont="1" applyFill="1" applyBorder="1" applyProtection="1">
      <alignment/>
      <protection locked="0"/>
    </xf>
    <xf numFmtId="3" fontId="16" fillId="0" borderId="26" xfId="63" applyNumberFormat="1" applyFont="1" applyFill="1" applyBorder="1" applyProtection="1">
      <alignment/>
      <protection locked="0"/>
    </xf>
    <xf numFmtId="0" fontId="16" fillId="0" borderId="19" xfId="63" applyFont="1" applyFill="1" applyBorder="1" applyProtection="1">
      <alignment/>
      <protection locked="0"/>
    </xf>
    <xf numFmtId="0" fontId="16" fillId="0" borderId="15" xfId="63" applyFont="1" applyFill="1" applyBorder="1" applyAlignment="1">
      <alignment horizontal="right" indent="1"/>
      <protection/>
    </xf>
    <xf numFmtId="3" fontId="16" fillId="0" borderId="15" xfId="63" applyNumberFormat="1" applyFont="1" applyFill="1" applyBorder="1" applyProtection="1">
      <alignment/>
      <protection locked="0"/>
    </xf>
    <xf numFmtId="3" fontId="16" fillId="0" borderId="28" xfId="63" applyNumberFormat="1" applyFont="1" applyFill="1" applyBorder="1" applyProtection="1">
      <alignment/>
      <protection locked="0"/>
    </xf>
    <xf numFmtId="0" fontId="17" fillId="0" borderId="22" xfId="63" applyFont="1" applyFill="1" applyBorder="1" applyProtection="1">
      <alignment/>
      <protection locked="0"/>
    </xf>
    <xf numFmtId="0" fontId="16" fillId="0" borderId="23" xfId="63" applyFont="1" applyFill="1" applyBorder="1" applyAlignment="1">
      <alignment horizontal="right" indent="1"/>
      <protection/>
    </xf>
    <xf numFmtId="178" fontId="12" fillId="0" borderId="27" xfId="62" applyNumberFormat="1" applyFont="1" applyFill="1" applyBorder="1" applyAlignment="1" applyProtection="1">
      <alignment vertical="center"/>
      <protection/>
    </xf>
    <xf numFmtId="0" fontId="16" fillId="0" borderId="18" xfId="63" applyFont="1" applyFill="1" applyBorder="1" applyProtection="1">
      <alignment/>
      <protection locked="0"/>
    </xf>
    <xf numFmtId="3" fontId="16" fillId="0" borderId="70" xfId="63" applyNumberFormat="1" applyFont="1" applyFill="1" applyBorder="1">
      <alignment/>
      <protection/>
    </xf>
    <xf numFmtId="0" fontId="38" fillId="0" borderId="0" xfId="63" applyFont="1" applyFill="1">
      <alignment/>
      <protection/>
    </xf>
    <xf numFmtId="0" fontId="27" fillId="0" borderId="0" xfId="63" applyFont="1" applyFill="1">
      <alignment/>
      <protection/>
    </xf>
    <xf numFmtId="0" fontId="25" fillId="0" borderId="0" xfId="63" applyFont="1" applyFill="1">
      <alignment/>
      <protection/>
    </xf>
    <xf numFmtId="0" fontId="25" fillId="0" borderId="0" xfId="63" applyFont="1" applyFill="1" applyAlignment="1">
      <alignment/>
      <protection/>
    </xf>
    <xf numFmtId="0" fontId="30" fillId="0" borderId="0" xfId="63" applyFont="1" applyFill="1" applyAlignment="1">
      <alignment horizontal="center"/>
      <protection/>
    </xf>
    <xf numFmtId="0" fontId="39" fillId="0" borderId="0" xfId="0" applyFont="1" applyAlignment="1" applyProtection="1">
      <alignment horizontal="center"/>
      <protection/>
    </xf>
    <xf numFmtId="0" fontId="41" fillId="0" borderId="12" xfId="0" applyFont="1" applyBorder="1" applyAlignment="1" applyProtection="1">
      <alignment horizontal="left" vertical="top" wrapText="1"/>
      <protection locked="0"/>
    </xf>
    <xf numFmtId="9" fontId="41" fillId="0" borderId="12" xfId="71" applyFont="1" applyBorder="1" applyAlignment="1" applyProtection="1">
      <alignment horizontal="center" vertical="center" wrapText="1"/>
      <protection locked="0"/>
    </xf>
    <xf numFmtId="168" fontId="41" fillId="0" borderId="12" xfId="42" applyNumberFormat="1" applyFont="1" applyBorder="1" applyAlignment="1" applyProtection="1">
      <alignment horizontal="center" vertical="center" wrapText="1"/>
      <protection locked="0"/>
    </xf>
    <xf numFmtId="168" fontId="41" fillId="0" borderId="68" xfId="42" applyNumberFormat="1" applyFont="1" applyBorder="1" applyAlignment="1" applyProtection="1">
      <alignment horizontal="center" vertical="top" wrapText="1"/>
      <protection locked="0"/>
    </xf>
    <xf numFmtId="0" fontId="41" fillId="0" borderId="11" xfId="0" applyFont="1" applyBorder="1" applyAlignment="1" applyProtection="1">
      <alignment horizontal="left" vertical="top" wrapText="1"/>
      <protection locked="0"/>
    </xf>
    <xf numFmtId="9" fontId="41" fillId="0" borderId="11" xfId="71" applyFont="1" applyBorder="1" applyAlignment="1" applyProtection="1">
      <alignment horizontal="center" vertical="center" wrapText="1"/>
      <protection locked="0"/>
    </xf>
    <xf numFmtId="168" fontId="41" fillId="0" borderId="11" xfId="42" applyNumberFormat="1" applyFont="1" applyBorder="1" applyAlignment="1" applyProtection="1">
      <alignment horizontal="center" vertical="center" wrapText="1"/>
      <protection locked="0"/>
    </xf>
    <xf numFmtId="168" fontId="41" fillId="0" borderId="26" xfId="42" applyNumberFormat="1" applyFont="1" applyBorder="1" applyAlignment="1" applyProtection="1">
      <alignment horizontal="center" vertical="top" wrapText="1"/>
      <protection locked="0"/>
    </xf>
    <xf numFmtId="0" fontId="41" fillId="0" borderId="15" xfId="0" applyFont="1" applyBorder="1" applyAlignment="1" applyProtection="1">
      <alignment horizontal="left" vertical="top" wrapText="1"/>
      <protection locked="0"/>
    </xf>
    <xf numFmtId="9" fontId="41" fillId="0" borderId="15" xfId="71" applyFont="1" applyBorder="1" applyAlignment="1" applyProtection="1">
      <alignment horizontal="center" vertical="center" wrapText="1"/>
      <protection locked="0"/>
    </xf>
    <xf numFmtId="168" fontId="41" fillId="0" borderId="15" xfId="42" applyNumberFormat="1" applyFont="1" applyBorder="1" applyAlignment="1" applyProtection="1">
      <alignment horizontal="center" vertical="center" wrapText="1"/>
      <protection locked="0"/>
    </xf>
    <xf numFmtId="168" fontId="41" fillId="0" borderId="28" xfId="42" applyNumberFormat="1" applyFont="1" applyBorder="1" applyAlignment="1" applyProtection="1">
      <alignment horizontal="center" vertical="top" wrapText="1"/>
      <protection locked="0"/>
    </xf>
    <xf numFmtId="0" fontId="39" fillId="35" borderId="23" xfId="0" applyFont="1" applyFill="1" applyBorder="1" applyAlignment="1" applyProtection="1">
      <alignment horizontal="center" vertical="top" wrapText="1"/>
      <protection/>
    </xf>
    <xf numFmtId="168" fontId="41" fillId="0" borderId="23" xfId="42" applyNumberFormat="1" applyFont="1" applyBorder="1" applyAlignment="1" applyProtection="1">
      <alignment horizontal="center" vertical="center" wrapText="1"/>
      <protection/>
    </xf>
    <xf numFmtId="168" fontId="41" fillId="0" borderId="27" xfId="42" applyNumberFormat="1" applyFont="1" applyBorder="1" applyAlignment="1" applyProtection="1">
      <alignment horizontal="center" vertical="top" wrapText="1"/>
      <protection/>
    </xf>
    <xf numFmtId="0" fontId="19" fillId="0" borderId="0" xfId="0" applyFont="1" applyFill="1" applyAlignment="1">
      <alignment horizontal="center"/>
    </xf>
    <xf numFmtId="0" fontId="42" fillId="0" borderId="0" xfId="0" applyFont="1" applyFill="1" applyAlignment="1">
      <alignment horizontal="right"/>
    </xf>
    <xf numFmtId="0" fontId="3" fillId="0" borderId="22" xfId="0" applyFont="1" applyFill="1" applyBorder="1" applyAlignment="1">
      <alignment horizontal="center" vertical="center" wrapText="1"/>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wrapText="1"/>
    </xf>
    <xf numFmtId="0" fontId="0" fillId="0" borderId="0" xfId="0" applyFill="1" applyAlignment="1">
      <alignment horizontal="center"/>
    </xf>
    <xf numFmtId="0" fontId="0" fillId="0" borderId="18" xfId="0" applyFill="1" applyBorder="1" applyAlignment="1">
      <alignment horizontal="center" vertical="center"/>
    </xf>
    <xf numFmtId="0" fontId="0" fillId="0" borderId="12" xfId="0" applyFill="1" applyBorder="1" applyAlignment="1" applyProtection="1">
      <alignment horizontal="left" vertical="center" wrapText="1" indent="1"/>
      <protection locked="0"/>
    </xf>
    <xf numFmtId="0" fontId="0" fillId="0" borderId="17" xfId="0" applyFill="1" applyBorder="1" applyAlignment="1">
      <alignment horizontal="center" vertical="center"/>
    </xf>
    <xf numFmtId="0" fontId="43" fillId="0" borderId="11" xfId="0" applyFont="1" applyFill="1" applyBorder="1" applyAlignment="1">
      <alignment horizontal="left" vertical="center" indent="5"/>
    </xf>
    <xf numFmtId="0" fontId="0" fillId="0" borderId="11" xfId="0" applyFont="1" applyFill="1" applyBorder="1" applyAlignment="1">
      <alignment horizontal="left" vertical="center" indent="1"/>
    </xf>
    <xf numFmtId="0" fontId="0" fillId="0" borderId="19" xfId="0" applyFill="1" applyBorder="1" applyAlignment="1">
      <alignment horizontal="center" vertical="center"/>
    </xf>
    <xf numFmtId="0" fontId="0" fillId="0" borderId="15" xfId="0" applyFont="1" applyFill="1" applyBorder="1" applyAlignment="1">
      <alignment horizontal="left" vertical="center" indent="1"/>
    </xf>
    <xf numFmtId="0" fontId="0" fillId="0" borderId="21" xfId="0" applyFill="1" applyBorder="1" applyAlignment="1">
      <alignment horizontal="center" vertical="center"/>
    </xf>
    <xf numFmtId="0" fontId="0" fillId="0" borderId="29" xfId="0" applyFill="1" applyBorder="1" applyAlignment="1">
      <alignment horizontal="left" vertical="center" indent="1"/>
    </xf>
    <xf numFmtId="0" fontId="0" fillId="0" borderId="20" xfId="0" applyFill="1" applyBorder="1" applyAlignment="1">
      <alignment horizontal="center" vertical="center"/>
    </xf>
    <xf numFmtId="0" fontId="0" fillId="0" borderId="13" xfId="0" applyFill="1" applyBorder="1" applyAlignment="1" applyProtection="1">
      <alignment horizontal="left" vertical="center" wrapText="1" indent="1"/>
      <protection locked="0"/>
    </xf>
    <xf numFmtId="0" fontId="43" fillId="0" borderId="29" xfId="0" applyFont="1" applyFill="1" applyBorder="1" applyAlignment="1">
      <alignment horizontal="left" vertical="center" indent="5"/>
    </xf>
    <xf numFmtId="166" fontId="20" fillId="0" borderId="31" xfId="61" applyNumberFormat="1" applyFont="1" applyFill="1" applyBorder="1" applyAlignment="1" applyProtection="1">
      <alignment vertical="center"/>
      <protection locked="0"/>
    </xf>
    <xf numFmtId="0" fontId="4" fillId="0" borderId="31" xfId="0" applyFont="1" applyFill="1" applyBorder="1" applyAlignment="1" applyProtection="1">
      <alignment horizontal="right" vertical="center"/>
      <protection locked="0"/>
    </xf>
    <xf numFmtId="0" fontId="6" fillId="0" borderId="29" xfId="61" applyFont="1" applyFill="1" applyBorder="1" applyAlignment="1" applyProtection="1">
      <alignment horizontal="center" vertical="center" wrapText="1"/>
      <protection locked="0"/>
    </xf>
    <xf numFmtId="0" fontId="12" fillId="0" borderId="22" xfId="61" applyFont="1" applyFill="1" applyBorder="1" applyAlignment="1" applyProtection="1">
      <alignment horizontal="center" vertical="center" wrapText="1"/>
      <protection locked="0"/>
    </xf>
    <xf numFmtId="0" fontId="12" fillId="0" borderId="23" xfId="61" applyFont="1" applyFill="1" applyBorder="1" applyAlignment="1" applyProtection="1">
      <alignment horizontal="center" vertical="center" wrapText="1"/>
      <protection locked="0"/>
    </xf>
    <xf numFmtId="0" fontId="12" fillId="0" borderId="27" xfId="61" applyFont="1" applyFill="1" applyBorder="1" applyAlignment="1" applyProtection="1">
      <alignment horizontal="center" vertical="center" wrapText="1"/>
      <protection locked="0"/>
    </xf>
    <xf numFmtId="166" fontId="8" fillId="0" borderId="0" xfId="0" applyNumberFormat="1" applyFont="1" applyFill="1" applyAlignment="1" applyProtection="1">
      <alignment horizontal="center" vertical="center" wrapText="1"/>
      <protection locked="0"/>
    </xf>
    <xf numFmtId="166" fontId="6" fillId="0" borderId="65" xfId="0" applyNumberFormat="1" applyFont="1" applyFill="1" applyBorder="1" applyAlignment="1" applyProtection="1">
      <alignment horizontal="center" vertical="center"/>
      <protection locked="0"/>
    </xf>
    <xf numFmtId="166" fontId="6" fillId="0" borderId="29" xfId="0" applyNumberFormat="1" applyFont="1" applyFill="1" applyBorder="1" applyAlignment="1" applyProtection="1">
      <alignment horizontal="center" vertical="center"/>
      <protection locked="0"/>
    </xf>
    <xf numFmtId="166" fontId="6" fillId="0" borderId="59" xfId="0" applyNumberFormat="1" applyFont="1" applyFill="1" applyBorder="1" applyAlignment="1" applyProtection="1">
      <alignment horizontal="center" vertical="center" wrapText="1"/>
      <protection locked="0"/>
    </xf>
    <xf numFmtId="166" fontId="6" fillId="0" borderId="43" xfId="0" applyNumberFormat="1" applyFont="1" applyFill="1" applyBorder="1" applyAlignment="1" applyProtection="1">
      <alignment horizontal="center" vertical="center" wrapText="1"/>
      <protection locked="0"/>
    </xf>
    <xf numFmtId="166" fontId="6" fillId="0" borderId="53" xfId="0" applyNumberFormat="1"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12" fillId="0" borderId="53" xfId="0" applyFont="1" applyFill="1" applyBorder="1" applyAlignment="1">
      <alignment vertical="center" wrapText="1"/>
    </xf>
    <xf numFmtId="0" fontId="0" fillId="0" borderId="0" xfId="0" applyFill="1" applyAlignment="1" applyProtection="1">
      <alignment horizontal="center" vertical="center" wrapText="1"/>
      <protection locked="0"/>
    </xf>
    <xf numFmtId="0" fontId="0" fillId="0" borderId="0" xfId="0" applyFill="1" applyAlignment="1" applyProtection="1">
      <alignment vertical="center" wrapText="1"/>
      <protection locked="0"/>
    </xf>
    <xf numFmtId="0" fontId="6" fillId="0" borderId="27"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4" fillId="0" borderId="0" xfId="0" applyFont="1" applyFill="1" applyAlignment="1" applyProtection="1">
      <alignment horizontal="right"/>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25" fillId="0" borderId="0" xfId="63" applyFill="1" applyProtection="1">
      <alignment/>
      <protection locked="0"/>
    </xf>
    <xf numFmtId="0" fontId="31" fillId="0" borderId="0" xfId="63" applyFont="1" applyFill="1" applyProtection="1">
      <alignment/>
      <protection locked="0"/>
    </xf>
    <xf numFmtId="0" fontId="26" fillId="0" borderId="21" xfId="63" applyFont="1" applyFill="1" applyBorder="1" applyAlignment="1" applyProtection="1">
      <alignment horizontal="center" vertical="center" wrapText="1"/>
      <protection locked="0"/>
    </xf>
    <xf numFmtId="0" fontId="26" fillId="0" borderId="29" xfId="63" applyFont="1" applyFill="1" applyBorder="1" applyAlignment="1" applyProtection="1">
      <alignment horizontal="center" vertical="center" wrapText="1"/>
      <protection locked="0"/>
    </xf>
    <xf numFmtId="0" fontId="26" fillId="0" borderId="58" xfId="63" applyFont="1" applyFill="1" applyBorder="1" applyAlignment="1" applyProtection="1">
      <alignment horizontal="center" vertical="center" wrapText="1"/>
      <protection locked="0"/>
    </xf>
    <xf numFmtId="0" fontId="0" fillId="0" borderId="0" xfId="62" applyFill="1" applyAlignment="1" applyProtection="1">
      <alignment vertical="center" wrapText="1"/>
      <protection locked="0"/>
    </xf>
    <xf numFmtId="0" fontId="11" fillId="0" borderId="0" xfId="62" applyFont="1" applyFill="1" applyAlignment="1" applyProtection="1">
      <alignment horizontal="center" vertical="center"/>
      <protection locked="0"/>
    </xf>
    <xf numFmtId="0" fontId="0" fillId="0" borderId="0" xfId="62" applyFill="1" applyAlignment="1" applyProtection="1">
      <alignment vertical="center"/>
      <protection locked="0"/>
    </xf>
    <xf numFmtId="49" fontId="12" fillId="0" borderId="21" xfId="62" applyNumberFormat="1" applyFont="1" applyFill="1" applyBorder="1" applyAlignment="1" applyProtection="1">
      <alignment horizontal="center" vertical="center" wrapText="1"/>
      <protection locked="0"/>
    </xf>
    <xf numFmtId="49" fontId="12" fillId="0" borderId="29" xfId="62" applyNumberFormat="1" applyFont="1" applyFill="1" applyBorder="1" applyAlignment="1" applyProtection="1">
      <alignment horizontal="center" vertical="center"/>
      <protection locked="0"/>
    </xf>
    <xf numFmtId="49" fontId="12" fillId="0" borderId="58" xfId="62" applyNumberFormat="1" applyFont="1" applyFill="1" applyBorder="1" applyAlignment="1" applyProtection="1">
      <alignment horizontal="center" vertical="center"/>
      <protection locked="0"/>
    </xf>
    <xf numFmtId="0" fontId="25" fillId="0" borderId="0" xfId="63" applyFill="1" applyAlignment="1">
      <alignment/>
      <protection/>
    </xf>
    <xf numFmtId="0" fontId="44" fillId="0" borderId="18" xfId="0" applyFont="1" applyBorder="1" applyAlignment="1" applyProtection="1">
      <alignment horizontal="center" vertical="top" wrapText="1"/>
      <protection/>
    </xf>
    <xf numFmtId="0" fontId="44" fillId="0" borderId="17" xfId="0" applyFont="1" applyBorder="1" applyAlignment="1" applyProtection="1">
      <alignment horizontal="center" vertical="top" wrapText="1"/>
      <protection/>
    </xf>
    <xf numFmtId="0" fontId="44" fillId="0" borderId="19" xfId="0" applyFont="1" applyBorder="1" applyAlignment="1" applyProtection="1">
      <alignment horizontal="center" vertical="top" wrapText="1"/>
      <protection/>
    </xf>
    <xf numFmtId="0" fontId="0" fillId="0" borderId="0" xfId="0" applyAlignment="1" applyProtection="1">
      <alignment/>
      <protection locked="0"/>
    </xf>
    <xf numFmtId="0" fontId="39" fillId="0" borderId="0" xfId="0" applyFont="1" applyAlignment="1" applyProtection="1">
      <alignment horizontal="center"/>
      <protection locked="0"/>
    </xf>
    <xf numFmtId="0" fontId="40" fillId="0" borderId="22"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wrapText="1"/>
      <protection locked="0"/>
    </xf>
    <xf numFmtId="179" fontId="0" fillId="0" borderId="26" xfId="0" applyNumberFormat="1" applyFont="1" applyFill="1" applyBorder="1" applyAlignment="1" applyProtection="1">
      <alignment horizontal="right" vertical="center"/>
      <protection locked="0"/>
    </xf>
    <xf numFmtId="179" fontId="0" fillId="0" borderId="28" xfId="0" applyNumberFormat="1" applyFont="1" applyFill="1" applyBorder="1" applyAlignment="1" applyProtection="1">
      <alignment horizontal="right" vertical="center"/>
      <protection locked="0"/>
    </xf>
    <xf numFmtId="179" fontId="0" fillId="0" borderId="58" xfId="0" applyNumberFormat="1" applyFont="1" applyFill="1" applyBorder="1" applyAlignment="1" applyProtection="1">
      <alignment horizontal="right" vertical="center"/>
      <protection locked="0"/>
    </xf>
    <xf numFmtId="179" fontId="3" fillId="0" borderId="45" xfId="0" applyNumberFormat="1" applyFont="1" applyFill="1" applyBorder="1" applyAlignment="1" applyProtection="1">
      <alignment horizontal="right" vertical="center"/>
      <protection/>
    </xf>
    <xf numFmtId="0" fontId="101" fillId="0" borderId="0" xfId="0" applyFont="1" applyAlignment="1">
      <alignment/>
    </xf>
    <xf numFmtId="0" fontId="101" fillId="0" borderId="0" xfId="0" applyFont="1" applyAlignment="1">
      <alignment horizontal="justify" vertical="top" wrapText="1"/>
    </xf>
    <xf numFmtId="0" fontId="102" fillId="36" borderId="0" xfId="0" applyFont="1" applyFill="1" applyAlignment="1">
      <alignment horizontal="center" vertical="center"/>
    </xf>
    <xf numFmtId="0" fontId="102" fillId="36" borderId="0" xfId="0" applyFont="1" applyFill="1" applyAlignment="1">
      <alignment horizontal="center" vertical="top" wrapText="1"/>
    </xf>
    <xf numFmtId="0" fontId="45" fillId="0" borderId="0" xfId="0" applyFont="1" applyAlignment="1">
      <alignment/>
    </xf>
    <xf numFmtId="0" fontId="91" fillId="0" borderId="0" xfId="46" applyAlignment="1" applyProtection="1">
      <alignment/>
      <protection/>
    </xf>
    <xf numFmtId="166" fontId="103" fillId="0" borderId="0" xfId="0" applyNumberFormat="1" applyFont="1" applyFill="1" applyAlignment="1" applyProtection="1">
      <alignment horizontal="right" vertical="center" wrapText="1" indent="1"/>
      <protection/>
    </xf>
    <xf numFmtId="166" fontId="104" fillId="0" borderId="0" xfId="61" applyNumberFormat="1" applyFont="1" applyFill="1" applyProtection="1">
      <alignment/>
      <protection/>
    </xf>
    <xf numFmtId="166" fontId="104" fillId="0" borderId="0" xfId="61" applyNumberFormat="1" applyFont="1" applyFill="1" applyAlignment="1" applyProtection="1">
      <alignment horizontal="right" vertical="center" indent="1"/>
      <protection/>
    </xf>
    <xf numFmtId="0" fontId="28" fillId="0" borderId="0" xfId="0" applyFont="1" applyAlignment="1" applyProtection="1">
      <alignment horizontal="right" vertical="top"/>
      <protection locked="0"/>
    </xf>
    <xf numFmtId="0" fontId="47" fillId="0" borderId="0" xfId="0" applyFont="1" applyFill="1" applyBorder="1" applyAlignment="1" applyProtection="1">
      <alignment horizontal="right"/>
      <protection/>
    </xf>
    <xf numFmtId="0" fontId="3" fillId="0" borderId="43" xfId="0" applyFont="1" applyFill="1" applyBorder="1" applyAlignment="1">
      <alignment horizontal="center" vertical="center" wrapText="1"/>
    </xf>
    <xf numFmtId="0" fontId="15" fillId="0" borderId="72" xfId="0" applyFont="1" applyFill="1" applyBorder="1" applyAlignment="1" applyProtection="1">
      <alignment horizontal="center" vertical="center" wrapText="1"/>
      <protection/>
    </xf>
    <xf numFmtId="0" fontId="15" fillId="0" borderId="73"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0" fontId="12" fillId="0" borderId="43" xfId="0" applyFont="1" applyFill="1" applyBorder="1" applyAlignment="1">
      <alignment horizontal="center" vertical="center"/>
    </xf>
    <xf numFmtId="0" fontId="17" fillId="0" borderId="59" xfId="0" applyFont="1" applyFill="1" applyBorder="1" applyAlignment="1" applyProtection="1">
      <alignment horizontal="center" vertical="center" wrapText="1"/>
      <protection/>
    </xf>
    <xf numFmtId="0" fontId="17" fillId="0" borderId="43"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7" fillId="0" borderId="0" xfId="0" applyFont="1" applyFill="1" applyAlignment="1">
      <alignment vertical="center"/>
    </xf>
    <xf numFmtId="0" fontId="0" fillId="0" borderId="73" xfId="0" applyFill="1" applyBorder="1" applyAlignment="1">
      <alignment/>
    </xf>
    <xf numFmtId="0" fontId="16" fillId="0" borderId="74" xfId="0" applyFont="1" applyFill="1" applyBorder="1" applyAlignment="1" applyProtection="1">
      <alignment horizontal="left" vertical="center" wrapText="1"/>
      <protection locked="0"/>
    </xf>
    <xf numFmtId="0" fontId="16" fillId="0" borderId="75" xfId="0" applyFont="1" applyFill="1" applyBorder="1" applyAlignment="1" applyProtection="1">
      <alignment horizontal="left" vertical="center" wrapText="1"/>
      <protection locked="0"/>
    </xf>
    <xf numFmtId="166" fontId="16" fillId="0" borderId="76" xfId="0" applyNumberFormat="1" applyFont="1" applyFill="1" applyBorder="1" applyAlignment="1" applyProtection="1">
      <alignment horizontal="right" vertical="center" wrapText="1"/>
      <protection locked="0"/>
    </xf>
    <xf numFmtId="0" fontId="0" fillId="0" borderId="77" xfId="0" applyFill="1" applyBorder="1" applyAlignment="1">
      <alignment/>
    </xf>
    <xf numFmtId="0" fontId="16" fillId="0" borderId="78" xfId="0" applyFont="1" applyFill="1" applyBorder="1" applyAlignment="1" applyProtection="1">
      <alignment horizontal="left" vertical="center" wrapText="1"/>
      <protection locked="0"/>
    </xf>
    <xf numFmtId="0" fontId="0" fillId="0" borderId="79" xfId="0" applyFill="1" applyBorder="1" applyAlignment="1">
      <alignment/>
    </xf>
    <xf numFmtId="0" fontId="16" fillId="0" borderId="80"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0" fillId="0" borderId="43" xfId="0" applyFill="1" applyBorder="1" applyAlignment="1" applyProtection="1">
      <alignment vertical="center"/>
      <protection/>
    </xf>
    <xf numFmtId="0" fontId="15" fillId="0" borderId="59" xfId="0" applyFont="1" applyFill="1" applyBorder="1" applyAlignment="1" applyProtection="1">
      <alignment vertical="center" wrapText="1"/>
      <protection/>
    </xf>
    <xf numFmtId="166" fontId="15" fillId="0" borderId="43" xfId="0" applyNumberFormat="1" applyFont="1" applyFill="1" applyBorder="1" applyAlignment="1" applyProtection="1">
      <alignment vertical="center" wrapText="1"/>
      <protection/>
    </xf>
    <xf numFmtId="166" fontId="17" fillId="0" borderId="34"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0" fontId="0" fillId="0" borderId="0" xfId="0" applyFill="1" applyAlignment="1">
      <alignment horizontal="left"/>
    </xf>
    <xf numFmtId="0" fontId="0" fillId="0" borderId="0" xfId="0" applyFill="1" applyAlignment="1" applyProtection="1">
      <alignment horizontal="center" vertical="center" wrapText="1"/>
      <protection/>
    </xf>
    <xf numFmtId="166" fontId="4" fillId="0" borderId="0" xfId="0" applyNumberFormat="1" applyFont="1" applyFill="1" applyAlignment="1" applyProtection="1">
      <alignment horizontal="right" vertical="center"/>
      <protection/>
    </xf>
    <xf numFmtId="0" fontId="6" fillId="0" borderId="2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13" fillId="0" borderId="18" xfId="0" applyFont="1" applyFill="1" applyBorder="1" applyAlignment="1" applyProtection="1">
      <alignment horizontal="right" vertical="center" wrapText="1" indent="1"/>
      <protection/>
    </xf>
    <xf numFmtId="0" fontId="13" fillId="0" borderId="12" xfId="0" applyFont="1" applyFill="1" applyBorder="1" applyAlignment="1" applyProtection="1">
      <alignment horizontal="left" vertical="center" wrapText="1"/>
      <protection locked="0"/>
    </xf>
    <xf numFmtId="166" fontId="13" fillId="0" borderId="12" xfId="0" applyNumberFormat="1" applyFont="1" applyFill="1" applyBorder="1" applyAlignment="1" applyProtection="1">
      <alignment vertical="center" wrapText="1"/>
      <protection locked="0"/>
    </xf>
    <xf numFmtId="166" fontId="13" fillId="0" borderId="12" xfId="0" applyNumberFormat="1" applyFont="1" applyFill="1" applyBorder="1" applyAlignment="1" applyProtection="1">
      <alignment vertical="center" wrapText="1"/>
      <protection/>
    </xf>
    <xf numFmtId="166" fontId="13" fillId="0" borderId="68" xfId="0" applyNumberFormat="1" applyFont="1" applyFill="1" applyBorder="1" applyAlignment="1" applyProtection="1">
      <alignment vertical="center" wrapText="1"/>
      <protection locked="0"/>
    </xf>
    <xf numFmtId="0" fontId="13" fillId="0" borderId="17" xfId="0" applyFont="1" applyFill="1" applyBorder="1" applyAlignment="1" applyProtection="1">
      <alignment horizontal="right" vertical="center" wrapText="1" indent="1"/>
      <protection/>
    </xf>
    <xf numFmtId="0" fontId="13" fillId="0" borderId="11"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166" fontId="13" fillId="0" borderId="28" xfId="0" applyNumberFormat="1" applyFont="1" applyFill="1" applyBorder="1" applyAlignment="1" applyProtection="1">
      <alignment vertical="center" wrapText="1"/>
      <protection locked="0"/>
    </xf>
    <xf numFmtId="0" fontId="0" fillId="37" borderId="0" xfId="0" applyFill="1" applyAlignment="1" applyProtection="1">
      <alignment horizontal="center"/>
      <protection locked="0"/>
    </xf>
    <xf numFmtId="0" fontId="19" fillId="0" borderId="0" xfId="0" applyFont="1" applyAlignment="1" applyProtection="1">
      <alignment horizontal="center"/>
      <protection locked="0"/>
    </xf>
    <xf numFmtId="179" fontId="3" fillId="0" borderId="68" xfId="0" applyNumberFormat="1" applyFont="1" applyFill="1" applyBorder="1" applyAlignment="1" applyProtection="1">
      <alignment horizontal="right" vertical="center"/>
      <protection locked="0"/>
    </xf>
    <xf numFmtId="0" fontId="0" fillId="0" borderId="0" xfId="0" applyAlignment="1" applyProtection="1">
      <alignment horizontal="left"/>
      <protection locked="0"/>
    </xf>
    <xf numFmtId="49" fontId="0" fillId="0" borderId="0" xfId="0" applyNumberFormat="1" applyAlignment="1">
      <alignment/>
    </xf>
    <xf numFmtId="0" fontId="5" fillId="0" borderId="0" xfId="60" applyFont="1" applyAlignment="1">
      <alignment horizontal="center" vertical="center"/>
      <protection/>
    </xf>
    <xf numFmtId="0" fontId="5" fillId="0" borderId="0" xfId="60" applyFont="1" applyAlignment="1" applyProtection="1">
      <alignment horizontal="center" vertical="center"/>
      <protection locked="0"/>
    </xf>
    <xf numFmtId="166" fontId="0" fillId="0" borderId="0" xfId="60" applyNumberFormat="1" applyAlignment="1">
      <alignment vertical="center" wrapText="1"/>
      <protection/>
    </xf>
    <xf numFmtId="166" fontId="12" fillId="0" borderId="43" xfId="60" applyNumberFormat="1" applyFont="1" applyBorder="1" applyAlignment="1">
      <alignment horizontal="center" vertical="center" wrapText="1"/>
      <protection/>
    </xf>
    <xf numFmtId="3" fontId="13" fillId="0" borderId="66" xfId="60" applyNumberFormat="1" applyFont="1" applyBorder="1" applyAlignment="1" applyProtection="1">
      <alignment horizontal="right" vertical="center" wrapText="1"/>
      <protection locked="0"/>
    </xf>
    <xf numFmtId="3" fontId="13" fillId="0" borderId="40" xfId="60" applyNumberFormat="1" applyFont="1" applyBorder="1" applyAlignment="1" applyProtection="1">
      <alignment horizontal="right" vertical="center" wrapText="1"/>
      <protection locked="0"/>
    </xf>
    <xf numFmtId="3" fontId="13" fillId="0" borderId="81" xfId="60" applyNumberFormat="1" applyFont="1" applyBorder="1" applyAlignment="1" applyProtection="1">
      <alignment horizontal="right" vertical="center" wrapText="1"/>
      <protection locked="0"/>
    </xf>
    <xf numFmtId="3" fontId="13" fillId="0" borderId="82" xfId="60" applyNumberFormat="1" applyFont="1" applyBorder="1" applyAlignment="1" applyProtection="1">
      <alignment horizontal="right" vertical="center" wrapText="1"/>
      <protection locked="0"/>
    </xf>
    <xf numFmtId="166" fontId="12" fillId="0" borderId="43" xfId="60" applyNumberFormat="1" applyFont="1" applyBorder="1" applyAlignment="1">
      <alignment horizontal="right" vertical="center" wrapText="1"/>
      <protection/>
    </xf>
    <xf numFmtId="166" fontId="8" fillId="0" borderId="0" xfId="60" applyNumberFormat="1" applyFont="1" applyAlignment="1" applyProtection="1">
      <alignment vertical="center" wrapText="1"/>
      <protection locked="0"/>
    </xf>
    <xf numFmtId="166" fontId="12" fillId="0" borderId="43" xfId="60" applyNumberFormat="1" applyFont="1" applyBorder="1" applyAlignment="1">
      <alignment horizontal="center" vertical="center" wrapText="1"/>
      <protection/>
    </xf>
    <xf numFmtId="166" fontId="6" fillId="0" borderId="43" xfId="60" applyNumberFormat="1" applyFont="1" applyBorder="1" applyAlignment="1">
      <alignment horizontal="center" vertical="center" wrapText="1"/>
      <protection/>
    </xf>
    <xf numFmtId="166" fontId="52" fillId="0" borderId="83" xfId="60" applyNumberFormat="1" applyFont="1" applyBorder="1" applyAlignment="1">
      <alignment horizontal="center" vertical="center"/>
      <protection/>
    </xf>
    <xf numFmtId="166" fontId="52" fillId="0" borderId="43" xfId="60" applyNumberFormat="1" applyFont="1" applyBorder="1" applyAlignment="1">
      <alignment horizontal="center" vertical="center"/>
      <protection/>
    </xf>
    <xf numFmtId="166" fontId="52" fillId="0" borderId="84" xfId="60" applyNumberFormat="1" applyFont="1" applyBorder="1" applyAlignment="1">
      <alignment horizontal="center" vertical="center"/>
      <protection/>
    </xf>
    <xf numFmtId="166" fontId="52" fillId="0" borderId="43" xfId="60" applyNumberFormat="1" applyFont="1" applyBorder="1" applyAlignment="1">
      <alignment horizontal="center" vertical="center" wrapText="1"/>
      <protection/>
    </xf>
    <xf numFmtId="166" fontId="52" fillId="0" borderId="84" xfId="60" applyNumberFormat="1" applyFont="1" applyBorder="1" applyAlignment="1">
      <alignment horizontal="center" vertical="center" wrapText="1"/>
      <protection/>
    </xf>
    <xf numFmtId="49" fontId="13" fillId="0" borderId="85" xfId="60" applyNumberFormat="1" applyFont="1" applyBorder="1" applyAlignment="1">
      <alignment horizontal="left" vertical="center"/>
      <protection/>
    </xf>
    <xf numFmtId="49" fontId="18" fillId="0" borderId="86" xfId="60" applyNumberFormat="1" applyFont="1" applyBorder="1" applyAlignment="1" quotePrefix="1">
      <alignment horizontal="left" vertical="center"/>
      <protection/>
    </xf>
    <xf numFmtId="49" fontId="13" fillId="0" borderId="86" xfId="60" applyNumberFormat="1" applyFont="1" applyBorder="1" applyAlignment="1">
      <alignment horizontal="left" vertical="center"/>
      <protection/>
    </xf>
    <xf numFmtId="49" fontId="12" fillId="0" borderId="59" xfId="60" applyNumberFormat="1" applyFont="1" applyBorder="1" applyAlignment="1" applyProtection="1">
      <alignment horizontal="left" vertical="center"/>
      <protection locked="0"/>
    </xf>
    <xf numFmtId="49" fontId="13" fillId="0" borderId="18" xfId="60" applyNumberFormat="1" applyFont="1" applyBorder="1" applyAlignment="1">
      <alignment horizontal="left" vertical="center"/>
      <protection/>
    </xf>
    <xf numFmtId="49" fontId="13" fillId="0" borderId="17" xfId="60" applyNumberFormat="1" applyFont="1" applyBorder="1" applyAlignment="1">
      <alignment horizontal="left" vertical="center"/>
      <protection/>
    </xf>
    <xf numFmtId="49" fontId="13" fillId="0" borderId="19" xfId="60" applyNumberFormat="1" applyFont="1" applyBorder="1" applyAlignment="1" applyProtection="1">
      <alignment horizontal="left" vertical="center"/>
      <protection locked="0"/>
    </xf>
    <xf numFmtId="175" fontId="12" fillId="0" borderId="43" xfId="60" applyNumberFormat="1" applyFont="1" applyBorder="1" applyAlignment="1">
      <alignment horizontal="left" vertical="center" wrapText="1"/>
      <protection/>
    </xf>
    <xf numFmtId="175" fontId="26" fillId="0" borderId="0" xfId="60" applyNumberFormat="1" applyFont="1" applyAlignment="1" applyProtection="1">
      <alignment horizontal="left" vertical="center" wrapText="1"/>
      <protection locked="0"/>
    </xf>
    <xf numFmtId="0" fontId="105" fillId="0" borderId="0" xfId="0" applyFont="1" applyAlignment="1">
      <alignment/>
    </xf>
    <xf numFmtId="166" fontId="3" fillId="0" borderId="0" xfId="60" applyNumberFormat="1" applyFont="1" applyBorder="1" applyAlignment="1">
      <alignment horizontal="left" vertical="center" wrapText="1"/>
      <protection/>
    </xf>
    <xf numFmtId="166" fontId="12" fillId="0" borderId="0" xfId="60" applyNumberFormat="1" applyFont="1" applyBorder="1" applyAlignment="1">
      <alignment horizontal="right" vertical="center" wrapText="1"/>
      <protection/>
    </xf>
    <xf numFmtId="166" fontId="13" fillId="0" borderId="73" xfId="60" applyNumberFormat="1" applyFont="1" applyBorder="1" applyAlignment="1" applyProtection="1">
      <alignment horizontal="right" vertical="center" indent="1"/>
      <protection locked="0"/>
    </xf>
    <xf numFmtId="166" fontId="13" fillId="0" borderId="73" xfId="60" applyNumberFormat="1" applyFont="1" applyBorder="1" applyAlignment="1" applyProtection="1">
      <alignment horizontal="right" vertical="center" wrapText="1" indent="1"/>
      <protection locked="0"/>
    </xf>
    <xf numFmtId="166" fontId="13" fillId="0" borderId="66" xfId="60" applyNumberFormat="1" applyFont="1" applyBorder="1" applyAlignment="1" applyProtection="1">
      <alignment horizontal="right" vertical="center" wrapText="1" indent="1"/>
      <protection locked="0"/>
    </xf>
    <xf numFmtId="166" fontId="12" fillId="0" borderId="66" xfId="60" applyNumberFormat="1" applyFont="1" applyBorder="1" applyAlignment="1">
      <alignment horizontal="right" vertical="center" wrapText="1" indent="1"/>
      <protection/>
    </xf>
    <xf numFmtId="166" fontId="18" fillId="0" borderId="41" xfId="60" applyNumberFormat="1" applyFont="1" applyBorder="1" applyAlignment="1" applyProtection="1">
      <alignment horizontal="right" vertical="center" wrapText="1" indent="1"/>
      <protection locked="0"/>
    </xf>
    <xf numFmtId="166" fontId="13" fillId="0" borderId="41" xfId="60" applyNumberFormat="1" applyFont="1" applyBorder="1" applyAlignment="1" applyProtection="1">
      <alignment horizontal="right" vertical="center" wrapText="1" indent="1"/>
      <protection locked="0"/>
    </xf>
    <xf numFmtId="166" fontId="12" fillId="0" borderId="41" xfId="60" applyNumberFormat="1" applyFont="1" applyBorder="1" applyAlignment="1">
      <alignment horizontal="right" vertical="center" wrapText="1" indent="1"/>
      <protection/>
    </xf>
    <xf numFmtId="166" fontId="12" fillId="0" borderId="43" xfId="60" applyNumberFormat="1" applyFont="1" applyBorder="1" applyAlignment="1">
      <alignment horizontal="right" vertical="center" indent="1"/>
      <protection/>
    </xf>
    <xf numFmtId="166" fontId="12" fillId="0" borderId="43" xfId="60" applyNumberFormat="1" applyFont="1" applyBorder="1" applyAlignment="1">
      <alignment horizontal="right" vertical="center" wrapText="1" indent="1"/>
      <protection/>
    </xf>
    <xf numFmtId="166" fontId="13" fillId="0" borderId="82" xfId="60" applyNumberFormat="1" applyFont="1" applyBorder="1" applyAlignment="1" applyProtection="1">
      <alignment horizontal="right" vertical="center" wrapText="1" indent="1"/>
      <protection locked="0"/>
    </xf>
    <xf numFmtId="166" fontId="12" fillId="0" borderId="81" xfId="60" applyNumberFormat="1" applyFont="1" applyBorder="1" applyAlignment="1">
      <alignment horizontal="right" vertical="center" wrapText="1" indent="1"/>
      <protection/>
    </xf>
    <xf numFmtId="166" fontId="12" fillId="0" borderId="73" xfId="60" applyNumberFormat="1" applyFont="1" applyBorder="1" applyAlignment="1" applyProtection="1">
      <alignment horizontal="right" vertical="center" wrapText="1" indent="1"/>
      <protection locked="0"/>
    </xf>
    <xf numFmtId="166" fontId="42" fillId="0" borderId="41" xfId="60" applyNumberFormat="1" applyFont="1" applyBorder="1" applyAlignment="1" applyProtection="1">
      <alignment horizontal="right" vertical="center" wrapText="1" indent="1"/>
      <protection locked="0"/>
    </xf>
    <xf numFmtId="166" fontId="12" fillId="0" borderId="41" xfId="60" applyNumberFormat="1" applyFont="1" applyBorder="1" applyAlignment="1" applyProtection="1">
      <alignment horizontal="right" vertical="center" wrapText="1" indent="1"/>
      <protection locked="0"/>
    </xf>
    <xf numFmtId="166" fontId="13" fillId="0" borderId="73" xfId="60" applyNumberFormat="1" applyFont="1" applyBorder="1" applyAlignment="1" applyProtection="1">
      <alignment horizontal="right" vertical="center" indent="1"/>
      <protection/>
    </xf>
    <xf numFmtId="166" fontId="18" fillId="0" borderId="41" xfId="60" applyNumberFormat="1" applyFont="1" applyBorder="1" applyAlignment="1" applyProtection="1">
      <alignment horizontal="right" vertical="center" indent="1"/>
      <protection/>
    </xf>
    <xf numFmtId="166" fontId="13" fillId="0" borderId="41" xfId="60" applyNumberFormat="1" applyFont="1" applyBorder="1" applyAlignment="1" applyProtection="1">
      <alignment horizontal="right" vertical="center" indent="1"/>
      <protection/>
    </xf>
    <xf numFmtId="166" fontId="12" fillId="0" borderId="43" xfId="60" applyNumberFormat="1" applyFont="1" applyBorder="1" applyAlignment="1" applyProtection="1">
      <alignment horizontal="right" vertical="center" indent="1"/>
      <protection/>
    </xf>
    <xf numFmtId="166" fontId="13" fillId="0" borderId="82" xfId="60" applyNumberFormat="1" applyFont="1" applyBorder="1" applyAlignment="1" applyProtection="1">
      <alignment horizontal="right" vertical="center" indent="1"/>
      <protection/>
    </xf>
    <xf numFmtId="3" fontId="16" fillId="0" borderId="70" xfId="63" applyNumberFormat="1" applyFont="1" applyFill="1" applyBorder="1" applyProtection="1">
      <alignment/>
      <protection locked="0"/>
    </xf>
    <xf numFmtId="0" fontId="16" fillId="0" borderId="12" xfId="0" applyFont="1" applyBorder="1" applyAlignment="1" applyProtection="1">
      <alignment horizontal="left" wrapText="1" indent="1"/>
      <protection locked="0"/>
    </xf>
    <xf numFmtId="0" fontId="16" fillId="0" borderId="11" xfId="0" applyFont="1" applyBorder="1" applyAlignment="1" applyProtection="1">
      <alignment horizontal="left" wrapText="1" indent="1"/>
      <protection locked="0"/>
    </xf>
    <xf numFmtId="0" fontId="16" fillId="0" borderId="15" xfId="0" applyFont="1" applyBorder="1" applyAlignment="1" applyProtection="1">
      <alignment horizontal="left" indent="1"/>
      <protection locked="0"/>
    </xf>
    <xf numFmtId="0" fontId="105" fillId="0" borderId="0" xfId="0" applyFont="1" applyAlignment="1" applyProtection="1">
      <alignment/>
      <protection locked="0"/>
    </xf>
    <xf numFmtId="0" fontId="8"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3" fillId="0" borderId="87" xfId="0" applyFont="1" applyBorder="1" applyAlignment="1" applyProtection="1">
      <alignment/>
      <protection locked="0"/>
    </xf>
    <xf numFmtId="0" fontId="19" fillId="0" borderId="0" xfId="0" applyFont="1" applyAlignment="1" applyProtection="1">
      <alignment/>
      <protection locked="0"/>
    </xf>
    <xf numFmtId="166" fontId="13" fillId="0" borderId="10" xfId="61" applyNumberFormat="1" applyFont="1" applyFill="1" applyBorder="1" applyAlignment="1" applyProtection="1">
      <alignment horizontal="right" vertical="center" wrapText="1" indent="1"/>
      <protection locked="0"/>
    </xf>
    <xf numFmtId="166" fontId="13" fillId="0" borderId="52" xfId="61" applyNumberFormat="1" applyFont="1" applyFill="1" applyBorder="1" applyAlignment="1" applyProtection="1">
      <alignment horizontal="right" vertical="center" wrapText="1" indent="1"/>
      <protection locked="0"/>
    </xf>
    <xf numFmtId="0" fontId="13" fillId="0" borderId="22" xfId="61" applyFont="1" applyFill="1" applyBorder="1" applyAlignment="1" applyProtection="1">
      <alignment horizontal="left" vertical="center" wrapText="1" indent="1"/>
      <protection/>
    </xf>
    <xf numFmtId="0" fontId="13" fillId="0" borderId="23" xfId="61" applyFont="1" applyFill="1" applyBorder="1" applyAlignment="1" applyProtection="1">
      <alignment horizontal="left" vertical="center" wrapText="1"/>
      <protection/>
    </xf>
    <xf numFmtId="166" fontId="13" fillId="0" borderId="23" xfId="61" applyNumberFormat="1" applyFont="1" applyFill="1" applyBorder="1" applyAlignment="1" applyProtection="1">
      <alignment horizontal="right" vertical="center" wrapText="1" indent="1"/>
      <protection locked="0"/>
    </xf>
    <xf numFmtId="166" fontId="13" fillId="0" borderId="34" xfId="61" applyNumberFormat="1" applyFont="1" applyFill="1" applyBorder="1" applyAlignment="1" applyProtection="1">
      <alignment horizontal="right" vertical="center" wrapText="1" indent="1"/>
      <protection locked="0"/>
    </xf>
    <xf numFmtId="3" fontId="16" fillId="0" borderId="75" xfId="0" applyNumberFormat="1" applyFont="1" applyFill="1" applyBorder="1" applyAlignment="1" applyProtection="1">
      <alignment horizontal="right" vertical="center" wrapText="1"/>
      <protection locked="0"/>
    </xf>
    <xf numFmtId="0" fontId="17" fillId="0" borderId="43" xfId="0" applyFont="1" applyFill="1" applyBorder="1" applyAlignment="1" applyProtection="1">
      <alignment vertical="center" wrapText="1"/>
      <protection/>
    </xf>
    <xf numFmtId="166" fontId="16" fillId="0" borderId="75" xfId="0" applyNumberFormat="1" applyFont="1" applyFill="1" applyBorder="1" applyAlignment="1" applyProtection="1">
      <alignment vertical="center" wrapText="1"/>
      <protection locked="0"/>
    </xf>
    <xf numFmtId="166" fontId="16" fillId="0" borderId="75" xfId="0" applyNumberFormat="1" applyFont="1" applyFill="1" applyBorder="1" applyAlignment="1" applyProtection="1">
      <alignment horizontal="right" vertical="center" wrapText="1"/>
      <protection locked="0"/>
    </xf>
    <xf numFmtId="166" fontId="13" fillId="0" borderId="16" xfId="0" applyNumberFormat="1"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indent="1"/>
      <protection locked="0"/>
    </xf>
    <xf numFmtId="3" fontId="12" fillId="0" borderId="26" xfId="0" applyNumberFormat="1" applyFont="1" applyFill="1" applyBorder="1" applyAlignment="1" applyProtection="1">
      <alignment horizontal="right" vertical="center"/>
      <protection locked="0"/>
    </xf>
    <xf numFmtId="0" fontId="106" fillId="0" borderId="0" xfId="0" applyFont="1" applyAlignment="1">
      <alignment horizontal="center" vertical="top" wrapText="1"/>
    </xf>
    <xf numFmtId="0" fontId="46" fillId="0" borderId="0" xfId="0" applyFont="1" applyAlignment="1">
      <alignment horizontal="center"/>
    </xf>
    <xf numFmtId="0" fontId="19" fillId="37" borderId="0" xfId="0" applyFont="1" applyFill="1" applyAlignment="1" applyProtection="1">
      <alignment horizontal="center"/>
      <protection locked="0"/>
    </xf>
    <xf numFmtId="0" fontId="0" fillId="0" borderId="0" xfId="0" applyAlignment="1" applyProtection="1">
      <alignment/>
      <protection locked="0"/>
    </xf>
    <xf numFmtId="0" fontId="5" fillId="0" borderId="0" xfId="0" applyFont="1" applyAlignment="1" applyProtection="1">
      <alignment horizontal="center"/>
      <protection locked="0"/>
    </xf>
    <xf numFmtId="0" fontId="5" fillId="37" borderId="0" xfId="0" applyFont="1" applyFill="1" applyAlignment="1" applyProtection="1">
      <alignment/>
      <protection locked="0"/>
    </xf>
    <xf numFmtId="0" fontId="0" fillId="37" borderId="0" xfId="0" applyFill="1" applyAlignment="1" applyProtection="1">
      <alignment/>
      <protection locked="0"/>
    </xf>
    <xf numFmtId="0" fontId="5" fillId="37" borderId="0" xfId="0" applyFont="1" applyFill="1" applyAlignment="1" applyProtection="1">
      <alignment horizontal="center"/>
      <protection locked="0"/>
    </xf>
    <xf numFmtId="0" fontId="6" fillId="0" borderId="88" xfId="61" applyFont="1" applyFill="1" applyBorder="1" applyAlignment="1" applyProtection="1">
      <alignment horizontal="center" vertical="center" wrapText="1"/>
      <protection/>
    </xf>
    <xf numFmtId="0" fontId="6" fillId="0" borderId="13" xfId="61" applyFont="1" applyFill="1" applyBorder="1" applyAlignment="1" applyProtection="1">
      <alignment horizontal="center" vertical="center" wrapText="1"/>
      <protection/>
    </xf>
    <xf numFmtId="0" fontId="6" fillId="0" borderId="45" xfId="61" applyFont="1" applyFill="1" applyBorder="1" applyAlignment="1" applyProtection="1">
      <alignment horizontal="center" vertical="center" wrapText="1"/>
      <protection/>
    </xf>
    <xf numFmtId="0" fontId="5" fillId="0" borderId="0" xfId="61" applyFont="1" applyFill="1" applyAlignment="1" applyProtection="1">
      <alignment horizontal="center"/>
      <protection/>
    </xf>
    <xf numFmtId="166" fontId="5" fillId="0" borderId="0" xfId="61" applyNumberFormat="1" applyFont="1" applyFill="1" applyBorder="1" applyAlignment="1" applyProtection="1">
      <alignment horizontal="center" vertical="center"/>
      <protection locked="0"/>
    </xf>
    <xf numFmtId="166" fontId="5" fillId="0" borderId="0" xfId="61" applyNumberFormat="1" applyFont="1" applyFill="1" applyBorder="1" applyAlignment="1" applyProtection="1">
      <alignment horizontal="center" vertical="center"/>
      <protection/>
    </xf>
    <xf numFmtId="166" fontId="20" fillId="0" borderId="31" xfId="61" applyNumberFormat="1" applyFont="1" applyFill="1" applyBorder="1" applyAlignment="1" applyProtection="1">
      <alignment horizontal="left" vertical="center"/>
      <protection locked="0"/>
    </xf>
    <xf numFmtId="166" fontId="20" fillId="0" borderId="31" xfId="61" applyNumberFormat="1" applyFont="1" applyFill="1" applyBorder="1" applyAlignment="1" applyProtection="1">
      <alignment horizontal="left"/>
      <protection/>
    </xf>
    <xf numFmtId="0" fontId="8" fillId="0" borderId="0" xfId="61" applyFont="1" applyFill="1" applyAlignment="1" applyProtection="1">
      <alignment horizontal="right"/>
      <protection locked="0"/>
    </xf>
    <xf numFmtId="0" fontId="8" fillId="0" borderId="0" xfId="0" applyFont="1" applyAlignment="1" applyProtection="1">
      <alignment horizontal="right"/>
      <protection locked="0"/>
    </xf>
    <xf numFmtId="0" fontId="5" fillId="0" borderId="0" xfId="61" applyFont="1" applyFill="1" applyAlignment="1" applyProtection="1">
      <alignment horizontal="center"/>
      <protection locked="0"/>
    </xf>
    <xf numFmtId="0" fontId="3" fillId="0" borderId="0" xfId="0" applyFont="1" applyAlignment="1" applyProtection="1">
      <alignment horizontal="center"/>
      <protection locked="0"/>
    </xf>
    <xf numFmtId="0" fontId="5" fillId="0" borderId="0" xfId="61" applyFont="1" applyFill="1" applyAlignment="1" applyProtection="1">
      <alignment horizontal="center" vertical="center"/>
      <protection locked="0"/>
    </xf>
    <xf numFmtId="166" fontId="20" fillId="0" borderId="31" xfId="61" applyNumberFormat="1" applyFont="1" applyFill="1" applyBorder="1" applyAlignment="1" applyProtection="1">
      <alignment horizontal="left" vertical="center"/>
      <protection/>
    </xf>
    <xf numFmtId="0" fontId="6" fillId="0" borderId="24" xfId="61" applyFont="1" applyFill="1" applyBorder="1" applyAlignment="1" applyProtection="1">
      <alignment horizontal="center" vertical="center" wrapText="1"/>
      <protection/>
    </xf>
    <xf numFmtId="0" fontId="6" fillId="0" borderId="38" xfId="61" applyFont="1" applyFill="1" applyBorder="1" applyAlignment="1" applyProtection="1">
      <alignment horizontal="center" vertical="center" wrapText="1"/>
      <protection/>
    </xf>
    <xf numFmtId="0" fontId="6" fillId="0" borderId="25" xfId="61" applyFont="1" applyFill="1" applyBorder="1" applyAlignment="1" applyProtection="1">
      <alignment horizontal="center" vertical="center" wrapText="1"/>
      <protection/>
    </xf>
    <xf numFmtId="0" fontId="6" fillId="0" borderId="32" xfId="61" applyFont="1" applyFill="1" applyBorder="1" applyAlignment="1" applyProtection="1">
      <alignment horizontal="center" vertical="center" wrapText="1"/>
      <protection/>
    </xf>
    <xf numFmtId="166" fontId="6" fillId="0" borderId="73" xfId="0" applyNumberFormat="1" applyFont="1" applyFill="1" applyBorder="1" applyAlignment="1" applyProtection="1">
      <alignment horizontal="center" vertical="center" wrapText="1"/>
      <protection locked="0"/>
    </xf>
    <xf numFmtId="166" fontId="6" fillId="0" borderId="84" xfId="0" applyNumberFormat="1" applyFont="1" applyFill="1" applyBorder="1" applyAlignment="1" applyProtection="1">
      <alignment horizontal="center" vertical="center" wrapText="1"/>
      <protection locked="0"/>
    </xf>
    <xf numFmtId="166" fontId="107" fillId="0" borderId="61" xfId="0" applyNumberFormat="1" applyFont="1" applyFill="1" applyBorder="1" applyAlignment="1" applyProtection="1">
      <alignment horizontal="center" vertical="center" wrapText="1"/>
      <protection/>
    </xf>
    <xf numFmtId="166" fontId="8" fillId="0" borderId="0" xfId="0" applyNumberFormat="1" applyFont="1" applyFill="1" applyAlignment="1" applyProtection="1">
      <alignment horizontal="center" textRotation="180" wrapText="1"/>
      <protection locked="0"/>
    </xf>
    <xf numFmtId="166" fontId="5" fillId="0" borderId="0" xfId="0" applyNumberFormat="1" applyFont="1" applyFill="1" applyAlignment="1" applyProtection="1">
      <alignment horizontal="center" vertical="center" wrapText="1"/>
      <protection locked="0"/>
    </xf>
    <xf numFmtId="166" fontId="8" fillId="0" borderId="0" xfId="0" applyNumberFormat="1" applyFont="1" applyFill="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8" fillId="0" borderId="0" xfId="60" applyFont="1" applyAlignment="1">
      <alignment horizontal="right" vertical="center"/>
      <protection/>
    </xf>
    <xf numFmtId="0" fontId="50" fillId="0" borderId="0" xfId="60" applyFont="1" applyAlignment="1">
      <alignment horizontal="center" textRotation="180"/>
      <protection/>
    </xf>
    <xf numFmtId="0" fontId="5" fillId="0" borderId="0" xfId="60" applyFont="1" applyAlignment="1">
      <alignment horizontal="center" vertical="center"/>
      <protection/>
    </xf>
    <xf numFmtId="0" fontId="5" fillId="0" borderId="0" xfId="60" applyFont="1" applyAlignment="1" applyProtection="1">
      <alignment horizontal="center" vertical="center"/>
      <protection locked="0"/>
    </xf>
    <xf numFmtId="175" fontId="5" fillId="0" borderId="0" xfId="60" applyNumberFormat="1" applyFont="1" applyAlignment="1" applyProtection="1">
      <alignment horizontal="center" vertical="center" wrapText="1"/>
      <protection locked="0"/>
    </xf>
    <xf numFmtId="166" fontId="4" fillId="0" borderId="31" xfId="60" applyNumberFormat="1" applyFont="1" applyBorder="1" applyAlignment="1">
      <alignment horizontal="right" vertical="center"/>
      <protection/>
    </xf>
    <xf numFmtId="166" fontId="3" fillId="0" borderId="59" xfId="60" applyNumberFormat="1" applyFont="1" applyBorder="1" applyAlignment="1">
      <alignment horizontal="center" vertical="center" wrapText="1"/>
      <protection/>
    </xf>
    <xf numFmtId="166" fontId="3" fillId="0" borderId="56" xfId="60" applyNumberFormat="1" applyFont="1" applyBorder="1" applyAlignment="1">
      <alignment horizontal="center" vertical="center" wrapText="1"/>
      <protection/>
    </xf>
    <xf numFmtId="166" fontId="3" fillId="0" borderId="34" xfId="60" applyNumberFormat="1" applyFont="1" applyBorder="1" applyAlignment="1">
      <alignment horizontal="center" vertical="center" wrapText="1"/>
      <protection/>
    </xf>
    <xf numFmtId="166" fontId="0" fillId="0" borderId="85" xfId="60" applyNumberFormat="1" applyBorder="1" applyAlignment="1" applyProtection="1">
      <alignment horizontal="left" vertical="center" wrapText="1"/>
      <protection locked="0"/>
    </xf>
    <xf numFmtId="166" fontId="0" fillId="0" borderId="63" xfId="60" applyNumberFormat="1" applyBorder="1" applyAlignment="1" applyProtection="1">
      <alignment horizontal="left" vertical="center" wrapText="1"/>
      <protection locked="0"/>
    </xf>
    <xf numFmtId="166" fontId="0" fillId="0" borderId="48" xfId="60" applyNumberFormat="1" applyBorder="1" applyAlignment="1" applyProtection="1">
      <alignment horizontal="left" vertical="center" wrapText="1"/>
      <protection locked="0"/>
    </xf>
    <xf numFmtId="166" fontId="0" fillId="0" borderId="89" xfId="60" applyNumberFormat="1" applyBorder="1" applyAlignment="1" applyProtection="1">
      <alignment horizontal="left" vertical="center" wrapText="1"/>
      <protection locked="0"/>
    </xf>
    <xf numFmtId="166" fontId="0" fillId="0" borderId="90" xfId="60" applyNumberFormat="1" applyBorder="1" applyAlignment="1" applyProtection="1">
      <alignment horizontal="left" vertical="center" wrapText="1"/>
      <protection locked="0"/>
    </xf>
    <xf numFmtId="166" fontId="0" fillId="0" borderId="49" xfId="60" applyNumberFormat="1" applyBorder="1" applyAlignment="1" applyProtection="1">
      <alignment horizontal="left" vertical="center" wrapText="1"/>
      <protection locked="0"/>
    </xf>
    <xf numFmtId="166" fontId="3" fillId="0" borderId="59" xfId="60" applyNumberFormat="1" applyFont="1" applyBorder="1" applyAlignment="1">
      <alignment horizontal="left" vertical="center" wrapText="1"/>
      <protection/>
    </xf>
    <xf numFmtId="166" fontId="3" fillId="0" borderId="56" xfId="60" applyNumberFormat="1" applyFont="1" applyBorder="1" applyAlignment="1">
      <alignment horizontal="left" vertical="center" wrapText="1"/>
      <protection/>
    </xf>
    <xf numFmtId="166" fontId="3" fillId="0" borderId="34" xfId="60" applyNumberFormat="1" applyFont="1" applyBorder="1" applyAlignment="1">
      <alignment horizontal="left" vertical="center" wrapText="1"/>
      <protection/>
    </xf>
    <xf numFmtId="166" fontId="19" fillId="0" borderId="0" xfId="60" applyNumberFormat="1" applyFont="1" applyAlignment="1" applyProtection="1">
      <alignment horizontal="left" vertical="center" wrapText="1"/>
      <protection locked="0"/>
    </xf>
    <xf numFmtId="166" fontId="0" fillId="0" borderId="0" xfId="60" applyNumberFormat="1" applyFont="1" applyAlignment="1" applyProtection="1">
      <alignment horizontal="left" vertical="center" wrapText="1"/>
      <protection locked="0"/>
    </xf>
    <xf numFmtId="166" fontId="0" fillId="0" borderId="0" xfId="60" applyNumberFormat="1" applyAlignment="1" applyProtection="1">
      <alignment horizontal="left" vertical="center" wrapText="1"/>
      <protection locked="0"/>
    </xf>
    <xf numFmtId="166" fontId="4" fillId="0" borderId="31" xfId="60" applyNumberFormat="1" applyFont="1" applyBorder="1" applyAlignment="1" applyProtection="1">
      <alignment horizontal="right" vertical="center"/>
      <protection locked="0"/>
    </xf>
    <xf numFmtId="166" fontId="6" fillId="0" borderId="72" xfId="60" applyNumberFormat="1" applyFont="1" applyBorder="1" applyAlignment="1">
      <alignment horizontal="center" vertical="center"/>
      <protection/>
    </xf>
    <xf numFmtId="166" fontId="6" fillId="0" borderId="42" xfId="60" applyNumberFormat="1" applyFont="1" applyBorder="1" applyAlignment="1">
      <alignment horizontal="center" vertical="center"/>
      <protection/>
    </xf>
    <xf numFmtId="166" fontId="6" fillId="0" borderId="83" xfId="60" applyNumberFormat="1" applyFont="1" applyBorder="1" applyAlignment="1">
      <alignment horizontal="center" vertical="center"/>
      <protection/>
    </xf>
    <xf numFmtId="166" fontId="6" fillId="0" borderId="72" xfId="60" applyNumberFormat="1" applyFont="1" applyBorder="1" applyAlignment="1">
      <alignment horizontal="center" vertical="center" wrapText="1"/>
      <protection/>
    </xf>
    <xf numFmtId="166" fontId="6" fillId="0" borderId="61" xfId="60" applyNumberFormat="1" applyFont="1" applyBorder="1" applyAlignment="1">
      <alignment horizontal="center" vertical="center" wrapText="1"/>
      <protection/>
    </xf>
    <xf numFmtId="0" fontId="0" fillId="0" borderId="61" xfId="60" applyBorder="1" applyAlignment="1">
      <alignment horizontal="center" vertical="center" wrapText="1"/>
      <protection/>
    </xf>
    <xf numFmtId="0" fontId="0" fillId="0" borderId="47" xfId="60" applyBorder="1" applyAlignment="1">
      <alignment horizontal="center" vertical="center" wrapText="1"/>
      <protection/>
    </xf>
    <xf numFmtId="166" fontId="3" fillId="0" borderId="73" xfId="60" applyNumberFormat="1" applyFont="1" applyBorder="1" applyAlignment="1">
      <alignment horizontal="center" vertical="center" wrapText="1"/>
      <protection/>
    </xf>
    <xf numFmtId="166" fontId="3" fillId="0" borderId="44" xfId="60" applyNumberFormat="1" applyFont="1" applyBorder="1" applyAlignment="1">
      <alignment horizontal="center" vertical="center"/>
      <protection/>
    </xf>
    <xf numFmtId="0" fontId="108" fillId="0" borderId="84" xfId="0" applyFont="1" applyBorder="1" applyAlignment="1">
      <alignment horizontal="center" vertical="center"/>
    </xf>
    <xf numFmtId="166" fontId="6" fillId="0" borderId="59" xfId="60" applyNumberFormat="1" applyFont="1" applyBorder="1" applyAlignment="1">
      <alignment horizontal="center" vertical="center" wrapText="1"/>
      <protection/>
    </xf>
    <xf numFmtId="0" fontId="0" fillId="0" borderId="56" xfId="60" applyBorder="1" applyAlignment="1">
      <alignment horizontal="center" vertical="center" wrapText="1"/>
      <protection/>
    </xf>
    <xf numFmtId="0" fontId="0" fillId="0" borderId="34" xfId="60" applyBorder="1" applyAlignment="1">
      <alignment horizontal="center" vertical="center" wrapText="1"/>
      <protection/>
    </xf>
    <xf numFmtId="166" fontId="6" fillId="0" borderId="73" xfId="60" applyNumberFormat="1" applyFont="1" applyBorder="1" applyAlignment="1">
      <alignment horizontal="center" vertical="center" wrapText="1"/>
      <protection/>
    </xf>
    <xf numFmtId="0" fontId="109" fillId="0" borderId="84" xfId="0" applyFont="1" applyBorder="1" applyAlignment="1">
      <alignment horizontal="center" vertical="center" wrapText="1"/>
    </xf>
    <xf numFmtId="166" fontId="12" fillId="0" borderId="59" xfId="60" applyNumberFormat="1" applyFont="1" applyBorder="1" applyAlignment="1" applyProtection="1">
      <alignment horizontal="center" vertical="center" wrapText="1"/>
      <protection/>
    </xf>
    <xf numFmtId="166" fontId="12" fillId="0" borderId="56" xfId="60" applyNumberFormat="1" applyFont="1" applyBorder="1" applyAlignment="1" applyProtection="1">
      <alignment horizontal="center" vertical="center" wrapText="1"/>
      <protection/>
    </xf>
    <xf numFmtId="0" fontId="0" fillId="0" borderId="34" xfId="60" applyBorder="1" applyAlignment="1" applyProtection="1">
      <alignment horizontal="center" vertical="center"/>
      <protection/>
    </xf>
    <xf numFmtId="0" fontId="0" fillId="0" borderId="56" xfId="60" applyBorder="1" applyAlignment="1" applyProtection="1">
      <alignment horizontal="center" vertical="center"/>
      <protection/>
    </xf>
    <xf numFmtId="175" fontId="26" fillId="0" borderId="61" xfId="60" applyNumberFormat="1" applyFont="1" applyBorder="1" applyAlignment="1" applyProtection="1">
      <alignment horizontal="left" vertical="center" wrapText="1"/>
      <protection locked="0"/>
    </xf>
    <xf numFmtId="0" fontId="6" fillId="0" borderId="59"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protection locked="0"/>
    </xf>
    <xf numFmtId="0" fontId="28" fillId="0" borderId="31" xfId="0" applyFont="1" applyBorder="1" applyAlignment="1" applyProtection="1">
      <alignment horizontal="right" vertical="top"/>
      <protection locked="0"/>
    </xf>
    <xf numFmtId="0" fontId="1" fillId="0" borderId="31" xfId="0" applyFont="1" applyBorder="1" applyAlignment="1" applyProtection="1">
      <alignment/>
      <protection locked="0"/>
    </xf>
    <xf numFmtId="0" fontId="5" fillId="0" borderId="53"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166" fontId="8" fillId="0" borderId="31" xfId="0" applyNumberFormat="1" applyFont="1" applyFill="1" applyBorder="1" applyAlignment="1" applyProtection="1">
      <alignment horizontal="right" vertical="center" wrapText="1"/>
      <protection locked="0"/>
    </xf>
    <xf numFmtId="0" fontId="8" fillId="0" borderId="31" xfId="0" applyFont="1" applyBorder="1" applyAlignment="1" applyProtection="1">
      <alignment horizontal="right"/>
      <protection locked="0"/>
    </xf>
    <xf numFmtId="0" fontId="6" fillId="0" borderId="59" xfId="0" applyFont="1" applyFill="1" applyBorder="1" applyAlignment="1" applyProtection="1">
      <alignment horizontal="left" vertical="center" wrapText="1" indent="1"/>
      <protection/>
    </xf>
    <xf numFmtId="0" fontId="6" fillId="0" borderId="33" xfId="0" applyFont="1" applyFill="1" applyBorder="1" applyAlignment="1" applyProtection="1">
      <alignment horizontal="left" vertical="center" wrapText="1" indent="1"/>
      <protection/>
    </xf>
    <xf numFmtId="0" fontId="5" fillId="0" borderId="0" xfId="0" applyFont="1" applyFill="1" applyAlignment="1" applyProtection="1">
      <alignment horizontal="center" vertical="center" wrapText="1"/>
      <protection/>
    </xf>
    <xf numFmtId="0" fontId="5" fillId="0" borderId="0" xfId="0" applyFont="1" applyAlignment="1">
      <alignment vertical="center" wrapText="1"/>
    </xf>
    <xf numFmtId="0" fontId="8" fillId="0" borderId="0" xfId="0" applyFont="1" applyFill="1" applyAlignment="1" applyProtection="1">
      <alignment horizontal="right" vertical="center" wrapText="1"/>
      <protection/>
    </xf>
    <xf numFmtId="0" fontId="0" fillId="0" borderId="0" xfId="0" applyFont="1" applyAlignment="1">
      <alignment horizontal="right"/>
    </xf>
    <xf numFmtId="0" fontId="6" fillId="0" borderId="24"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textRotation="180"/>
    </xf>
    <xf numFmtId="0" fontId="30" fillId="0" borderId="31" xfId="0" applyFont="1" applyFill="1" applyBorder="1" applyAlignment="1" applyProtection="1">
      <alignment horizontal="center" vertical="center"/>
      <protection/>
    </xf>
    <xf numFmtId="0" fontId="7" fillId="0" borderId="61" xfId="0" applyFont="1" applyFill="1" applyBorder="1" applyAlignment="1">
      <alignment/>
    </xf>
    <xf numFmtId="0" fontId="6" fillId="0" borderId="20" xfId="61" applyFont="1" applyFill="1" applyBorder="1" applyAlignment="1" applyProtection="1">
      <alignment horizontal="center" vertical="center" wrapText="1"/>
      <protection locked="0"/>
    </xf>
    <xf numFmtId="0" fontId="6" fillId="0" borderId="21" xfId="61" applyFont="1" applyFill="1" applyBorder="1" applyAlignment="1" applyProtection="1">
      <alignment horizontal="center" vertical="center" wrapText="1"/>
      <protection locked="0"/>
    </xf>
    <xf numFmtId="0" fontId="6" fillId="0" borderId="13" xfId="61" applyFont="1" applyFill="1" applyBorder="1" applyAlignment="1" applyProtection="1">
      <alignment horizontal="center" vertical="center" wrapText="1"/>
      <protection locked="0"/>
    </xf>
    <xf numFmtId="0" fontId="6" fillId="0" borderId="29" xfId="61" applyFont="1" applyFill="1" applyBorder="1" applyAlignment="1" applyProtection="1">
      <alignment horizontal="center" vertical="center" wrapText="1"/>
      <protection locked="0"/>
    </xf>
    <xf numFmtId="0" fontId="6" fillId="0" borderId="25" xfId="61" applyFont="1" applyFill="1" applyBorder="1" applyAlignment="1" applyProtection="1">
      <alignment horizontal="center" vertical="center" wrapText="1"/>
      <protection locked="0"/>
    </xf>
    <xf numFmtId="0" fontId="6" fillId="0" borderId="32" xfId="61" applyFont="1" applyFill="1" applyBorder="1" applyAlignment="1" applyProtection="1">
      <alignment horizontal="center" vertical="center" wrapText="1"/>
      <protection locked="0"/>
    </xf>
    <xf numFmtId="166" fontId="6" fillId="0" borderId="13" xfId="61" applyNumberFormat="1" applyFont="1" applyFill="1" applyBorder="1" applyAlignment="1" applyProtection="1">
      <alignment horizontal="center" vertical="center"/>
      <protection locked="0"/>
    </xf>
    <xf numFmtId="166" fontId="6" fillId="0" borderId="45" xfId="61" applyNumberFormat="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wrapText="1"/>
      <protection/>
    </xf>
    <xf numFmtId="0" fontId="6" fillId="0" borderId="21" xfId="61" applyFont="1" applyFill="1" applyBorder="1" applyAlignment="1" applyProtection="1">
      <alignment horizontal="center" vertical="center" wrapText="1"/>
      <protection/>
    </xf>
    <xf numFmtId="0" fontId="6" fillId="0" borderId="29" xfId="61" applyFont="1" applyFill="1" applyBorder="1" applyAlignment="1" applyProtection="1">
      <alignment horizontal="center" vertical="center" wrapText="1"/>
      <protection/>
    </xf>
    <xf numFmtId="166" fontId="6" fillId="0" borderId="13" xfId="61" applyNumberFormat="1" applyFont="1" applyFill="1" applyBorder="1" applyAlignment="1" applyProtection="1">
      <alignment horizontal="center" vertical="center"/>
      <protection/>
    </xf>
    <xf numFmtId="166" fontId="6" fillId="0" borderId="45" xfId="61" applyNumberFormat="1" applyFont="1" applyFill="1" applyBorder="1" applyAlignment="1" applyProtection="1">
      <alignment horizontal="center" vertical="center"/>
      <protection/>
    </xf>
    <xf numFmtId="0" fontId="5" fillId="0" borderId="0" xfId="0" applyFont="1" applyAlignment="1" applyProtection="1">
      <alignment vertical="center" wrapText="1"/>
      <protection locked="0"/>
    </xf>
    <xf numFmtId="166" fontId="6" fillId="0" borderId="24" xfId="0" applyNumberFormat="1" applyFont="1" applyFill="1" applyBorder="1" applyAlignment="1" applyProtection="1">
      <alignment horizontal="center" vertical="center" wrapText="1"/>
      <protection/>
    </xf>
    <xf numFmtId="166" fontId="6" fillId="0" borderId="38" xfId="0" applyNumberFormat="1" applyFont="1" applyFill="1" applyBorder="1" applyAlignment="1" applyProtection="1">
      <alignment horizontal="center" vertical="center" wrapText="1"/>
      <protection/>
    </xf>
    <xf numFmtId="166" fontId="6" fillId="0" borderId="25" xfId="0" applyNumberFormat="1" applyFont="1" applyFill="1" applyBorder="1" applyAlignment="1" applyProtection="1">
      <alignment horizontal="center" vertical="center" wrapText="1"/>
      <protection/>
    </xf>
    <xf numFmtId="166" fontId="6" fillId="0" borderId="32" xfId="0" applyNumberFormat="1" applyFont="1" applyFill="1" applyBorder="1" applyAlignment="1" applyProtection="1">
      <alignment horizontal="center" vertical="center"/>
      <protection/>
    </xf>
    <xf numFmtId="166" fontId="6" fillId="0" borderId="32" xfId="0" applyNumberFormat="1" applyFont="1" applyFill="1" applyBorder="1" applyAlignment="1" applyProtection="1">
      <alignment horizontal="center" vertical="center" wrapText="1"/>
      <protection/>
    </xf>
    <xf numFmtId="166" fontId="6" fillId="0" borderId="73" xfId="0" applyNumberFormat="1" applyFont="1" applyFill="1" applyBorder="1" applyAlignment="1" applyProtection="1">
      <alignment horizontal="center" vertical="center" wrapText="1"/>
      <protection/>
    </xf>
    <xf numFmtId="166" fontId="6" fillId="0" borderId="84" xfId="0" applyNumberFormat="1" applyFont="1" applyFill="1" applyBorder="1" applyAlignment="1" applyProtection="1">
      <alignment horizontal="center" vertical="center" wrapText="1"/>
      <protection/>
    </xf>
    <xf numFmtId="166" fontId="8" fillId="0" borderId="0" xfId="0" applyNumberFormat="1" applyFont="1" applyFill="1" applyAlignment="1" applyProtection="1">
      <alignment horizontal="center" textRotation="180" wrapText="1"/>
      <protection locked="0"/>
    </xf>
    <xf numFmtId="166" fontId="6" fillId="0" borderId="73" xfId="0" applyNumberFormat="1" applyFont="1" applyFill="1" applyBorder="1" applyAlignment="1" applyProtection="1">
      <alignment horizontal="center" vertical="center" wrapText="1"/>
      <protection locked="0"/>
    </xf>
    <xf numFmtId="166" fontId="6" fillId="0" borderId="84" xfId="0" applyNumberFormat="1" applyFont="1" applyFill="1" applyBorder="1" applyAlignment="1" applyProtection="1">
      <alignment horizontal="center" vertical="center" wrapText="1"/>
      <protection locked="0"/>
    </xf>
    <xf numFmtId="166" fontId="6" fillId="0" borderId="73" xfId="0" applyNumberFormat="1" applyFont="1" applyFill="1" applyBorder="1" applyAlignment="1" applyProtection="1">
      <alignment horizontal="center" vertical="center"/>
      <protection locked="0"/>
    </xf>
    <xf numFmtId="166" fontId="6" fillId="0" borderId="84" xfId="0" applyNumberFormat="1" applyFont="1" applyFill="1" applyBorder="1" applyAlignment="1" applyProtection="1">
      <alignment horizontal="center" vertical="center"/>
      <protection locked="0"/>
    </xf>
    <xf numFmtId="166" fontId="6" fillId="0" borderId="72" xfId="0" applyNumberFormat="1" applyFont="1" applyFill="1" applyBorder="1" applyAlignment="1" applyProtection="1">
      <alignment horizontal="center" vertical="center" wrapText="1"/>
      <protection locked="0"/>
    </xf>
    <xf numFmtId="166" fontId="6" fillId="0" borderId="83" xfId="0" applyNumberFormat="1" applyFont="1" applyFill="1" applyBorder="1" applyAlignment="1" applyProtection="1">
      <alignment horizontal="center" vertical="center" wrapText="1"/>
      <protection locked="0"/>
    </xf>
    <xf numFmtId="166" fontId="6" fillId="0" borderId="62" xfId="0" applyNumberFormat="1" applyFont="1" applyFill="1" applyBorder="1" applyAlignment="1" applyProtection="1">
      <alignment horizontal="center" vertical="center" wrapText="1"/>
      <protection locked="0"/>
    </xf>
    <xf numFmtId="166" fontId="6" fillId="0" borderId="88" xfId="0" applyNumberFormat="1" applyFont="1" applyFill="1" applyBorder="1" applyAlignment="1" applyProtection="1">
      <alignment horizontal="center" vertical="center" wrapText="1"/>
      <protection locked="0"/>
    </xf>
    <xf numFmtId="166" fontId="6" fillId="0" borderId="47" xfId="0" applyNumberFormat="1" applyFont="1" applyFill="1" applyBorder="1" applyAlignment="1" applyProtection="1">
      <alignment horizontal="center" vertical="center" wrapText="1"/>
      <protection locked="0"/>
    </xf>
    <xf numFmtId="166" fontId="6" fillId="0" borderId="5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4" fillId="0" borderId="31" xfId="0" applyFont="1" applyFill="1" applyBorder="1" applyAlignment="1" applyProtection="1">
      <alignment horizontal="right"/>
      <protection locked="0"/>
    </xf>
    <xf numFmtId="0" fontId="6" fillId="0" borderId="72" xfId="0" applyFont="1" applyFill="1" applyBorder="1" applyAlignment="1" applyProtection="1">
      <alignment horizontal="center" vertical="center" wrapText="1"/>
      <protection locked="0"/>
    </xf>
    <xf numFmtId="0" fontId="6" fillId="0" borderId="8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0" borderId="6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72"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12" fillId="0" borderId="59" xfId="0" applyFont="1" applyFill="1" applyBorder="1" applyAlignment="1" applyProtection="1">
      <alignment horizontal="left" vertical="center"/>
      <protection/>
    </xf>
    <xf numFmtId="0" fontId="12" fillId="0" borderId="33" xfId="0" applyFont="1" applyFill="1" applyBorder="1" applyAlignment="1" applyProtection="1">
      <alignment horizontal="left" vertical="center"/>
      <protection/>
    </xf>
    <xf numFmtId="0" fontId="6" fillId="0" borderId="72" xfId="0" applyFont="1" applyFill="1" applyBorder="1" applyAlignment="1" applyProtection="1">
      <alignment horizontal="left" vertical="center" wrapText="1"/>
      <protection/>
    </xf>
    <xf numFmtId="0" fontId="6" fillId="0" borderId="61"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3" fillId="0" borderId="59"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13" fillId="0" borderId="61" xfId="0" applyFont="1" applyFill="1" applyBorder="1" applyAlignment="1">
      <alignment horizontal="justify" vertical="center" wrapText="1"/>
    </xf>
    <xf numFmtId="0" fontId="8" fillId="0" borderId="0" xfId="0" applyFont="1" applyFill="1" applyAlignment="1" applyProtection="1">
      <alignment horizontal="right" vertical="center" wrapText="1"/>
      <protection locked="0"/>
    </xf>
    <xf numFmtId="0" fontId="6" fillId="0" borderId="59" xfId="0" applyFont="1" applyFill="1" applyBorder="1" applyAlignment="1">
      <alignment horizontal="left" vertical="center" indent="2"/>
    </xf>
    <xf numFmtId="0" fontId="6" fillId="0" borderId="33" xfId="0" applyFont="1" applyFill="1" applyBorder="1" applyAlignment="1">
      <alignment horizontal="left" vertical="center" indent="2"/>
    </xf>
    <xf numFmtId="0" fontId="8" fillId="0" borderId="0" xfId="0" applyFont="1" applyFill="1" applyAlignment="1" applyProtection="1">
      <alignment horizontal="right"/>
      <protection locked="0"/>
    </xf>
    <xf numFmtId="0" fontId="5" fillId="0" borderId="0" xfId="0" applyFont="1" applyFill="1" applyAlignment="1" applyProtection="1">
      <alignment horizontal="center"/>
      <protection locked="0"/>
    </xf>
    <xf numFmtId="0" fontId="12" fillId="0" borderId="86" xfId="0"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86"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4" xfId="0" applyFont="1" applyFill="1" applyBorder="1" applyAlignment="1">
      <alignment horizontal="center" vertical="center"/>
    </xf>
    <xf numFmtId="0" fontId="33" fillId="0" borderId="24" xfId="63" applyFont="1" applyFill="1" applyBorder="1" applyAlignment="1" applyProtection="1">
      <alignment horizontal="center" vertical="center" wrapText="1"/>
      <protection locked="0"/>
    </xf>
    <xf numFmtId="0" fontId="33" fillId="0" borderId="16" xfId="63" applyFont="1" applyFill="1" applyBorder="1" applyAlignment="1" applyProtection="1">
      <alignment horizontal="center" vertical="center" wrapText="1"/>
      <protection locked="0"/>
    </xf>
    <xf numFmtId="0" fontId="33" fillId="0" borderId="18" xfId="63" applyFont="1" applyFill="1" applyBorder="1" applyAlignment="1" applyProtection="1">
      <alignment horizontal="center" vertical="center" wrapText="1"/>
      <protection locked="0"/>
    </xf>
    <xf numFmtId="0" fontId="20" fillId="0" borderId="25" xfId="62" applyFont="1" applyFill="1" applyBorder="1" applyAlignment="1" applyProtection="1">
      <alignment horizontal="center" vertical="center" textRotation="90"/>
      <protection locked="0"/>
    </xf>
    <xf numFmtId="0" fontId="20" fillId="0" borderId="10" xfId="62" applyFont="1" applyFill="1" applyBorder="1" applyAlignment="1" applyProtection="1">
      <alignment horizontal="center" vertical="center" textRotation="90"/>
      <protection locked="0"/>
    </xf>
    <xf numFmtId="0" fontId="20" fillId="0" borderId="12" xfId="62" applyFont="1" applyFill="1" applyBorder="1" applyAlignment="1" applyProtection="1">
      <alignment horizontal="center" vertical="center" textRotation="90"/>
      <protection locked="0"/>
    </xf>
    <xf numFmtId="0" fontId="32" fillId="0" borderId="13" xfId="63" applyFont="1" applyFill="1" applyBorder="1" applyAlignment="1" applyProtection="1">
      <alignment horizontal="center" vertical="center" wrapText="1"/>
      <protection locked="0"/>
    </xf>
    <xf numFmtId="0" fontId="32" fillId="0" borderId="11" xfId="63" applyFont="1" applyFill="1" applyBorder="1" applyAlignment="1" applyProtection="1">
      <alignment horizontal="center" vertical="center" wrapText="1"/>
      <protection locked="0"/>
    </xf>
    <xf numFmtId="0" fontId="32" fillId="0" borderId="69" xfId="63" applyFont="1" applyFill="1" applyBorder="1" applyAlignment="1" applyProtection="1">
      <alignment horizontal="center" vertical="center" wrapText="1"/>
      <protection locked="0"/>
    </xf>
    <xf numFmtId="0" fontId="32" fillId="0" borderId="68" xfId="63" applyFont="1" applyFill="1" applyBorder="1" applyAlignment="1" applyProtection="1">
      <alignment horizontal="center" vertical="center" wrapText="1"/>
      <protection locked="0"/>
    </xf>
    <xf numFmtId="0" fontId="32" fillId="0" borderId="11" xfId="63" applyFont="1" applyFill="1" applyBorder="1" applyAlignment="1" applyProtection="1">
      <alignment horizontal="center" wrapText="1"/>
      <protection locked="0"/>
    </xf>
    <xf numFmtId="0" fontId="32" fillId="0" borderId="26" xfId="63" applyFont="1" applyFill="1" applyBorder="1" applyAlignment="1" applyProtection="1">
      <alignment horizontal="center" wrapText="1"/>
      <protection locked="0"/>
    </xf>
    <xf numFmtId="0" fontId="25" fillId="0" borderId="0" xfId="63" applyFont="1" applyFill="1" applyAlignment="1" applyProtection="1">
      <alignment horizontal="left"/>
      <protection/>
    </xf>
    <xf numFmtId="0" fontId="28" fillId="0" borderId="0" xfId="63" applyFont="1" applyFill="1" applyAlignment="1" applyProtection="1">
      <alignment horizontal="right"/>
      <protection locked="0"/>
    </xf>
    <xf numFmtId="0" fontId="30" fillId="0" borderId="0" xfId="63" applyFont="1" applyFill="1" applyAlignment="1" applyProtection="1">
      <alignment horizontal="center"/>
      <protection locked="0"/>
    </xf>
    <xf numFmtId="0" fontId="3" fillId="0" borderId="0" xfId="0" applyFont="1" applyAlignment="1">
      <alignment horizontal="center"/>
    </xf>
    <xf numFmtId="0" fontId="30" fillId="0" borderId="0" xfId="63" applyFont="1" applyFill="1" applyAlignment="1" applyProtection="1">
      <alignment horizontal="center" vertical="center" wrapText="1"/>
      <protection locked="0"/>
    </xf>
    <xf numFmtId="0" fontId="30" fillId="0" borderId="0" xfId="63" applyFont="1" applyFill="1" applyAlignment="1" applyProtection="1">
      <alignment horizontal="center" vertical="center"/>
      <protection locked="0"/>
    </xf>
    <xf numFmtId="0" fontId="32" fillId="0" borderId="0" xfId="63" applyFont="1" applyFill="1" applyBorder="1" applyAlignment="1" applyProtection="1">
      <alignment horizontal="right"/>
      <protection locked="0"/>
    </xf>
    <xf numFmtId="0" fontId="25" fillId="0" borderId="0" xfId="63" applyFont="1" applyFill="1" applyAlignment="1" applyProtection="1">
      <alignment horizontal="center"/>
      <protection/>
    </xf>
    <xf numFmtId="0" fontId="8" fillId="0" borderId="0" xfId="62" applyFont="1" applyFill="1" applyAlignment="1" applyProtection="1">
      <alignment horizontal="right" vertical="center" wrapText="1"/>
      <protection locked="0"/>
    </xf>
    <xf numFmtId="0" fontId="0" fillId="0" borderId="0" xfId="62" applyFill="1" applyAlignment="1" applyProtection="1">
      <alignment horizontal="right" vertical="center" wrapText="1"/>
      <protection locked="0"/>
    </xf>
    <xf numFmtId="0" fontId="5" fillId="0" borderId="0" xfId="62" applyFont="1" applyFill="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0" xfId="62" applyFont="1" applyFill="1" applyAlignment="1" applyProtection="1">
      <alignment horizontal="center" vertical="center" wrapText="1"/>
      <protection locked="0"/>
    </xf>
    <xf numFmtId="0" fontId="20" fillId="0" borderId="0" xfId="62" applyFont="1" applyFill="1" applyBorder="1" applyAlignment="1" applyProtection="1">
      <alignment horizontal="right" vertical="center"/>
      <protection locked="0"/>
    </xf>
    <xf numFmtId="0" fontId="5" fillId="0" borderId="20" xfId="62" applyFont="1" applyFill="1" applyBorder="1" applyAlignment="1" applyProtection="1">
      <alignment horizontal="center" vertical="center" wrapText="1"/>
      <protection locked="0"/>
    </xf>
    <xf numFmtId="0" fontId="5" fillId="0" borderId="17" xfId="62" applyFont="1" applyFill="1" applyBorder="1" applyAlignment="1" applyProtection="1">
      <alignment horizontal="center" vertical="center" wrapText="1"/>
      <protection locked="0"/>
    </xf>
    <xf numFmtId="0" fontId="20" fillId="0" borderId="13" xfId="62" applyFont="1" applyFill="1" applyBorder="1" applyAlignment="1" applyProtection="1">
      <alignment horizontal="center" vertical="center" textRotation="90"/>
      <protection locked="0"/>
    </xf>
    <xf numFmtId="0" fontId="20" fillId="0" borderId="11" xfId="62" applyFont="1" applyFill="1" applyBorder="1" applyAlignment="1" applyProtection="1">
      <alignment horizontal="center" vertical="center" textRotation="90"/>
      <protection locked="0"/>
    </xf>
    <xf numFmtId="0" fontId="4" fillId="0" borderId="45" xfId="62" applyFont="1" applyFill="1" applyBorder="1" applyAlignment="1" applyProtection="1">
      <alignment horizontal="center" vertical="center" wrapText="1"/>
      <protection locked="0"/>
    </xf>
    <xf numFmtId="0" fontId="4" fillId="0" borderId="26" xfId="62" applyFont="1" applyFill="1" applyBorder="1" applyAlignment="1" applyProtection="1">
      <alignment horizontal="center" vertical="center"/>
      <protection locked="0"/>
    </xf>
    <xf numFmtId="0" fontId="30" fillId="0" borderId="0" xfId="63" applyFont="1" applyFill="1" applyAlignment="1">
      <alignment horizontal="center" vertical="center" wrapText="1"/>
      <protection/>
    </xf>
    <xf numFmtId="0" fontId="30" fillId="0" borderId="0" xfId="63" applyFont="1" applyFill="1" applyAlignment="1">
      <alignment horizontal="center" vertical="center"/>
      <protection/>
    </xf>
    <xf numFmtId="0" fontId="15" fillId="0" borderId="59" xfId="63" applyFont="1" applyFill="1" applyBorder="1" applyAlignment="1">
      <alignment horizontal="left"/>
      <protection/>
    </xf>
    <xf numFmtId="0" fontId="15" fillId="0" borderId="33" xfId="63" applyFont="1" applyFill="1" applyBorder="1" applyAlignment="1">
      <alignment horizontal="left"/>
      <protection/>
    </xf>
    <xf numFmtId="3" fontId="25" fillId="0" borderId="0" xfId="63" applyNumberFormat="1" applyFont="1" applyFill="1" applyAlignment="1">
      <alignment horizontal="center"/>
      <protection/>
    </xf>
    <xf numFmtId="0" fontId="28" fillId="0" borderId="0" xfId="63" applyFont="1" applyFill="1" applyAlignment="1">
      <alignment horizontal="right"/>
      <protection/>
    </xf>
    <xf numFmtId="0" fontId="30" fillId="0" borderId="0" xfId="63" applyFont="1" applyFill="1" applyAlignment="1">
      <alignment horizontal="center"/>
      <protection/>
    </xf>
    <xf numFmtId="0" fontId="8" fillId="0" borderId="0" xfId="0" applyFont="1" applyAlignment="1" applyProtection="1">
      <alignment horizontal="center" textRotation="180"/>
      <protection locked="0"/>
    </xf>
    <xf numFmtId="0" fontId="39" fillId="0" borderId="22" xfId="0" applyFont="1" applyBorder="1" applyAlignment="1" applyProtection="1">
      <alignment wrapText="1"/>
      <protection/>
    </xf>
    <xf numFmtId="0" fontId="39" fillId="0" borderId="23" xfId="0" applyFont="1" applyBorder="1" applyAlignment="1" applyProtection="1">
      <alignment wrapText="1"/>
      <protection/>
    </xf>
    <xf numFmtId="0" fontId="39" fillId="0" borderId="0" xfId="0" applyFont="1" applyAlignment="1" applyProtection="1">
      <alignment horizontal="center"/>
      <protection locked="0"/>
    </xf>
    <xf numFmtId="0" fontId="5" fillId="0" borderId="0" xfId="0" applyFont="1" applyFill="1" applyAlignment="1" applyProtection="1">
      <alignment horizontal="center" vertical="top" wrapText="1"/>
      <protection locked="0"/>
    </xf>
    <xf numFmtId="0" fontId="8" fillId="0" borderId="0" xfId="0" applyFont="1" applyAlignment="1">
      <alignment horizontal="right"/>
    </xf>
  </cellXfs>
  <cellStyles count="5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Figyelmeztetés" xfId="44"/>
    <cellStyle name="Hiperhivatkozás" xfId="45"/>
    <cellStyle name="Hyperlink" xfId="46"/>
    <cellStyle name="Hivatkozott cella"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Már látott hiperhivatkozás" xfId="59"/>
    <cellStyle name="Normál 2" xfId="60"/>
    <cellStyle name="Normál_KVRENMUNKA" xfId="61"/>
    <cellStyle name="Normál_VAGYONK" xfId="62"/>
    <cellStyle name="Normál_VAGYONKIM" xfId="63"/>
    <cellStyle name="Összesen" xfId="64"/>
    <cellStyle name="Currency" xfId="65"/>
    <cellStyle name="Currency [0]" xfId="66"/>
    <cellStyle name="Rossz" xfId="67"/>
    <cellStyle name="Semleges" xfId="68"/>
    <cellStyle name="Számítás" xfId="69"/>
    <cellStyle name="Percent" xfId="70"/>
    <cellStyle name="Százalék 2" xfId="71"/>
  </cellStyles>
  <dxfs count="5">
    <dxf>
      <font>
        <color indexed="10"/>
      </font>
    </dxf>
    <dxf>
      <font>
        <color indexed="10"/>
      </font>
    </dxf>
    <dxf>
      <font>
        <color rgb="FFFFC000"/>
      </font>
    </dxf>
    <dxf>
      <font>
        <color rgb="FFFFC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1</xdr:row>
      <xdr:rowOff>104775</xdr:rowOff>
    </xdr:from>
    <xdr:to>
      <xdr:col>22</xdr:col>
      <xdr:colOff>342900</xdr:colOff>
      <xdr:row>16</xdr:row>
      <xdr:rowOff>133350</xdr:rowOff>
    </xdr:to>
    <xdr:grpSp>
      <xdr:nvGrpSpPr>
        <xdr:cNvPr id="1" name="Csoportba foglalás 11"/>
        <xdr:cNvGrpSpPr>
          <a:grpSpLocks/>
        </xdr:cNvGrpSpPr>
      </xdr:nvGrpSpPr>
      <xdr:grpSpPr>
        <a:xfrm>
          <a:off x="10277475" y="266700"/>
          <a:ext cx="6315075" cy="2705100"/>
          <a:chOff x="7866063" y="158750"/>
          <a:chExt cx="4900613" cy="2651125"/>
        </a:xfrm>
        <a:solidFill>
          <a:srgbClr val="FFFFFF"/>
        </a:solidFill>
      </xdr:grpSpPr>
      <xdr:sp>
        <xdr:nvSpPr>
          <xdr:cNvPr id="2" name="Beszédbuborék: négyszög 2"/>
          <xdr:cNvSpPr>
            <a:spLocks/>
          </xdr:cNvSpPr>
        </xdr:nvSpPr>
        <xdr:spPr>
          <a:xfrm>
            <a:off x="7866063" y="158750"/>
            <a:ext cx="4900613" cy="2651125"/>
          </a:xfrm>
          <a:prstGeom prst="wedgeRectCallout">
            <a:avLst>
              <a:gd name="adj1" fmla="val -61513"/>
              <a:gd name="adj2" fmla="val 9032"/>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Teendő:
</a:t>
            </a:r>
            <a:r>
              <a:rPr lang="en-US" cap="none" sz="1100" b="0" i="0" u="none" baseline="0">
                <a:solidFill>
                  <a:srgbClr val="FFFFFF"/>
                </a:solidFill>
              </a:rPr>
              <a:t>Ha nem a székhely</a:t>
            </a:r>
            <a:r>
              <a:rPr lang="en-US" cap="none" sz="1100" b="0" i="0" u="none" baseline="0">
                <a:solidFill>
                  <a:srgbClr val="FFFFFF"/>
                </a:solidFill>
              </a:rPr>
              <a:t> szerinti önkormányzatra készülnek a táblázatok, kattintson ide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,ha</a:t>
            </a:r>
            <a:r>
              <a:rPr lang="en-US" cap="none" sz="1100" b="0" i="0" u="none" baseline="0">
                <a:solidFill>
                  <a:srgbClr val="FFFFFF"/>
                </a:solidFill>
              </a:rPr>
              <a:t> feljön az "Igen" és "Nem" akkor kattintson a "Nem"-re. Ezt csak a  közös hivatallal rendelkező önkormányzatok esetében kell megtenni, polgármesteri hivatalok esetében minditg az alaphelyzetet (Igen) kell meghagyni!
</a:t>
            </a:r>
            <a:r>
              <a:rPr lang="en-US" cap="none" sz="1100" b="1" i="0" u="none" baseline="0">
                <a:solidFill>
                  <a:srgbClr val="FFFFFF"/>
                </a:solidFill>
              </a:rPr>
              <a:t>Magyarázat:
</a:t>
            </a:r>
            <a:r>
              <a:rPr lang="en-US" cap="none" sz="1100" b="0" i="0" u="none" baseline="0">
                <a:solidFill>
                  <a:srgbClr val="FFFFFF"/>
                </a:solidFill>
              </a:rPr>
              <a:t>Csak székhellyel rendelkező önkormányzatnál lehet közös hivatal, a többinél nem. ezért abban az esetben , ha másik önkormányzat táblázatait készítik az Igen-ről Nem-re történő váltásra azért van szükség, hogy a 6.1 (Önkormányzati táblázatok) melléklet számai után a költségvetési szervek melléklet számai 6.2.-vel folytatódjanak. A közös hivatal táblázatai továbbra is megmaradnak, de azokat ebben az esetben nem kell kinyomtatni. </a:t>
            </a:r>
          </a:p>
        </xdr:txBody>
      </xdr:sp>
      <xdr:pic>
        <xdr:nvPicPr>
          <xdr:cNvPr id="3" name="Kép 3"/>
          <xdr:cNvPicPr preferRelativeResize="1">
            <a:picLocks noChangeAspect="1"/>
          </xdr:cNvPicPr>
        </xdr:nvPicPr>
        <xdr:blipFill>
          <a:blip r:embed="rId1"/>
          <a:srcRect l="21466" t="43756" r="75947" b="52978"/>
          <a:stretch>
            <a:fillRect/>
          </a:stretch>
        </xdr:blipFill>
        <xdr:spPr>
          <a:xfrm>
            <a:off x="7953049" y="525268"/>
            <a:ext cx="1358695" cy="511667"/>
          </a:xfrm>
          <a:prstGeom prst="rect">
            <a:avLst/>
          </a:prstGeom>
          <a:noFill/>
          <a:ln w="9525" cmpd="sng">
            <a:noFill/>
          </a:ln>
        </xdr:spPr>
      </xdr:pic>
      <xdr:sp>
        <xdr:nvSpPr>
          <xdr:cNvPr id="4" name="Nyíl: balra mutató 4"/>
          <xdr:cNvSpPr>
            <a:spLocks/>
          </xdr:cNvSpPr>
        </xdr:nvSpPr>
        <xdr:spPr>
          <a:xfrm>
            <a:off x="9148798" y="661138"/>
            <a:ext cx="817177" cy="269752"/>
          </a:xfrm>
          <a:prstGeom prst="leftArrow">
            <a:avLst>
              <a:gd name="adj" fmla="val -33486"/>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grpSp>
    <xdr:clientData/>
  </xdr:twoCellAnchor>
  <xdr:twoCellAnchor>
    <xdr:from>
      <xdr:col>13</xdr:col>
      <xdr:colOff>200025</xdr:colOff>
      <xdr:row>17</xdr:row>
      <xdr:rowOff>28575</xdr:rowOff>
    </xdr:from>
    <xdr:to>
      <xdr:col>22</xdr:col>
      <xdr:colOff>342900</xdr:colOff>
      <xdr:row>23</xdr:row>
      <xdr:rowOff>161925</xdr:rowOff>
    </xdr:to>
    <xdr:sp>
      <xdr:nvSpPr>
        <xdr:cNvPr id="5" name="Téglalap 5"/>
        <xdr:cNvSpPr>
          <a:spLocks/>
        </xdr:cNvSpPr>
      </xdr:nvSpPr>
      <xdr:spPr>
        <a:xfrm>
          <a:off x="10277475" y="3048000"/>
          <a:ext cx="6315075" cy="12192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 Z_1.1.sz.mell.</a:t>
          </a:r>
          <a:r>
            <a:rPr lang="en-US" cap="none" sz="1100" b="0" i="0" u="none" baseline="0">
              <a:solidFill>
                <a:srgbClr val="FFFFFF"/>
              </a:solidFill>
            </a:rPr>
            <a:t> fülnél a </a:t>
          </a:r>
          <a:r>
            <a:rPr lang="en-US" cap="none" sz="1100" b="1" i="1" u="none" baseline="0">
              <a:solidFill>
                <a:srgbClr val="FFFFFF"/>
              </a:solidFill>
            </a:rPr>
            <a:t>4. Közhatalmi bevételek </a:t>
          </a:r>
          <a:r>
            <a:rPr lang="en-US" cap="none" sz="1100" b="0" i="0" u="none" baseline="0">
              <a:solidFill>
                <a:srgbClr val="FFFFFF"/>
              </a:solidFill>
            </a:rPr>
            <a:t>bevételi jogcímei, abban az esetben ha az önkormányzatnál más bevételi jogcímek is előfordulnak, akkor bármelyik bevételi jogcím átírható arra, amit szerepeltetni szeretne az önkormányzat. 
</a:t>
          </a:r>
          <a:r>
            <a:rPr lang="en-US" cap="none" sz="1100" b="1" i="0" u="none" baseline="0">
              <a:solidFill>
                <a:srgbClr val="FFFFFF"/>
              </a:solidFill>
            </a:rPr>
            <a:t>Ezt csak a Z_1.1.sz.mell. fülnél kell elvégzeni, a többi táblázat automatikusan javítódik!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zoomScale="120" zoomScaleNormal="120" zoomScalePageLayoutView="0" workbookViewId="0" topLeftCell="A10">
      <selection activeCell="C36" sqref="C36"/>
    </sheetView>
  </sheetViews>
  <sheetFormatPr defaultColWidth="9.00390625" defaultRowHeight="12.75"/>
  <cols>
    <col min="1" max="1" width="34.875" style="0" customWidth="1"/>
    <col min="2" max="2" width="91.125" style="0" customWidth="1"/>
    <col min="3" max="3" width="35.375" style="0" customWidth="1"/>
  </cols>
  <sheetData>
    <row r="1" ht="12.75">
      <c r="A1" s="736">
        <v>2019</v>
      </c>
    </row>
    <row r="2" spans="1:3" ht="18.75">
      <c r="A2" s="781" t="s">
        <v>777</v>
      </c>
      <c r="B2" s="781"/>
      <c r="C2" s="781"/>
    </row>
    <row r="3" spans="1:3" ht="15">
      <c r="A3" s="656"/>
      <c r="B3" s="657"/>
      <c r="C3" s="656"/>
    </row>
    <row r="4" spans="1:3" ht="14.25">
      <c r="A4" s="658" t="s">
        <v>778</v>
      </c>
      <c r="B4" s="659" t="s">
        <v>779</v>
      </c>
      <c r="C4" s="658" t="s">
        <v>780</v>
      </c>
    </row>
    <row r="5" spans="1:3" ht="12.75">
      <c r="A5" s="660"/>
      <c r="B5" s="660"/>
      <c r="C5" s="660"/>
    </row>
    <row r="6" spans="1:3" ht="18.75">
      <c r="A6" s="782" t="s">
        <v>812</v>
      </c>
      <c r="B6" s="782"/>
      <c r="C6" s="782"/>
    </row>
    <row r="7" spans="1:3" ht="12.75">
      <c r="A7" s="660" t="s">
        <v>781</v>
      </c>
      <c r="B7" s="660" t="s">
        <v>782</v>
      </c>
      <c r="C7" s="661" t="str">
        <f ca="1">HYPERLINK(SUBSTITUTE(CELL("address",Z_ALAPADATOK!A1),"'",""),SUBSTITUTE(MID(CELL("address",Z_ALAPADATOK!A1),SEARCH("]",CELL("address",Z_ALAPADATOK!A1),1)+1,LEN(CELL("address",Z_ALAPADATOK!A1))-SEARCH("]",CELL("address",Z_ALAPADATOK!A1),1)),"'",""))</f>
        <v>Z_ALAPADATOK!$A$1</v>
      </c>
    </row>
    <row r="8" spans="1:3" ht="12.75">
      <c r="A8" s="660" t="s">
        <v>783</v>
      </c>
      <c r="B8" s="660" t="s">
        <v>820</v>
      </c>
      <c r="C8" s="661" t="str">
        <f ca="1">HYPERLINK(SUBSTITUTE(CELL("address",Z_ÖSSZEFÜGGÉSEK!A1),"'",""),SUBSTITUTE(MID(CELL("address",Z_ÖSSZEFÜGGÉSEK!A1),SEARCH("]",CELL("address",Z_ÖSSZEFÜGGÉSEK!A1),1)+1,LEN(CELL("address",Z_ÖSSZEFÜGGÉSEK!A1))-SEARCH("]",CELL("address",Z_ÖSSZEFÜGGÉSEK!A1),1)),"'",""))</f>
        <v>Z_ÖSSZEFÜGGÉSEK!$A$1</v>
      </c>
    </row>
    <row r="9" spans="1:3" ht="12.75">
      <c r="A9" s="660" t="s">
        <v>784</v>
      </c>
      <c r="B9" s="660" t="str">
        <f>CONCATENATE(LOWER('Z_1.1.sz.mell.'!A3))</f>
        <v>2019. évi zárszámadásának pénzügyi mérlege</v>
      </c>
      <c r="C9" s="661" t="str">
        <f ca="1">HYPERLINK(SUBSTITUTE(CELL("address",'Z_1.1.sz.mell.'!A1),"'",""),SUBSTITUTE(MID(CELL("address",'Z_1.1.sz.mell.'!A1),SEARCH("]",CELL("address",'Z_1.1.sz.mell.'!A1),1)+1,LEN(CELL("address",'Z_1.1.sz.mell.'!A1))-SEARCH("]",CELL("address",'Z_1.1.sz.mell.'!A1),1)),"'",""))</f>
        <v>Z_1.1.sz.mell.!$A$1</v>
      </c>
    </row>
    <row r="10" spans="1:3" ht="12.75">
      <c r="A10" s="660" t="s">
        <v>785</v>
      </c>
      <c r="B10" s="660" t="str">
        <f>'Z_1.2.sz.mell.'!A3</f>
        <v>2019. ÉVI ZÁRSZÁMADÁS</v>
      </c>
      <c r="C10" s="661" t="str">
        <f ca="1">HYPERLINK(SUBSTITUTE(CELL("address",'Z_1.2.sz.mell.'!A1),"'",""),SUBSTITUTE(MID(CELL("address",'Z_1.2.sz.mell.'!A1),SEARCH("]",CELL("address",'Z_1.2.sz.mell.'!A1),1)+1,LEN(CELL("address",'Z_1.2.sz.mell.'!A1))-SEARCH("]",CELL("address",'Z_1.2.sz.mell.'!A1),1)),"'",""))</f>
        <v>Z_1.2.sz.mell.!$A$1</v>
      </c>
    </row>
    <row r="11" spans="1:3" ht="12.75">
      <c r="A11" s="660" t="s">
        <v>786</v>
      </c>
      <c r="B11" s="660" t="str">
        <f>'Z_1.3.sz.mell.'!A3</f>
        <v>2019. ÉVI ZÁRSZÁMADÁS</v>
      </c>
      <c r="C11" s="661" t="str">
        <f ca="1">HYPERLINK(SUBSTITUTE(CELL("address",'Z_1.3.sz.mell.'!A1),"'",""),SUBSTITUTE(MID(CELL("address",'Z_1.3.sz.mell.'!A1),SEARCH("]",CELL("address",'Z_1.3.sz.mell.'!A1),1)+1,LEN(CELL("address",'Z_1.3.sz.mell.'!A1))-SEARCH("]",CELL("address",'Z_1.3.sz.mell.'!A1),1)),"'",""))</f>
        <v>Z_1.3.sz.mell.!$A$1</v>
      </c>
    </row>
    <row r="12" spans="1:3" ht="12.75">
      <c r="A12" s="660" t="s">
        <v>787</v>
      </c>
      <c r="B12" s="660" t="str">
        <f>'Z_1.4.sz.mell.'!A3</f>
        <v>2019. ÉVI ZÁRSZÁMADÁS</v>
      </c>
      <c r="C12" s="661" t="str">
        <f ca="1">HYPERLINK(SUBSTITUTE(CELL("address",'Z_1.4.sz.mell.'!A1),"'",""),SUBSTITUTE(MID(CELL("address",'Z_1.4.sz.mell.'!A1),SEARCH("]",CELL("address",'Z_1.4.sz.mell.'!A1),1)+1,LEN(CELL("address",'Z_1.4.sz.mell.'!A1))-SEARCH("]",CELL("address",'Z_1.4.sz.mell.'!A1),1)),"'",""))</f>
        <v>Z_1.4.sz.mell.!$A$1</v>
      </c>
    </row>
    <row r="13" spans="1:3" ht="12.75">
      <c r="A13" s="660" t="s">
        <v>512</v>
      </c>
      <c r="B13" s="660" t="s">
        <v>788</v>
      </c>
      <c r="C13" s="661" t="str">
        <f ca="1">HYPERLINK(SUBSTITUTE(CELL("address",'Z_2.1.sz.mell'!A1),"'",""),SUBSTITUTE(MID(CELL("address",'Z_2.1.sz.mell'!A1),SEARCH("]",CELL("address",'Z_2.1.sz.mell'!A1),1)+1,LEN(CELL("address",'Z_2.1.sz.mell'!A1))-SEARCH("]",CELL("address",'Z_2.1.sz.mell'!A1),1)),"'",""))</f>
        <v>Z_2.1.sz.mell!$A$1</v>
      </c>
    </row>
    <row r="14" spans="1:3" ht="12.75">
      <c r="A14" s="660" t="s">
        <v>424</v>
      </c>
      <c r="B14" s="660" t="s">
        <v>789</v>
      </c>
      <c r="C14" s="661" t="str">
        <f ca="1">HYPERLINK(SUBSTITUTE(CELL("address",'Z_2.2.sz.mell'!A1),"'",""),SUBSTITUTE(MID(CELL("address",'Z_2.2.sz.mell'!A1),SEARCH("]",CELL("address",'Z_2.2.sz.mell'!A1),1)+1,LEN(CELL("address",'Z_2.2.sz.mell'!A1))-SEARCH("]",CELL("address",'Z_2.2.sz.mell'!A1),1)),"'",""))</f>
        <v>Z_2.2.sz.mell!$A$1</v>
      </c>
    </row>
    <row r="15" spans="1:3" ht="12.75">
      <c r="A15" s="660" t="s">
        <v>790</v>
      </c>
      <c r="B15" s="660" t="s">
        <v>791</v>
      </c>
      <c r="C15" s="661" t="str">
        <f ca="1">HYPERLINK(SUBSTITUTE(CELL("address",Z_ELLENŐRZÉS!A1),"'",""),SUBSTITUTE(MID(CELL("address",Z_ELLENŐRZÉS!A1),SEARCH("]",CELL("address",Z_ELLENŐRZÉS!A1),1)+1,LEN(CELL("address",Z_ELLENŐRZÉS!A1))-SEARCH("]",CELL("address",Z_ELLENŐRZÉS!A1),1)),"'",""))</f>
        <v>Z_ELLENŐRZÉS!$A$1</v>
      </c>
    </row>
    <row r="16" spans="1:3" ht="12.75">
      <c r="A16" s="660" t="s">
        <v>792</v>
      </c>
      <c r="B16" s="660" t="s">
        <v>793</v>
      </c>
      <c r="C16" s="661" t="str">
        <f ca="1">HYPERLINK(SUBSTITUTE(CELL("address",'Z_3.sz.mell.'!A1),"'",""),SUBSTITUTE(MID(CELL("address",'Z_3.sz.mell.'!A1),SEARCH("]",CELL("address",'Z_3.sz.mell.'!A1),1)+1,LEN(CELL("address",'Z_3.sz.mell.'!A1))-SEARCH("]",CELL("address",'Z_3.sz.mell.'!A1),1)),"'",""))</f>
        <v>Z_3.sz.mell.!$A$1</v>
      </c>
    </row>
    <row r="17" spans="1:3" ht="12.75">
      <c r="A17" s="660" t="s">
        <v>794</v>
      </c>
      <c r="B17" s="660" t="s">
        <v>795</v>
      </c>
      <c r="C17" s="661" t="str">
        <f ca="1">HYPERLINK(SUBSTITUTE(CELL("address",'Z_4.sz.mell.'!A1),"'",""),SUBSTITUTE(MID(CELL("address",'Z_4.sz.mell.'!A1),SEARCH("]",CELL("address",'Z_4.sz.mell.'!A1),1)+1,LEN(CELL("address",'Z_4.sz.mell.'!A1))-SEARCH("]",CELL("address",'Z_4.sz.mell.'!A1),1)),"'",""))</f>
        <v>Z_4.sz.mell.!$A$1</v>
      </c>
    </row>
    <row r="18" spans="1:3" ht="12.75">
      <c r="A18" s="660" t="s">
        <v>796</v>
      </c>
      <c r="B18" s="660" t="str">
        <f>'Z_5.sz.mell.'!A9</f>
        <v>Európai uniós támogatással megvalósuló projektek</v>
      </c>
      <c r="C18" s="661" t="str">
        <f ca="1">HYPERLINK(SUBSTITUTE(CELL("address",'Z_5.sz.mell.'!A1),"'",""),SUBSTITUTE(MID(CELL("address",'Z_5.sz.mell.'!A1),SEARCH("]",CELL("address",'Z_5.sz.mell.'!A1),1)+1,LEN(CELL("address",'Z_5.sz.mell.'!A1))-SEARCH("]",CELL("address",'Z_5.sz.mell.'!A1),1)),"'",""))</f>
        <v>Z_5.sz.mell.!$A$1</v>
      </c>
    </row>
    <row r="19" spans="1:3" ht="12.75">
      <c r="A19" s="660" t="s">
        <v>519</v>
      </c>
      <c r="B19" s="660" t="s">
        <v>797</v>
      </c>
      <c r="C19" s="661" t="str">
        <f ca="1">HYPERLINK(SUBSTITUTE(CELL("address",'Z_6.1.sz.mell'!A1),"'",""),SUBSTITUTE(MID(CELL("address",'Z_6.1.sz.mell'!A1),SEARCH("]",CELL("address",'Z_6.1.sz.mell'!A1),1)+1,LEN(CELL("address",'Z_6.1.sz.mell'!A1))-SEARCH("]",CELL("address",'Z_6.1.sz.mell'!A1),1)),"'",""))</f>
        <v>Z_6.1.sz.mell!$A$1</v>
      </c>
    </row>
    <row r="20" spans="1:3" ht="12.75">
      <c r="A20" s="660" t="s">
        <v>451</v>
      </c>
      <c r="B20" s="660" t="s">
        <v>798</v>
      </c>
      <c r="C20" s="661" t="str">
        <f ca="1">HYPERLINK(SUBSTITUTE(CELL("address",'Z_6.1.1.sz.mell'!A1),"'",""),SUBSTITUTE(MID(CELL("address",'Z_6.1.1.sz.mell'!A1),SEARCH("]",CELL("address",'Z_6.1.1.sz.mell'!A1),1)+1,LEN(CELL("address",'Z_6.1.1.sz.mell'!A1))-SEARCH("]",CELL("address",'Z_6.1.1.sz.mell'!A1),1)),"'",""))</f>
        <v>Z_6.1.1.sz.mell!$A$1</v>
      </c>
    </row>
    <row r="21" spans="1:3" ht="12.75">
      <c r="A21" s="660" t="s">
        <v>452</v>
      </c>
      <c r="B21" s="660" t="s">
        <v>323</v>
      </c>
      <c r="C21" s="661" t="str">
        <f ca="1">HYPERLINK(SUBSTITUTE(CELL("address",'Z_6.1.2.sz.mell'!A1),"'",""),SUBSTITUTE(MID(CELL("address",'Z_6.1.2.sz.mell'!A1),SEARCH("]",CELL("address",'Z_6.1.2.sz.mell'!A1),1)+1,LEN(CELL("address",'Z_6.1.2.sz.mell'!A1))-SEARCH("]",CELL("address",'Z_6.1.2.sz.mell'!A1),1)),"'",""))</f>
        <v>Z_6.1.2.sz.mell!$A$1</v>
      </c>
    </row>
    <row r="22" spans="1:3" ht="12.75">
      <c r="A22" s="660" t="s">
        <v>799</v>
      </c>
      <c r="B22" s="660" t="s">
        <v>800</v>
      </c>
      <c r="C22" s="661" t="str">
        <f ca="1">HYPERLINK(SUBSTITUTE(CELL("address",'Z_6.1.3.sz.mell'!A1),"'",""),SUBSTITUTE(MID(CELL("address",'Z_6.1.3.sz.mell'!A1),SEARCH("]",CELL("address",'Z_6.1.3.sz.mell'!A1),1)+1,LEN(CELL("address",'Z_6.1.3.sz.mell'!A1))-SEARCH("]",CELL("address",'Z_6.1.3.sz.mell'!A1),1)),"'",""))</f>
        <v>Z_6.1.3.sz.mell!$A$1</v>
      </c>
    </row>
    <row r="23" spans="1:3" ht="12.75">
      <c r="A23" s="660" t="s">
        <v>801</v>
      </c>
      <c r="B23" s="660" t="str">
        <f>Z_ALAPADATOK!A11</f>
        <v>……………………. Polgármesteri /Közös Önkormányzati Hivatal</v>
      </c>
      <c r="C23" s="661" t="str">
        <f ca="1">HYPERLINK(SUBSTITUTE(CELL("address",'Z_6.2.sz.mell'!A1),"'",""),SUBSTITUTE(MID(CELL("address",'Z_6.2.sz.mell'!A1),SEARCH("]",CELL("address",'Z_6.2.sz.mell'!A1),1)+1,LEN(CELL("address",'Z_6.2.sz.mell'!A1))-SEARCH("]",CELL("address",'Z_6.2.sz.mell'!A1),1)),"'",""))</f>
        <v>Z_6.2.sz.mell!$A$1</v>
      </c>
    </row>
    <row r="24" spans="1:3" ht="12.75">
      <c r="A24" s="660" t="s">
        <v>802</v>
      </c>
      <c r="B24" t="str">
        <f>Z_ALAPADATOK!B13</f>
        <v>Kállósemjéni Polgármesteri Hivatal</v>
      </c>
      <c r="C24" s="661" t="str">
        <f ca="1">HYPERLINK(SUBSTITUTE(CELL("address",'Z_6.3.sz.mell'!A1),"'",""),SUBSTITUTE(MID(CELL("address",'Z_6.3.sz.mell'!A1),SEARCH("]",CELL("address",'Z_6.3.sz.mell'!A1),1)+1,LEN(CELL("address",'Z_6.3.sz.mell'!A1))-SEARCH("]",CELL("address",'Z_6.3.sz.mell'!A1),1)),"'",""))</f>
        <v>Z_6.3.sz.mell!$A$1</v>
      </c>
    </row>
    <row r="25" spans="1:3" ht="12.75">
      <c r="A25" s="660" t="s">
        <v>803</v>
      </c>
      <c r="B25" t="str">
        <f>Z_ALAPADATOK!B15</f>
        <v>Ficánka Óvoda, Mini Bölcsőde és Konyha</v>
      </c>
      <c r="C25" s="661" t="str">
        <f ca="1">HYPERLINK(SUBSTITUTE(CELL("address",'Z_6.4.sz.mell'!A1),"'",""),SUBSTITUTE(MID(CELL("address",'Z_6.4.sz.mell'!A1),SEARCH("]",CELL("address",'Z_6.4.sz.mell'!A1),1)+1,LEN(CELL("address",'Z_6.4.sz.mell'!A1))-SEARCH("]",CELL("address",'Z_6.4.sz.mell'!A1),1)),"'",""))</f>
        <v>Z_6.4.sz.mell!$A$1</v>
      </c>
    </row>
    <row r="26" spans="1:3" ht="12.75">
      <c r="A26" s="660" t="s">
        <v>804</v>
      </c>
      <c r="B26" t="str">
        <f>Z_ALAPADATOK!B17</f>
        <v>3 kvi név</v>
      </c>
      <c r="C26" s="661" t="e">
        <f ca="1">HYPERLINK(SUBSTITUTE(CELL("address",#REF!),"'",""),SUBSTITUTE(MID(CELL("address",#REF!),SEARCH("]",CELL("address",#REF!),1)+1,LEN(CELL("address",#REF!))-SEARCH("]",CELL("address",#REF!),1)),"'",""))</f>
        <v>#REF!</v>
      </c>
    </row>
    <row r="27" spans="1:3" ht="12.75">
      <c r="A27" s="660" t="s">
        <v>805</v>
      </c>
      <c r="B27" t="str">
        <f>Z_ALAPADATOK!B19</f>
        <v>4 kvi név</v>
      </c>
      <c r="C27" s="661" t="e">
        <f ca="1">HYPERLINK(SUBSTITUTE(CELL("address",#REF!),"'",""),SUBSTITUTE(MID(CELL("address",#REF!),SEARCH("]",CELL("address",#REF!),1)+1,LEN(CELL("address",#REF!))-SEARCH("]",CELL("address",#REF!),1)),"'",""))</f>
        <v>#REF!</v>
      </c>
    </row>
    <row r="28" spans="1:3" ht="12.75">
      <c r="A28" s="660" t="s">
        <v>806</v>
      </c>
      <c r="B28" t="str">
        <f>Z_ALAPADATOK!B21</f>
        <v>5 kvi név</v>
      </c>
      <c r="C28" s="661" t="e">
        <f ca="1">HYPERLINK(SUBSTITUTE(CELL("address",#REF!),"'",""),SUBSTITUTE(MID(CELL("address",#REF!),SEARCH("]",CELL("address",#REF!),1)+1,LEN(CELL("address",#REF!))-SEARCH("]",CELL("address",#REF!),1)),"'",""))</f>
        <v>#REF!</v>
      </c>
    </row>
    <row r="29" spans="1:3" ht="12.75">
      <c r="A29" s="660" t="s">
        <v>807</v>
      </c>
      <c r="B29" t="str">
        <f>Z_ALAPADATOK!B23</f>
        <v>6 kvi név</v>
      </c>
      <c r="C29" s="661" t="e">
        <f ca="1">HYPERLINK(SUBSTITUTE(CELL("address",#REF!),"'",""),SUBSTITUTE(MID(CELL("address",#REF!),SEARCH("]",CELL("address",#REF!),1)+1,LEN(CELL("address",#REF!))-SEARCH("]",CELL("address",#REF!),1)),"'",""))</f>
        <v>#REF!</v>
      </c>
    </row>
    <row r="30" spans="1:3" ht="12.75">
      <c r="A30" s="660" t="s">
        <v>808</v>
      </c>
      <c r="B30" t="str">
        <f>Z_ALAPADATOK!B25</f>
        <v>7 kvi név</v>
      </c>
      <c r="C30" s="661" t="e">
        <f ca="1">HYPERLINK(SUBSTITUTE(CELL("address",#REF!),"'",""),SUBSTITUTE(MID(CELL("address",#REF!),SEARCH("]",CELL("address",#REF!),1)+1,LEN(CELL("address",#REF!))-SEARCH("]",CELL("address",#REF!),1)),"'",""))</f>
        <v>#REF!</v>
      </c>
    </row>
    <row r="31" spans="1:3" ht="12.75">
      <c r="A31" s="660" t="s">
        <v>809</v>
      </c>
      <c r="B31" t="str">
        <f>Z_ALAPADATOK!B27</f>
        <v>8 kvi név</v>
      </c>
      <c r="C31" s="661" t="e">
        <f ca="1">HYPERLINK(SUBSTITUTE(CELL("address",#REF!),"'",""),SUBSTITUTE(MID(CELL("address",#REF!),SEARCH("]",CELL("address",#REF!),1)+1,LEN(CELL("address",#REF!))-SEARCH("]",CELL("address",#REF!),1)),"'",""))</f>
        <v>#REF!</v>
      </c>
    </row>
    <row r="32" spans="1:3" ht="12.75">
      <c r="A32" s="660" t="s">
        <v>810</v>
      </c>
      <c r="B32" t="str">
        <f>Z_ALAPADATOK!B29</f>
        <v>9 kvi név</v>
      </c>
      <c r="C32" s="661" t="e">
        <f ca="1">HYPERLINK(SUBSTITUTE(CELL("address",#REF!),"'",""),SUBSTITUTE(MID(CELL("address",#REF!),SEARCH("]",CELL("address",#REF!),1)+1,LEN(CELL("address",#REF!))-SEARCH("]",CELL("address",#REF!),1)),"'",""))</f>
        <v>#REF!</v>
      </c>
    </row>
    <row r="33" spans="1:3" ht="12.75">
      <c r="A33" s="660" t="s">
        <v>811</v>
      </c>
      <c r="B33" t="str">
        <f>Z_ALAPADATOK!B31</f>
        <v>10 kvi név</v>
      </c>
      <c r="C33" s="661" t="e">
        <f ca="1">HYPERLINK(SUBSTITUTE(CELL("address",#REF!),"'",""),SUBSTITUTE(MID(CELL("address",#REF!),SEARCH("]",CELL("address",#REF!),1)+1,LEN(CELL("address",#REF!))-SEARCH("]",CELL("address",#REF!),1)),"'",""))</f>
        <v>#REF!</v>
      </c>
    </row>
    <row r="34" spans="1:3" ht="12.75">
      <c r="A34" s="660" t="s">
        <v>835</v>
      </c>
      <c r="B34" t="str">
        <f>PROPER('Z_7.sz.mell'!A3)</f>
        <v>Költségvetési Szervek Maradványának Alakulása</v>
      </c>
      <c r="C34" s="661" t="str">
        <f ca="1">HYPERLINK(SUBSTITUTE(CELL("address",'Z_7.sz.mell'!A1),"'",""),SUBSTITUTE(MID(CELL("address",'Z_7.sz.mell'!A1),SEARCH("]",CELL("address",'Z_7.sz.mell'!A1),1)+1,LEN(CELL("address",'Z_7.sz.mell'!A1))-SEARCH("]",CELL("address",'Z_7.sz.mell'!A1),1)),"'",""))</f>
        <v>Z_7.sz.mell!$A$1</v>
      </c>
    </row>
    <row r="35" spans="1:3" ht="12.75">
      <c r="A35" s="660" t="s">
        <v>836</v>
      </c>
      <c r="B35" t="str">
        <f>'Z_8.sz.mell'!B1</f>
        <v>2019. évi általános működés és ágazati feladatok támogatásának alakulása jogcímenként</v>
      </c>
      <c r="C35" s="661" t="str">
        <f ca="1">HYPERLINK(SUBSTITUTE(CELL("address",'Z_8.sz.mell'!A1),"'",""),SUBSTITUTE(MID(CELL("address",'Z_8.sz.mell'!A1),SEARCH("]",CELL("address",'Z_8.sz.mell'!A1),1)+1,LEN(CELL("address",'Z_8.sz.mell'!A1))-SEARCH("]",CELL("address",'Z_8.sz.mell'!A1),1)),"'",""))</f>
        <v>Z_8.sz.mell!$A$1</v>
      </c>
    </row>
    <row r="36" spans="1:3" ht="12.75">
      <c r="A36" s="660" t="s">
        <v>758</v>
      </c>
      <c r="B36" t="str">
        <f>CONCATENATE(PROPER('Z_1.tájékoztató_t.'!A2)," ",LOWER('Z_1.tájékoztató_t.'!A3))</f>
        <v>Kállósemjén Nagyközség Önkormányzata 2019. évi zárszámadásának pénzügyi mérlege</v>
      </c>
      <c r="C36" s="661" t="str">
        <f ca="1">HYPERLINK(SUBSTITUTE(CELL("address",'Z_1.tájékoztató_t.'!A1),"'",""),SUBSTITUTE(MID(CELL("address",'Z_1.tájékoztató_t.'!A1),SEARCH("]",CELL("address",'Z_1.tájékoztató_t.'!A1),1)+1,LEN(CELL("address",'Z_1.tájékoztató_t.'!A1))-SEARCH("]",CELL("address",'Z_1.tájékoztató_t.'!A1),1)),"'",""))</f>
        <v>Z_1.tájékoztató_t.!$A$1</v>
      </c>
    </row>
    <row r="37" spans="1:3" ht="12.75">
      <c r="A37" s="660" t="s">
        <v>760</v>
      </c>
      <c r="B37" t="str">
        <f>'Z_2.tájékoztató_t.'!A1</f>
        <v>Többéves kihatással járó döntésekből származó kötzelezettségek célok szerinti, évenkénti bontásban</v>
      </c>
      <c r="C37" s="661" t="str">
        <f ca="1">HYPERLINK(SUBSTITUTE(CELL("address",'Z_2.tájékoztató_t.'!A2),"'",""),SUBSTITUTE(MID(CELL("address",'Z_2.tájékoztató_t.'!A2),SEARCH("]",CELL("address",'Z_2.tájékoztató_t.'!A2),1)+1,LEN(CELL("address",'Z_2.tájékoztató_t.'!A2))-SEARCH("]",CELL("address",'Z_2.tájékoztató_t.'!A2),1)),"'",""))</f>
        <v>Z_2.tájékoztató_t.!$A$2</v>
      </c>
    </row>
    <row r="38" spans="1:3" ht="12.75">
      <c r="A38" s="660" t="s">
        <v>761</v>
      </c>
      <c r="B38" t="str">
        <f>'Z_3.tájékoztató_t.'!A1</f>
        <v>Az önkormányzat által nyújtott hitel és kölcsön alakulása lejárat és eszközök szerinti bontásban</v>
      </c>
      <c r="C38" s="661" t="str">
        <f ca="1">HYPERLINK(SUBSTITUTE(CELL("address",'Z_3.tájékoztató_t.'!A1),"'",""),SUBSTITUTE(MID(CELL("address",'Z_3.tájékoztató_t.'!A1),SEARCH("]",CELL("address",'Z_3.tájékoztató_t.'!A1),1)+1,LEN(CELL("address",'Z_3.tájékoztató_t.'!A1))-SEARCH("]",CELL("address",'Z_3.tájékoztató_t.'!A1),1)),"'",""))</f>
        <v>Z_3.tájékoztató_t.!$A$1</v>
      </c>
    </row>
    <row r="39" spans="1:3" ht="12.75">
      <c r="A39" s="660" t="s">
        <v>762</v>
      </c>
      <c r="B39" t="str">
        <f>'Z_4.tájékoztató_t.'!A1</f>
        <v>Adósság állomány alakulása lejárat, eszközök, bel- és külföldi hitelezők szerinti bontásban
2019. december 31-én</v>
      </c>
      <c r="C39" s="661" t="str">
        <f ca="1">HYPERLINK(SUBSTITUTE(CELL("address",'Z_4.tájékoztató_t.'!A1),"'",""),SUBSTITUTE(MID(CELL("address",'Z_4.tájékoztató_t.'!A1),SEARCH("]",CELL("address",'Z_4.tájékoztató_t.'!A1),1)+1,LEN(CELL("address",'Z_4.tájékoztató_t.'!A1))-SEARCH("]",CELL("address",'Z_4.tájékoztató_t.'!A1),1)),"'",""))</f>
        <v>Z_4.tájékoztató_t.!$A$1</v>
      </c>
    </row>
    <row r="40" spans="1:3" ht="12.75">
      <c r="A40" s="660" t="s">
        <v>763</v>
      </c>
      <c r="B40" t="str">
        <f>'Z_5.tájékoztató_t.'!A3</f>
        <v>Az önkormányzat által adott közvetett támogatások</v>
      </c>
      <c r="C40" s="661" t="str">
        <f ca="1">HYPERLINK(SUBSTITUTE(CELL("address",'Z_5.tájékoztató_t.'!A1),"'",""),SUBSTITUTE(MID(CELL("address",'Z_5.tájékoztató_t.'!A1),SEARCH("]",CELL("address",'Z_5.tájékoztató_t.'!A1),1)+1,LEN(CELL("address",'Z_5.tájékoztató_t.'!A1))-SEARCH("]",CELL("address",'Z_5.tájékoztató_t.'!A1),1)),"'",""))</f>
        <v>Z_5.tájékoztató_t.!$A$1</v>
      </c>
    </row>
    <row r="41" spans="1:3" ht="12.75">
      <c r="A41" s="660" t="s">
        <v>767</v>
      </c>
      <c r="B41" t="str">
        <f>CONCATENATE(PROPER('Z_6.tájékoztató_t.'!A3)," ",LOWER('Z_6.tájékoztató_t.'!A4))</f>
        <v>K I M U T A T Á S a 2019. évi céljelleggel juttatott támogatások felhasználásáról</v>
      </c>
      <c r="C41" s="661" t="str">
        <f ca="1">HYPERLINK(SUBSTITUTE(CELL("address",'Z_6.tájékoztató_t.'!A1),"'",""),SUBSTITUTE(MID(CELL("address",'Z_6.tájékoztató_t.'!A1),SEARCH("]",CELL("address",'Z_6.tájékoztató_t.'!A1),1)+1,LEN(CELL("address",'Z_6.tájékoztató_t.'!A1))-SEARCH("]",CELL("address",'Z_6.tájékoztató_t.'!A1),1)),"'",""))</f>
        <v>Z_6.tájékoztató_t.!$A$1</v>
      </c>
    </row>
    <row r="42" spans="1:3" ht="12.75">
      <c r="A42" s="660" t="s">
        <v>769</v>
      </c>
      <c r="B42" t="str">
        <f>CONCATENATE(PROPER('Z_7.1.tájékoztató_t.'!A2)," ",'Z_7.1.tájékoztató_t.'!A3)</f>
        <v>Vagyonkimutatás a könyvviteli mérlegben értékkel szerplő eszközökről</v>
      </c>
      <c r="C42" s="661" t="str">
        <f ca="1">HYPERLINK(SUBSTITUTE(CELL("address",'Z_7.1.tájékoztató_t.'!A1),"'",""),SUBSTITUTE(MID(CELL("address",'Z_7.1.tájékoztató_t.'!A1),SEARCH("]",CELL("address",'Z_7.1.tájékoztató_t.'!A1),1)+1,LEN(CELL("address",'Z_7.1.tájékoztató_t.'!A1))-SEARCH("]",CELL("address",'Z_7.1.tájékoztató_t.'!A1),1)),"'",""))</f>
        <v>Z_7.1.tájékoztató_t.!$A$1</v>
      </c>
    </row>
    <row r="43" spans="1:3" ht="12.75">
      <c r="A43" s="660" t="s">
        <v>772</v>
      </c>
      <c r="B43" t="str">
        <f>CONCATENATE(PROPER('Z_7.2.tájékoztató_t.'!A3)," ",'Z_7.2.tájékoztató_t.'!A4)</f>
        <v>Vagyonkimutatás a könyvviteli mérlegben értékkel szereplő forrásokról</v>
      </c>
      <c r="C43" s="661" t="str">
        <f ca="1">HYPERLINK(SUBSTITUTE(CELL("address",'Z_7.2.tájékoztató_t.'!A1),"'",""),SUBSTITUTE(MID(CELL("address",'Z_7.2.tájékoztató_t.'!A1),SEARCH("]",CELL("address",'Z_7.2.tájékoztató_t.'!A1),1)+1,LEN(CELL("address",'Z_7.2.tájékoztató_t.'!A1))-SEARCH("]",CELL("address",'Z_7.2.tájékoztató_t.'!A1),1)),"'",""))</f>
        <v>Z_7.2.tájékoztató_t.!$A$1</v>
      </c>
    </row>
    <row r="44" spans="1:3" ht="12.75">
      <c r="A44" s="660" t="s">
        <v>773</v>
      </c>
      <c r="B44" t="str">
        <f>CONCATENATE(PROPER('Z_7.3.tájékoztató_t.'!A3)," ",'Z_7.3.tájékoztató_t.'!A4)</f>
        <v>Vagyonkimutatás az érték nélkül nyilvántartott eszkzözkről</v>
      </c>
      <c r="C44" s="661" t="str">
        <f ca="1">HYPERLINK(SUBSTITUTE(CELL("address",'Z_7.3.tájékoztató_t.'!A1),"'",""),SUBSTITUTE(MID(CELL("address",'Z_7.3.tájékoztató_t.'!A1),SEARCH("]",CELL("address",'Z_7.3.tájékoztató_t.'!A1),1)+1,LEN(CELL("address",'Z_7.3.tájékoztató_t.'!A1))-SEARCH("]",CELL("address",'Z_7.3.tájékoztató_t.'!A1),1)),"'",""))</f>
        <v>Z_7.3.tájékoztató_t.!$A$1</v>
      </c>
    </row>
    <row r="45" spans="1:3" ht="12.75">
      <c r="A45" s="660" t="s">
        <v>775</v>
      </c>
      <c r="B45" t="str">
        <f>CONCATENATE('Z_8.tájékoztató_t.'!A2,'Z_8.tájékoztató_t.'!A3)</f>
        <v>Kállósemjén Nagyközség Önkormányzata tulajdonában álló gazdálkodó szervezetek működéséből származókötelezettségek és részesedések alakulása 2019. évben</v>
      </c>
      <c r="C45" s="661" t="str">
        <f ca="1">HYPERLINK(SUBSTITUTE(CELL("address",'Z_8.tájékoztató_t.'!A1),"'",""),SUBSTITUTE(MID(CELL("address",'Z_8.tájékoztató_t.'!A1),SEARCH("]",CELL("address",'Z_8.tájékoztató_t.'!A1),1)+1,LEN(CELL("address",'Z_8.tájékoztató_t.'!A1))-SEARCH("]",CELL("address",'Z_8.tájékoztató_t.'!A1),1)),"'",""))</f>
        <v>Z_8.tájékoztató_t.!$A$1</v>
      </c>
    </row>
    <row r="46" spans="1:3" ht="12.75">
      <c r="A46" s="660" t="s">
        <v>776</v>
      </c>
      <c r="B46" t="s">
        <v>813</v>
      </c>
      <c r="C46" s="661" t="str">
        <f ca="1">HYPERLINK(SUBSTITUTE(CELL("address",'Z_9.tájékoztató_t.'!A1),"'",""),SUBSTITUTE(MID(CELL("address",'Z_9.tájékoztató_t.'!A1),SEARCH("]",CELL("address",'Z_9.tájékoztató_t.'!A1),1)+1,LEN(CELL("address",'Z_9.tájékoztató_t.'!A1))-SEARCH("]",CELL("address",'Z_9.tájékoztató_t.'!A1),1)),"'",""))</f>
        <v>Z_9.tájékoztató_t.!$A$1</v>
      </c>
    </row>
  </sheetData>
  <sheetProtection/>
  <mergeCells count="2">
    <mergeCell ref="A2:C2"/>
    <mergeCell ref="A6: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E38"/>
  <sheetViews>
    <sheetView zoomScale="120" zoomScaleNormal="120" zoomScalePageLayoutView="0" workbookViewId="0" topLeftCell="A1">
      <selection activeCell="G16" sqref="G16"/>
    </sheetView>
  </sheetViews>
  <sheetFormatPr defaultColWidth="9.00390625" defaultRowHeight="12.75"/>
  <cols>
    <col min="1" max="1" width="46.375" style="0" customWidth="1"/>
    <col min="2" max="2" width="13.875" style="0" customWidth="1"/>
    <col min="3" max="3" width="66.125" style="0" customWidth="1"/>
    <col min="4" max="5" width="13.875" style="0" customWidth="1"/>
  </cols>
  <sheetData>
    <row r="1" spans="1:5" ht="18.75">
      <c r="A1" s="277" t="s">
        <v>515</v>
      </c>
      <c r="B1" s="81"/>
      <c r="C1" s="81"/>
      <c r="D1" s="81"/>
      <c r="E1" s="278" t="s">
        <v>103</v>
      </c>
    </row>
    <row r="2" spans="1:5" ht="12.75">
      <c r="A2" s="81"/>
      <c r="B2" s="81"/>
      <c r="C2" s="81"/>
      <c r="D2" s="81"/>
      <c r="E2" s="81"/>
    </row>
    <row r="3" spans="1:5" ht="12.75">
      <c r="A3" s="279"/>
      <c r="B3" s="280"/>
      <c r="C3" s="279"/>
      <c r="D3" s="281"/>
      <c r="E3" s="280"/>
    </row>
    <row r="4" spans="1:5" ht="15.75">
      <c r="A4" s="83" t="str">
        <f>+Z_ÖSSZEFÜGGÉSEK!A6</f>
        <v>2019. évi eredeti előirányzat BEVÉTELEK</v>
      </c>
      <c r="B4" s="282"/>
      <c r="C4" s="283"/>
      <c r="D4" s="281"/>
      <c r="E4" s="280"/>
    </row>
    <row r="5" spans="1:5" ht="12.75">
      <c r="A5" s="279"/>
      <c r="B5" s="280"/>
      <c r="C5" s="279"/>
      <c r="D5" s="281"/>
      <c r="E5" s="280"/>
    </row>
    <row r="6" spans="1:5" ht="12.75">
      <c r="A6" s="279" t="s">
        <v>456</v>
      </c>
      <c r="B6" s="280">
        <f>+'Z_1.1.sz.mell.'!C68</f>
        <v>553322794</v>
      </c>
      <c r="C6" s="279" t="s">
        <v>425</v>
      </c>
      <c r="D6" s="281">
        <f>+'Z_2.1.sz.mell'!C18+'Z_2.2.sz.mell'!C17</f>
        <v>553322794</v>
      </c>
      <c r="E6" s="280">
        <f>+B6-D6</f>
        <v>0</v>
      </c>
    </row>
    <row r="7" spans="1:5" ht="12.75">
      <c r="A7" s="279" t="s">
        <v>472</v>
      </c>
      <c r="B7" s="280">
        <f>+'Z_1.1.sz.mell.'!C92</f>
        <v>190268579</v>
      </c>
      <c r="C7" s="279" t="s">
        <v>431</v>
      </c>
      <c r="D7" s="281">
        <f>+'Z_2.1.sz.mell'!C29+'Z_2.2.sz.mell'!C30</f>
        <v>190268579</v>
      </c>
      <c r="E7" s="280">
        <f>+B7-D7</f>
        <v>0</v>
      </c>
    </row>
    <row r="8" spans="1:5" ht="12.75">
      <c r="A8" s="279" t="s">
        <v>473</v>
      </c>
      <c r="B8" s="280">
        <f>+'Z_1.1.sz.mell.'!C93</f>
        <v>743591373</v>
      </c>
      <c r="C8" s="279" t="s">
        <v>432</v>
      </c>
      <c r="D8" s="281">
        <f>+'Z_2.1.sz.mell'!C30+'Z_2.2.sz.mell'!C31</f>
        <v>743591373</v>
      </c>
      <c r="E8" s="280">
        <f>+B8-D8</f>
        <v>0</v>
      </c>
    </row>
    <row r="9" spans="1:5" ht="12.75">
      <c r="A9" s="279"/>
      <c r="B9" s="280"/>
      <c r="C9" s="279"/>
      <c r="D9" s="281"/>
      <c r="E9" s="280"/>
    </row>
    <row r="10" spans="1:5" ht="15.75">
      <c r="A10" s="83" t="str">
        <f>+Z_ÖSSZEFÜGGÉSEK!A13</f>
        <v>2019. évi módosított előirányzat BEVÉTELEK</v>
      </c>
      <c r="B10" s="282"/>
      <c r="C10" s="283"/>
      <c r="D10" s="281"/>
      <c r="E10" s="280"/>
    </row>
    <row r="11" spans="1:5" ht="12.75">
      <c r="A11" s="279"/>
      <c r="B11" s="280"/>
      <c r="C11" s="279"/>
      <c r="D11" s="281"/>
      <c r="E11" s="280"/>
    </row>
    <row r="12" spans="1:5" ht="12.75">
      <c r="A12" s="279" t="s">
        <v>457</v>
      </c>
      <c r="B12" s="280">
        <f>+'Z_1.1.sz.mell.'!D68</f>
        <v>732050883</v>
      </c>
      <c r="C12" s="279" t="s">
        <v>426</v>
      </c>
      <c r="D12" s="281">
        <f>+'Z_2.1.sz.mell'!D18+'Z_2.2.sz.mell'!D17</f>
        <v>732050883</v>
      </c>
      <c r="E12" s="280">
        <f>+B12-D12</f>
        <v>0</v>
      </c>
    </row>
    <row r="13" spans="1:5" ht="12.75">
      <c r="A13" s="279" t="s">
        <v>458</v>
      </c>
      <c r="B13" s="280">
        <f>+'Z_1.1.sz.mell.'!D92</f>
        <v>282606937</v>
      </c>
      <c r="C13" s="279" t="s">
        <v>433</v>
      </c>
      <c r="D13" s="281">
        <f>+'Z_2.1.sz.mell'!D29+'Z_2.2.sz.mell'!D30</f>
        <v>282606937</v>
      </c>
      <c r="E13" s="280">
        <f>+B13-D13</f>
        <v>0</v>
      </c>
    </row>
    <row r="14" spans="1:5" ht="12.75">
      <c r="A14" s="279" t="s">
        <v>459</v>
      </c>
      <c r="B14" s="280">
        <f>+'Z_1.1.sz.mell.'!D93</f>
        <v>1014657820</v>
      </c>
      <c r="C14" s="279" t="s">
        <v>434</v>
      </c>
      <c r="D14" s="281">
        <f>+'Z_2.1.sz.mell'!D30+'Z_2.2.sz.mell'!D31</f>
        <v>1014657820</v>
      </c>
      <c r="E14" s="280">
        <f>+B14-D14</f>
        <v>0</v>
      </c>
    </row>
    <row r="15" spans="1:5" ht="12.75">
      <c r="A15" s="279"/>
      <c r="B15" s="280"/>
      <c r="C15" s="279"/>
      <c r="D15" s="281"/>
      <c r="E15" s="280"/>
    </row>
    <row r="16" spans="1:5" ht="14.25">
      <c r="A16" s="284" t="str">
        <f>+Z_ÖSSZEFÜGGÉSEK!A19</f>
        <v>2019.évi teljesített BEVÉTELEK</v>
      </c>
      <c r="B16" s="82"/>
      <c r="C16" s="283"/>
      <c r="D16" s="281"/>
      <c r="E16" s="280"/>
    </row>
    <row r="17" spans="1:5" ht="12.75">
      <c r="A17" s="279"/>
      <c r="B17" s="280"/>
      <c r="C17" s="279"/>
      <c r="D17" s="281"/>
      <c r="E17" s="280"/>
    </row>
    <row r="18" spans="1:5" ht="12.75">
      <c r="A18" s="279" t="s">
        <v>460</v>
      </c>
      <c r="B18" s="280">
        <f>+'Z_1.1.sz.mell.'!E68</f>
        <v>775989956</v>
      </c>
      <c r="C18" s="279" t="s">
        <v>427</v>
      </c>
      <c r="D18" s="281">
        <f>+'Z_2.1.sz.mell'!E18+'Z_2.2.sz.mell'!E17</f>
        <v>775989956</v>
      </c>
      <c r="E18" s="280">
        <f>+B18-D18</f>
        <v>0</v>
      </c>
    </row>
    <row r="19" spans="1:5" ht="12.75">
      <c r="A19" s="279" t="s">
        <v>461</v>
      </c>
      <c r="B19" s="280">
        <f>+'Z_1.1.sz.mell.'!E92</f>
        <v>576081732</v>
      </c>
      <c r="C19" s="279" t="s">
        <v>435</v>
      </c>
      <c r="D19" s="281">
        <f>+'Z_2.1.sz.mell'!E29+'Z_2.2.sz.mell'!E30</f>
        <v>576081732</v>
      </c>
      <c r="E19" s="280">
        <f>+B19-D19</f>
        <v>0</v>
      </c>
    </row>
    <row r="20" spans="1:5" ht="12.75">
      <c r="A20" s="279" t="s">
        <v>462</v>
      </c>
      <c r="B20" s="280">
        <f>+'Z_1.1.sz.mell.'!E93</f>
        <v>1352071688</v>
      </c>
      <c r="C20" s="279" t="s">
        <v>436</v>
      </c>
      <c r="D20" s="281">
        <f>+'Z_2.1.sz.mell'!E30+'Z_2.2.sz.mell'!E31</f>
        <v>1352071688</v>
      </c>
      <c r="E20" s="280">
        <f>+B20-D20</f>
        <v>0</v>
      </c>
    </row>
    <row r="21" spans="1:5" ht="12.75">
      <c r="A21" s="279"/>
      <c r="B21" s="280"/>
      <c r="C21" s="279"/>
      <c r="D21" s="281"/>
      <c r="E21" s="280"/>
    </row>
    <row r="22" spans="1:5" ht="15.75">
      <c r="A22" s="83" t="str">
        <f>+Z_ÖSSZEFÜGGÉSEK!A25</f>
        <v>2019. évi eredeti előirányzat KIADÁSOK</v>
      </c>
      <c r="B22" s="282"/>
      <c r="C22" s="283"/>
      <c r="D22" s="281"/>
      <c r="E22" s="280"/>
    </row>
    <row r="23" spans="1:5" ht="12.75">
      <c r="A23" s="279"/>
      <c r="B23" s="280"/>
      <c r="C23" s="279"/>
      <c r="D23" s="281"/>
      <c r="E23" s="280"/>
    </row>
    <row r="24" spans="1:5" ht="12.75">
      <c r="A24" s="279" t="s">
        <v>474</v>
      </c>
      <c r="B24" s="280">
        <f>+'Z_1.1.sz.mell.'!C135</f>
        <v>553322794</v>
      </c>
      <c r="C24" s="279" t="s">
        <v>428</v>
      </c>
      <c r="D24" s="281">
        <f>+'Z_2.1.sz.mell'!G18+'Z_2.2.sz.mell'!G17</f>
        <v>553322794</v>
      </c>
      <c r="E24" s="280">
        <f>+B24-D24</f>
        <v>0</v>
      </c>
    </row>
    <row r="25" spans="1:5" ht="12.75">
      <c r="A25" s="279" t="s">
        <v>464</v>
      </c>
      <c r="B25" s="280">
        <f>+'Z_1.1.sz.mell.'!C160</f>
        <v>190268579</v>
      </c>
      <c r="C25" s="279" t="s">
        <v>437</v>
      </c>
      <c r="D25" s="281">
        <f>+'Z_2.1.sz.mell'!G29+'Z_2.2.sz.mell'!G30</f>
        <v>190268579</v>
      </c>
      <c r="E25" s="280">
        <f>+B25-D25</f>
        <v>0</v>
      </c>
    </row>
    <row r="26" spans="1:5" ht="12.75">
      <c r="A26" s="279" t="s">
        <v>465</v>
      </c>
      <c r="B26" s="280">
        <f>+'Z_1.1.sz.mell.'!C161</f>
        <v>743591373</v>
      </c>
      <c r="C26" s="279" t="s">
        <v>438</v>
      </c>
      <c r="D26" s="281">
        <f>+'Z_2.1.sz.mell'!G30+'Z_2.2.sz.mell'!G31</f>
        <v>743591373</v>
      </c>
      <c r="E26" s="280">
        <f>+B26-D26</f>
        <v>0</v>
      </c>
    </row>
    <row r="27" spans="1:5" ht="12.75">
      <c r="A27" s="279"/>
      <c r="B27" s="280"/>
      <c r="C27" s="279"/>
      <c r="D27" s="281"/>
      <c r="E27" s="280"/>
    </row>
    <row r="28" spans="1:5" ht="15.75">
      <c r="A28" s="83" t="str">
        <f>+Z_ÖSSZEFÜGGÉSEK!A31</f>
        <v>2019. évi módosított előirányzat KIADÁSOK</v>
      </c>
      <c r="B28" s="282"/>
      <c r="C28" s="283"/>
      <c r="D28" s="281"/>
      <c r="E28" s="280"/>
    </row>
    <row r="29" spans="1:5" ht="12.75">
      <c r="A29" s="279"/>
      <c r="B29" s="280"/>
      <c r="C29" s="279"/>
      <c r="D29" s="281"/>
      <c r="E29" s="280"/>
    </row>
    <row r="30" spans="1:5" ht="12.75">
      <c r="A30" s="279" t="s">
        <v>466</v>
      </c>
      <c r="B30" s="280">
        <f>+'Z_1.1.sz.mell.'!D135</f>
        <v>811090684</v>
      </c>
      <c r="C30" s="279" t="s">
        <v>429</v>
      </c>
      <c r="D30" s="281">
        <f>+'Z_2.1.sz.mell'!H18+'Z_2.2.sz.mell'!H17</f>
        <v>811090684</v>
      </c>
      <c r="E30" s="280">
        <f>+B30-D30</f>
        <v>0</v>
      </c>
    </row>
    <row r="31" spans="1:5" ht="12.75">
      <c r="A31" s="279" t="s">
        <v>467</v>
      </c>
      <c r="B31" s="280">
        <f>+'Z_1.1.sz.mell.'!D160</f>
        <v>203567136</v>
      </c>
      <c r="C31" s="279" t="s">
        <v>439</v>
      </c>
      <c r="D31" s="281">
        <f>+'Z_2.1.sz.mell'!H29+'Z_2.2.sz.mell'!H30</f>
        <v>203567136</v>
      </c>
      <c r="E31" s="280">
        <f>+B31-D31</f>
        <v>0</v>
      </c>
    </row>
    <row r="32" spans="1:5" ht="12.75">
      <c r="A32" s="279" t="s">
        <v>468</v>
      </c>
      <c r="B32" s="280">
        <f>+'Z_1.1.sz.mell.'!D161</f>
        <v>1014657820</v>
      </c>
      <c r="C32" s="279" t="s">
        <v>440</v>
      </c>
      <c r="D32" s="281">
        <f>+'Z_2.1.sz.mell'!H30+'Z_2.2.sz.mell'!H31</f>
        <v>1014657820</v>
      </c>
      <c r="E32" s="280">
        <f>+B32-D32</f>
        <v>0</v>
      </c>
    </row>
    <row r="33" spans="1:5" ht="12.75">
      <c r="A33" s="279"/>
      <c r="B33" s="280"/>
      <c r="C33" s="279"/>
      <c r="D33" s="281"/>
      <c r="E33" s="280"/>
    </row>
    <row r="34" spans="1:5" ht="15.75">
      <c r="A34" s="285" t="str">
        <f>+Z_ÖSSZEFÜGGÉSEK!A37</f>
        <v>2019.évi teljesített KIADÁSOK</v>
      </c>
      <c r="B34" s="282"/>
      <c r="C34" s="283"/>
      <c r="D34" s="281"/>
      <c r="E34" s="280"/>
    </row>
    <row r="35" spans="1:5" ht="12.75">
      <c r="A35" s="279"/>
      <c r="B35" s="280"/>
      <c r="C35" s="279"/>
      <c r="D35" s="281"/>
      <c r="E35" s="280"/>
    </row>
    <row r="36" spans="1:5" ht="12.75">
      <c r="A36" s="279" t="s">
        <v>469</v>
      </c>
      <c r="B36" s="280">
        <f>+'Z_1.1.sz.mell.'!E135</f>
        <v>740059821</v>
      </c>
      <c r="C36" s="279" t="s">
        <v>430</v>
      </c>
      <c r="D36" s="281">
        <f>+'Z_2.1.sz.mell'!I18+'Z_2.2.sz.mell'!I17</f>
        <v>740059821</v>
      </c>
      <c r="E36" s="280">
        <f>+B36-D36</f>
        <v>0</v>
      </c>
    </row>
    <row r="37" spans="1:5" ht="12.75">
      <c r="A37" s="279" t="s">
        <v>470</v>
      </c>
      <c r="B37" s="280">
        <f>+'Z_1.1.sz.mell.'!E160</f>
        <v>188880331</v>
      </c>
      <c r="C37" s="279" t="s">
        <v>441</v>
      </c>
      <c r="D37" s="281">
        <f>+'Z_2.1.sz.mell'!I29+'Z_2.2.sz.mell'!I30</f>
        <v>188880331</v>
      </c>
      <c r="E37" s="280">
        <f>+B37-D37</f>
        <v>0</v>
      </c>
    </row>
    <row r="38" spans="1:5" ht="12.75">
      <c r="A38" s="279" t="s">
        <v>475</v>
      </c>
      <c r="B38" s="280">
        <f>+'Z_1.1.sz.mell.'!E161</f>
        <v>928940152</v>
      </c>
      <c r="C38" s="279" t="s">
        <v>442</v>
      </c>
      <c r="D38" s="281">
        <f>+'Z_2.1.sz.mell'!I30+'Z_2.2.sz.mell'!I31</f>
        <v>928940152</v>
      </c>
      <c r="E38" s="280">
        <f>+B38-D38</f>
        <v>0</v>
      </c>
    </row>
  </sheetData>
  <sheetProtection sheet="1"/>
  <conditionalFormatting sqref="E3:E15">
    <cfRule type="cellIs" priority="2" dxfId="4" operator="notEqual" stopIfTrue="1">
      <formula>0</formula>
    </cfRule>
  </conditionalFormatting>
  <conditionalFormatting sqref="E3:E38">
    <cfRule type="cellIs" priority="1" dxfId="4" operator="notEqual" stopIfTrue="1">
      <formula>0</formula>
    </cfRule>
  </conditionalFormatting>
  <printOptions/>
  <pageMargins left="0.79" right="0.57" top="0.88" bottom="0.66" header="0.5" footer="0.5"/>
  <pageSetup fitToHeight="1" fitToWidth="1" orientation="landscape" paperSize="9" scale="95" r:id="rId1"/>
</worksheet>
</file>

<file path=xl/worksheets/sheet11.xml><?xml version="1.0" encoding="utf-8"?>
<worksheet xmlns="http://schemas.openxmlformats.org/spreadsheetml/2006/main" xmlns:r="http://schemas.openxmlformats.org/officeDocument/2006/relationships">
  <sheetPr>
    <tabColor rgb="FF92D050"/>
  </sheetPr>
  <dimension ref="A1:G14"/>
  <sheetViews>
    <sheetView zoomScale="120" zoomScaleNormal="120" workbookViewId="0" topLeftCell="A1">
      <selection activeCell="M11" sqref="M11"/>
    </sheetView>
  </sheetViews>
  <sheetFormatPr defaultColWidth="9.00390625" defaultRowHeight="12.75"/>
  <cols>
    <col min="1" max="1" width="47.125" style="28" customWidth="1"/>
    <col min="2" max="2" width="15.625" style="27" customWidth="1"/>
    <col min="3" max="3" width="16.375" style="27" customWidth="1"/>
    <col min="4" max="5" width="18.00390625" style="27" customWidth="1"/>
    <col min="6" max="6" width="16.625" style="27" customWidth="1"/>
    <col min="7" max="7" width="18.875" style="33" customWidth="1"/>
    <col min="8" max="9" width="12.875" style="27" customWidth="1"/>
    <col min="10" max="10" width="13.875" style="27" customWidth="1"/>
    <col min="11" max="16384" width="9.375" style="27" customWidth="1"/>
  </cols>
  <sheetData>
    <row r="1" spans="1:7" ht="15">
      <c r="A1" s="341"/>
      <c r="B1" s="812" t="str">
        <f>CONCATENATE("3. melléklet ",Z_ALAPADATOK!A7," ",Z_ALAPADATOK!B7," ",Z_ALAPADATOK!C7," ",Z_ALAPADATOK!D7," ",Z_ALAPADATOK!E7," ",Z_ALAPADATOK!F7," ",Z_ALAPADATOK!G7," ",Z_ALAPADATOK!H7)</f>
        <v>3. melléklet a 4 / 2020. ( VII.17. ) önkormányzati rendelethez</v>
      </c>
      <c r="C1" s="813"/>
      <c r="D1" s="813"/>
      <c r="E1" s="813"/>
      <c r="F1" s="813"/>
      <c r="G1" s="813"/>
    </row>
    <row r="2" spans="1:7" ht="12.75">
      <c r="A2" s="341"/>
      <c r="B2" s="342"/>
      <c r="C2" s="342"/>
      <c r="D2" s="342"/>
      <c r="E2" s="342"/>
      <c r="F2" s="342"/>
      <c r="G2" s="342"/>
    </row>
    <row r="3" spans="1:7" ht="25.5" customHeight="1">
      <c r="A3" s="811" t="s">
        <v>516</v>
      </c>
      <c r="B3" s="811"/>
      <c r="C3" s="811"/>
      <c r="D3" s="811"/>
      <c r="E3" s="811"/>
      <c r="F3" s="811"/>
      <c r="G3" s="811"/>
    </row>
    <row r="4" spans="1:7" ht="22.5" customHeight="1" thickBot="1">
      <c r="A4" s="341"/>
      <c r="B4" s="342"/>
      <c r="C4" s="342"/>
      <c r="D4" s="342"/>
      <c r="E4" s="342"/>
      <c r="F4" s="342"/>
      <c r="G4" s="343" t="str">
        <f>'Z_2.2.sz.mell'!I2</f>
        <v> Forintban!</v>
      </c>
    </row>
    <row r="5" spans="1:7" s="29" customFormat="1" ht="44.25" customHeight="1" thickBot="1">
      <c r="A5" s="344" t="s">
        <v>47</v>
      </c>
      <c r="B5" s="314" t="s">
        <v>48</v>
      </c>
      <c r="C5" s="314" t="s">
        <v>49</v>
      </c>
      <c r="D5" s="314" t="str">
        <f>+CONCATENATE("Felhasználás   ",LEFT(Z_ÖSSZEFÜGGÉSEK!A6,4)-1,". XII. 31-ig")</f>
        <v>Felhasználás   2018. XII. 31-ig</v>
      </c>
      <c r="E5" s="314" t="str">
        <f>+CONCATENATE(LEFT(Z_ÖSSZEFÜGGÉSEK!A6,4),". évi",CHAR(10),"módosított előirányzat")</f>
        <v>2019. évi
módosított előirányzat</v>
      </c>
      <c r="F5" s="314" t="str">
        <f>+CONCATENATE("Teljesítés",CHAR(10),LEFT(Z_ÖSSZEFÜGGÉSEK!A6,4),". I. 1-től XII.31-ig")</f>
        <v>Teljesítés
2019. I. 1-től XII.31-ig</v>
      </c>
      <c r="G5" s="315" t="str">
        <f>+CONCATENATE("Összes teljesítés",CHAR(10),LEFT(Z_ÖSSZEFÜGGÉSEK!A6,4),". XII. 31-ig")</f>
        <v>Összes teljesítés
2019. XII. 31-ig</v>
      </c>
    </row>
    <row r="6" spans="1:7" s="33" customFormat="1" ht="12" customHeight="1" thickBot="1">
      <c r="A6" s="345" t="s">
        <v>385</v>
      </c>
      <c r="B6" s="346" t="s">
        <v>386</v>
      </c>
      <c r="C6" s="346" t="s">
        <v>387</v>
      </c>
      <c r="D6" s="346" t="s">
        <v>389</v>
      </c>
      <c r="E6" s="346" t="s">
        <v>388</v>
      </c>
      <c r="F6" s="346" t="s">
        <v>390</v>
      </c>
      <c r="G6" s="347" t="s">
        <v>443</v>
      </c>
    </row>
    <row r="7" spans="1:7" ht="15.75" customHeight="1">
      <c r="A7" s="226" t="s">
        <v>879</v>
      </c>
      <c r="B7" s="21">
        <v>160000000</v>
      </c>
      <c r="C7" s="227" t="s">
        <v>880</v>
      </c>
      <c r="D7" s="21"/>
      <c r="E7" s="21">
        <v>54999928</v>
      </c>
      <c r="F7" s="21">
        <v>54999928</v>
      </c>
      <c r="G7" s="34">
        <f>D7+F7</f>
        <v>54999928</v>
      </c>
    </row>
    <row r="8" spans="1:7" ht="15.75" customHeight="1">
      <c r="A8" s="226" t="s">
        <v>881</v>
      </c>
      <c r="B8" s="21">
        <v>108797747</v>
      </c>
      <c r="C8" s="227" t="s">
        <v>880</v>
      </c>
      <c r="D8" s="21"/>
      <c r="E8" s="21">
        <v>51900028</v>
      </c>
      <c r="F8" s="21">
        <v>51900028</v>
      </c>
      <c r="G8" s="34">
        <f aca="true" t="shared" si="0" ref="G8:G13">D8+F8</f>
        <v>51900028</v>
      </c>
    </row>
    <row r="9" spans="1:7" ht="121.5" customHeight="1">
      <c r="A9" s="226" t="s">
        <v>882</v>
      </c>
      <c r="B9" s="21">
        <v>4445571</v>
      </c>
      <c r="C9" s="227" t="s">
        <v>880</v>
      </c>
      <c r="D9" s="21"/>
      <c r="E9" s="21">
        <v>4445571</v>
      </c>
      <c r="F9" s="21">
        <v>4445571</v>
      </c>
      <c r="G9" s="34">
        <f t="shared" si="0"/>
        <v>4445571</v>
      </c>
    </row>
    <row r="10" spans="1:7" ht="216" customHeight="1">
      <c r="A10" s="778" t="s">
        <v>883</v>
      </c>
      <c r="B10" s="21">
        <v>26189325</v>
      </c>
      <c r="C10" s="227" t="s">
        <v>880</v>
      </c>
      <c r="D10" s="21"/>
      <c r="E10" s="21">
        <v>26189325</v>
      </c>
      <c r="F10" s="21">
        <v>26189325</v>
      </c>
      <c r="G10" s="34">
        <f t="shared" si="0"/>
        <v>26189325</v>
      </c>
    </row>
    <row r="11" spans="1:7" ht="15.75" customHeight="1">
      <c r="A11" s="226"/>
      <c r="B11" s="21"/>
      <c r="C11" s="227"/>
      <c r="D11" s="21"/>
      <c r="E11" s="21"/>
      <c r="F11" s="21"/>
      <c r="G11" s="34">
        <f t="shared" si="0"/>
        <v>0</v>
      </c>
    </row>
    <row r="12" spans="1:7" ht="15.75" customHeight="1">
      <c r="A12" s="226"/>
      <c r="B12" s="21"/>
      <c r="C12" s="227"/>
      <c r="D12" s="21"/>
      <c r="E12" s="21"/>
      <c r="F12" s="21"/>
      <c r="G12" s="34">
        <f t="shared" si="0"/>
        <v>0</v>
      </c>
    </row>
    <row r="13" spans="1:7" ht="15.75" customHeight="1" thickBot="1">
      <c r="A13" s="226"/>
      <c r="B13" s="21"/>
      <c r="C13" s="227"/>
      <c r="D13" s="21"/>
      <c r="E13" s="21"/>
      <c r="F13" s="21"/>
      <c r="G13" s="34">
        <f t="shared" si="0"/>
        <v>0</v>
      </c>
    </row>
    <row r="14" spans="1:7" s="38" customFormat="1" ht="18" customHeight="1" thickBot="1">
      <c r="A14" s="74" t="s">
        <v>46</v>
      </c>
      <c r="B14" s="36">
        <f>SUM(B7:B13)</f>
        <v>299432643</v>
      </c>
      <c r="C14" s="55"/>
      <c r="D14" s="36">
        <f>SUM(D7:D13)</f>
        <v>0</v>
      </c>
      <c r="E14" s="36"/>
      <c r="F14" s="36">
        <f>SUM(F7:F13)</f>
        <v>137534852</v>
      </c>
      <c r="G14" s="37">
        <f>SUM(G7:G13)</f>
        <v>137534852</v>
      </c>
    </row>
  </sheetData>
  <sheetProtection/>
  <mergeCells count="2">
    <mergeCell ref="A3:G3"/>
    <mergeCell ref="B1:G1"/>
  </mergeCells>
  <printOptions horizontalCentered="1"/>
  <pageMargins left="0.61" right="0.52" top="1.02" bottom="0.984251968503937" header="0.7874015748031497" footer="0.7874015748031497"/>
  <pageSetup orientation="landscape" paperSize="9" scale="75" r:id="rId1"/>
</worksheet>
</file>

<file path=xl/worksheets/sheet12.xml><?xml version="1.0" encoding="utf-8"?>
<worksheet xmlns="http://schemas.openxmlformats.org/spreadsheetml/2006/main" xmlns:r="http://schemas.openxmlformats.org/officeDocument/2006/relationships">
  <sheetPr>
    <tabColor rgb="FF92D050"/>
  </sheetPr>
  <dimension ref="A1:G26"/>
  <sheetViews>
    <sheetView zoomScale="120" zoomScaleNormal="120" workbookViewId="0" topLeftCell="A4">
      <selection activeCell="F8" sqref="F8"/>
    </sheetView>
  </sheetViews>
  <sheetFormatPr defaultColWidth="9.00390625" defaultRowHeight="12.75"/>
  <cols>
    <col min="1" max="1" width="54.125" style="28" customWidth="1"/>
    <col min="2" max="2" width="15.625" style="27" customWidth="1"/>
    <col min="3" max="3" width="16.375" style="27" customWidth="1"/>
    <col min="4" max="5" width="18.00390625" style="27" customWidth="1"/>
    <col min="6" max="6" width="15.875" style="27" customWidth="1"/>
    <col min="7" max="7" width="18.875" style="27" customWidth="1"/>
    <col min="8" max="9" width="12.875" style="27" customWidth="1"/>
    <col min="10" max="10" width="13.875" style="27" customWidth="1"/>
    <col min="11" max="16384" width="9.375" style="27" customWidth="1"/>
  </cols>
  <sheetData>
    <row r="1" spans="1:7" ht="15">
      <c r="A1" s="341"/>
      <c r="B1" s="812" t="str">
        <f>CONCATENATE("4. melléklet ",Z_ALAPADATOK!A7," ",Z_ALAPADATOK!B7," ",Z_ALAPADATOK!C7," ",Z_ALAPADATOK!D7," ",Z_ALAPADATOK!E7," ",Z_ALAPADATOK!F7," ",Z_ALAPADATOK!G7," ",Z_ALAPADATOK!H7)</f>
        <v>4. melléklet a 4 / 2020. ( VII.17. ) önkormányzati rendelethez</v>
      </c>
      <c r="C1" s="812"/>
      <c r="D1" s="812"/>
      <c r="E1" s="812"/>
      <c r="F1" s="812"/>
      <c r="G1" s="812"/>
    </row>
    <row r="2" spans="1:7" ht="12.75">
      <c r="A2" s="341"/>
      <c r="B2" s="342"/>
      <c r="C2" s="342"/>
      <c r="D2" s="342"/>
      <c r="E2" s="342"/>
      <c r="F2" s="342"/>
      <c r="G2" s="342"/>
    </row>
    <row r="3" spans="1:7" ht="24.75" customHeight="1">
      <c r="A3" s="811" t="s">
        <v>517</v>
      </c>
      <c r="B3" s="811"/>
      <c r="C3" s="811"/>
      <c r="D3" s="811"/>
      <c r="E3" s="811"/>
      <c r="F3" s="811"/>
      <c r="G3" s="811"/>
    </row>
    <row r="4" spans="1:7" ht="23.25" customHeight="1" thickBot="1">
      <c r="A4" s="341"/>
      <c r="B4" s="342"/>
      <c r="C4" s="342"/>
      <c r="D4" s="342"/>
      <c r="E4" s="342"/>
      <c r="F4" s="342"/>
      <c r="G4" s="343" t="str">
        <f>'Z_3.sz.mell.'!G4</f>
        <v> Forintban!</v>
      </c>
    </row>
    <row r="5" spans="1:7" s="29" customFormat="1" ht="48.75" customHeight="1" thickBot="1">
      <c r="A5" s="344" t="s">
        <v>50</v>
      </c>
      <c r="B5" s="314" t="s">
        <v>48</v>
      </c>
      <c r="C5" s="314" t="s">
        <v>49</v>
      </c>
      <c r="D5" s="314" t="str">
        <f>+'Z_3.sz.mell.'!D5</f>
        <v>Felhasználás   2018. XII. 31-ig</v>
      </c>
      <c r="E5" s="314" t="str">
        <f>+CONCATENATE(LEFT(Z_ÖSSZEFÜGGÉSEK!A6,4),". évi",CHAR(10),"módosított előirányzat")</f>
        <v>2019. évi
módosított előirányzat</v>
      </c>
      <c r="F5" s="314" t="str">
        <f>+CONCATENATE("Teljesítés",CHAR(10),LEFT(Z_ÖSSZEFÜGGÉSEK!A6,4),". I. 1-től XII. 31-ig")</f>
        <v>Teljesítés
2019. I. 1-től XII. 31-ig</v>
      </c>
      <c r="G5" s="315" t="str">
        <f>+CONCATENATE("Összes teljesítés",CHAR(10),LEFT(Z_ÖSSZEFÜGGÉSEK!A6,4),". XII. 31-ig")</f>
        <v>Összes teljesítés
2019. XII. 31-ig</v>
      </c>
    </row>
    <row r="6" spans="1:7" s="33" customFormat="1" ht="15" customHeight="1" thickBot="1">
      <c r="A6" s="345" t="s">
        <v>385</v>
      </c>
      <c r="B6" s="346" t="s">
        <v>386</v>
      </c>
      <c r="C6" s="346" t="s">
        <v>387</v>
      </c>
      <c r="D6" s="346" t="s">
        <v>389</v>
      </c>
      <c r="E6" s="346" t="s">
        <v>388</v>
      </c>
      <c r="F6" s="346" t="s">
        <v>390</v>
      </c>
      <c r="G6" s="347" t="s">
        <v>443</v>
      </c>
    </row>
    <row r="7" spans="1:7" ht="15.75" customHeight="1">
      <c r="A7" s="39" t="s">
        <v>884</v>
      </c>
      <c r="B7" s="40">
        <v>2709621</v>
      </c>
      <c r="C7" s="228" t="s">
        <v>880</v>
      </c>
      <c r="D7" s="40"/>
      <c r="E7" s="40">
        <v>2709621</v>
      </c>
      <c r="F7" s="40">
        <v>2709621</v>
      </c>
      <c r="G7" s="41">
        <f>D7+F7</f>
        <v>2709621</v>
      </c>
    </row>
    <row r="8" spans="1:7" ht="15.75" customHeight="1">
      <c r="A8" s="39"/>
      <c r="B8" s="40"/>
      <c r="C8" s="228"/>
      <c r="D8" s="40"/>
      <c r="E8" s="40"/>
      <c r="F8" s="40"/>
      <c r="G8" s="41">
        <f aca="true" t="shared" si="0" ref="G8:G25">D8+F8</f>
        <v>0</v>
      </c>
    </row>
    <row r="9" spans="1:7" ht="15.75" customHeight="1">
      <c r="A9" s="39"/>
      <c r="B9" s="40"/>
      <c r="C9" s="228"/>
      <c r="D9" s="40"/>
      <c r="E9" s="40"/>
      <c r="F9" s="40"/>
      <c r="G9" s="41">
        <f t="shared" si="0"/>
        <v>0</v>
      </c>
    </row>
    <row r="10" spans="1:7" ht="15.75" customHeight="1">
      <c r="A10" s="39"/>
      <c r="B10" s="40"/>
      <c r="C10" s="228"/>
      <c r="D10" s="40"/>
      <c r="E10" s="40"/>
      <c r="F10" s="40"/>
      <c r="G10" s="41">
        <f t="shared" si="0"/>
        <v>0</v>
      </c>
    </row>
    <row r="11" spans="1:7" ht="15.75" customHeight="1">
      <c r="A11" s="39"/>
      <c r="B11" s="40"/>
      <c r="C11" s="228"/>
      <c r="D11" s="40"/>
      <c r="E11" s="40"/>
      <c r="F11" s="40"/>
      <c r="G11" s="41">
        <f t="shared" si="0"/>
        <v>0</v>
      </c>
    </row>
    <row r="12" spans="1:7" ht="15.75" customHeight="1">
      <c r="A12" s="39"/>
      <c r="B12" s="40"/>
      <c r="C12" s="228"/>
      <c r="D12" s="40"/>
      <c r="E12" s="40"/>
      <c r="F12" s="40"/>
      <c r="G12" s="41">
        <f t="shared" si="0"/>
        <v>0</v>
      </c>
    </row>
    <row r="13" spans="1:7" ht="15.75" customHeight="1">
      <c r="A13" s="39"/>
      <c r="B13" s="40"/>
      <c r="C13" s="228"/>
      <c r="D13" s="40"/>
      <c r="E13" s="40"/>
      <c r="F13" s="40"/>
      <c r="G13" s="41">
        <f t="shared" si="0"/>
        <v>0</v>
      </c>
    </row>
    <row r="14" spans="1:7" ht="15.75" customHeight="1">
      <c r="A14" s="39"/>
      <c r="B14" s="40"/>
      <c r="C14" s="228"/>
      <c r="D14" s="40"/>
      <c r="E14" s="40"/>
      <c r="F14" s="40"/>
      <c r="G14" s="41">
        <f t="shared" si="0"/>
        <v>0</v>
      </c>
    </row>
    <row r="15" spans="1:7" ht="15.75" customHeight="1">
      <c r="A15" s="39"/>
      <c r="B15" s="40"/>
      <c r="C15" s="228"/>
      <c r="D15" s="40"/>
      <c r="E15" s="40"/>
      <c r="F15" s="40"/>
      <c r="G15" s="41">
        <f t="shared" si="0"/>
        <v>0</v>
      </c>
    </row>
    <row r="16" spans="1:7" ht="15.75" customHeight="1">
      <c r="A16" s="39"/>
      <c r="B16" s="40"/>
      <c r="C16" s="228"/>
      <c r="D16" s="40"/>
      <c r="E16" s="40"/>
      <c r="F16" s="40"/>
      <c r="G16" s="41">
        <f t="shared" si="0"/>
        <v>0</v>
      </c>
    </row>
    <row r="17" spans="1:7" ht="15.75" customHeight="1">
      <c r="A17" s="39"/>
      <c r="B17" s="40"/>
      <c r="C17" s="228"/>
      <c r="D17" s="40"/>
      <c r="E17" s="40"/>
      <c r="F17" s="40"/>
      <c r="G17" s="41">
        <f t="shared" si="0"/>
        <v>0</v>
      </c>
    </row>
    <row r="18" spans="1:7" ht="15.75" customHeight="1">
      <c r="A18" s="39"/>
      <c r="B18" s="40"/>
      <c r="C18" s="228"/>
      <c r="D18" s="40"/>
      <c r="E18" s="40"/>
      <c r="F18" s="40"/>
      <c r="G18" s="41">
        <f t="shared" si="0"/>
        <v>0</v>
      </c>
    </row>
    <row r="19" spans="1:7" ht="15.75" customHeight="1">
      <c r="A19" s="39"/>
      <c r="B19" s="40"/>
      <c r="C19" s="228"/>
      <c r="D19" s="40"/>
      <c r="E19" s="40"/>
      <c r="F19" s="40"/>
      <c r="G19" s="41">
        <f t="shared" si="0"/>
        <v>0</v>
      </c>
    </row>
    <row r="20" spans="1:7" ht="15.75" customHeight="1">
      <c r="A20" s="39"/>
      <c r="B20" s="40"/>
      <c r="C20" s="228"/>
      <c r="D20" s="40"/>
      <c r="E20" s="40"/>
      <c r="F20" s="40"/>
      <c r="G20" s="41">
        <f t="shared" si="0"/>
        <v>0</v>
      </c>
    </row>
    <row r="21" spans="1:7" ht="15.75" customHeight="1">
      <c r="A21" s="39"/>
      <c r="B21" s="40"/>
      <c r="C21" s="228"/>
      <c r="D21" s="40"/>
      <c r="E21" s="40"/>
      <c r="F21" s="40"/>
      <c r="G21" s="41">
        <f t="shared" si="0"/>
        <v>0</v>
      </c>
    </row>
    <row r="22" spans="1:7" ht="15.75" customHeight="1">
      <c r="A22" s="39"/>
      <c r="B22" s="40"/>
      <c r="C22" s="228"/>
      <c r="D22" s="40"/>
      <c r="E22" s="40"/>
      <c r="F22" s="40"/>
      <c r="G22" s="41">
        <f t="shared" si="0"/>
        <v>0</v>
      </c>
    </row>
    <row r="23" spans="1:7" ht="15.75" customHeight="1">
      <c r="A23" s="39"/>
      <c r="B23" s="40"/>
      <c r="C23" s="228"/>
      <c r="D23" s="40"/>
      <c r="E23" s="40"/>
      <c r="F23" s="40"/>
      <c r="G23" s="41">
        <f t="shared" si="0"/>
        <v>0</v>
      </c>
    </row>
    <row r="24" spans="1:7" ht="15.75" customHeight="1">
      <c r="A24" s="39"/>
      <c r="B24" s="40"/>
      <c r="C24" s="228"/>
      <c r="D24" s="40"/>
      <c r="E24" s="40"/>
      <c r="F24" s="40"/>
      <c r="G24" s="41">
        <f t="shared" si="0"/>
        <v>0</v>
      </c>
    </row>
    <row r="25" spans="1:7" ht="15.75" customHeight="1" thickBot="1">
      <c r="A25" s="42"/>
      <c r="B25" s="43"/>
      <c r="C25" s="229"/>
      <c r="D25" s="43"/>
      <c r="E25" s="43"/>
      <c r="F25" s="43"/>
      <c r="G25" s="44">
        <f t="shared" si="0"/>
        <v>0</v>
      </c>
    </row>
    <row r="26" spans="1:7" s="38" customFormat="1" ht="18" customHeight="1" thickBot="1">
      <c r="A26" s="74" t="s">
        <v>46</v>
      </c>
      <c r="B26" s="75">
        <f>SUM(B7:B25)</f>
        <v>2709621</v>
      </c>
      <c r="C26" s="56"/>
      <c r="D26" s="75">
        <f>SUM(D7:D25)</f>
        <v>0</v>
      </c>
      <c r="E26" s="75"/>
      <c r="F26" s="75">
        <f>SUM(F7:F25)</f>
        <v>2709621</v>
      </c>
      <c r="G26" s="45">
        <f>SUM(G7:G25)</f>
        <v>2709621</v>
      </c>
    </row>
  </sheetData>
  <sheetProtection sheet="1"/>
  <mergeCells count="2">
    <mergeCell ref="A3:G3"/>
    <mergeCell ref="B1:G1"/>
  </mergeCells>
  <printOptions horizontalCentered="1"/>
  <pageMargins left="0.65" right="0.7874015748031497" top="1.2369791666666667" bottom="0.984251968503937" header="0.7874015748031497" footer="0.7874015748031497"/>
  <pageSetup orientation="landscape" paperSize="9" scale="91" r:id="rId1"/>
  <headerFooter alignWithMargins="0">
    <oddHeader xml:space="preserve">&amp;R
   </oddHeader>
  </headerFooter>
</worksheet>
</file>

<file path=xl/worksheets/sheet13.xml><?xml version="1.0" encoding="utf-8"?>
<worksheet xmlns="http://schemas.openxmlformats.org/spreadsheetml/2006/main" xmlns:r="http://schemas.openxmlformats.org/officeDocument/2006/relationships">
  <sheetPr>
    <tabColor rgb="FF92D050"/>
  </sheetPr>
  <dimension ref="A1:J231"/>
  <sheetViews>
    <sheetView zoomScale="120" zoomScaleNormal="120" zoomScaleSheetLayoutView="100" workbookViewId="0" topLeftCell="A166">
      <selection activeCell="F205" sqref="F205"/>
    </sheetView>
  </sheetViews>
  <sheetFormatPr defaultColWidth="9.00390625" defaultRowHeight="12.75"/>
  <cols>
    <col min="1" max="1" width="28.50390625" style="0" customWidth="1"/>
    <col min="2" max="4" width="13.875" style="0" customWidth="1"/>
    <col min="5" max="5" width="12.875" style="0" customWidth="1"/>
    <col min="6" max="7" width="13.875" style="0" customWidth="1"/>
    <col min="8" max="8" width="12.875" style="0" customWidth="1"/>
    <col min="9" max="9" width="13.875" style="0" customWidth="1"/>
    <col min="10" max="10" width="7.375" style="0" customWidth="1"/>
    <col min="11" max="11" width="11.375" style="0" customWidth="1"/>
    <col min="12" max="12" width="4.00390625" style="0" customWidth="1"/>
  </cols>
  <sheetData>
    <row r="1" spans="1:10" ht="15" customHeight="1">
      <c r="A1" s="814"/>
      <c r="B1" s="814"/>
      <c r="C1" s="814"/>
      <c r="D1" s="814"/>
      <c r="E1" s="814"/>
      <c r="F1" s="814"/>
      <c r="G1" s="814"/>
      <c r="H1" s="814"/>
      <c r="I1" s="814"/>
      <c r="J1" s="815" t="str">
        <f>CONCATENATE("5. melléklet ",Z_ALAPADATOK!A7," ",Z_ALAPADATOK!B7," ",Z_ALAPADATOK!C7," ",Z_ALAPADATOK!D7," ",Z_ALAPADATOK!E7," ",Z_ALAPADATOK!F7," ",Z_ALAPADATOK!G7," ",Z_ALAPADATOK!H7)</f>
        <v>5. melléklet a 4 / 2020. ( VII.17. ) önkormányzati rendelethez</v>
      </c>
    </row>
    <row r="2" spans="1:10" ht="15.75">
      <c r="A2" s="818" t="s">
        <v>854</v>
      </c>
      <c r="B2" s="818"/>
      <c r="C2" s="818"/>
      <c r="D2" s="818"/>
      <c r="E2" s="818"/>
      <c r="F2" s="818"/>
      <c r="G2" s="818"/>
      <c r="H2" s="818"/>
      <c r="I2" s="818"/>
      <c r="J2" s="815"/>
    </row>
    <row r="3" spans="1:10" ht="14.25" thickBot="1">
      <c r="A3" s="712"/>
      <c r="B3" s="712"/>
      <c r="C3" s="712"/>
      <c r="D3" s="712"/>
      <c r="E3" s="712"/>
      <c r="F3" s="712"/>
      <c r="G3" s="712"/>
      <c r="H3" s="819" t="str">
        <f>H13</f>
        <v>Forintban!</v>
      </c>
      <c r="I3" s="819"/>
      <c r="J3" s="815"/>
    </row>
    <row r="4" spans="1:10" ht="42.75" thickBot="1">
      <c r="A4" s="820" t="s">
        <v>89</v>
      </c>
      <c r="B4" s="821"/>
      <c r="C4" s="821"/>
      <c r="D4" s="821"/>
      <c r="E4" s="821"/>
      <c r="F4" s="822"/>
      <c r="G4" s="713" t="s">
        <v>448</v>
      </c>
      <c r="H4" s="713" t="s">
        <v>447</v>
      </c>
      <c r="I4" s="713" t="str">
        <f>CONCATENATE("Összes teljesítés ",Z_TARTALOMJEGYZÉK!A1,". XII.31 -ig")</f>
        <v>Összes teljesítés 2019. XII.31 -ig</v>
      </c>
      <c r="J4" s="815"/>
    </row>
    <row r="5" spans="1:10" ht="12.75">
      <c r="A5" s="823"/>
      <c r="B5" s="824"/>
      <c r="C5" s="824"/>
      <c r="D5" s="824"/>
      <c r="E5" s="824"/>
      <c r="F5" s="825"/>
      <c r="G5" s="714"/>
      <c r="H5" s="715"/>
      <c r="I5" s="715"/>
      <c r="J5" s="815"/>
    </row>
    <row r="6" spans="1:10" ht="13.5" thickBot="1">
      <c r="A6" s="826"/>
      <c r="B6" s="827"/>
      <c r="C6" s="827"/>
      <c r="D6" s="827"/>
      <c r="E6" s="827"/>
      <c r="F6" s="828"/>
      <c r="G6" s="716"/>
      <c r="H6" s="717"/>
      <c r="I6" s="717"/>
      <c r="J6" s="815"/>
    </row>
    <row r="7" spans="1:10" ht="13.5" thickBot="1">
      <c r="A7" s="829" t="s">
        <v>513</v>
      </c>
      <c r="B7" s="830"/>
      <c r="C7" s="830"/>
      <c r="D7" s="830"/>
      <c r="E7" s="830"/>
      <c r="F7" s="831"/>
      <c r="G7" s="718">
        <f>SUM(G5:G6)</f>
        <v>0</v>
      </c>
      <c r="H7" s="718">
        <f>SUM(H5:H6)</f>
        <v>0</v>
      </c>
      <c r="I7" s="718">
        <f>SUM(I5:I6)</f>
        <v>0</v>
      </c>
      <c r="J7" s="815"/>
    </row>
    <row r="8" spans="1:10" ht="12.75">
      <c r="A8" s="737"/>
      <c r="B8" s="737"/>
      <c r="C8" s="737"/>
      <c r="D8" s="737"/>
      <c r="E8" s="737"/>
      <c r="F8" s="737"/>
      <c r="G8" s="738"/>
      <c r="H8" s="738"/>
      <c r="I8" s="738"/>
      <c r="J8" s="815"/>
    </row>
    <row r="9" spans="1:10" ht="15.75">
      <c r="A9" s="816" t="s">
        <v>518</v>
      </c>
      <c r="B9" s="816"/>
      <c r="C9" s="816"/>
      <c r="D9" s="816"/>
      <c r="E9" s="816"/>
      <c r="F9" s="816"/>
      <c r="G9" s="816"/>
      <c r="H9" s="816"/>
      <c r="I9" s="816"/>
      <c r="J9" s="815"/>
    </row>
    <row r="10" spans="1:10" ht="15.75">
      <c r="A10" s="817" t="s">
        <v>851</v>
      </c>
      <c r="B10" s="816"/>
      <c r="C10" s="816"/>
      <c r="D10" s="816"/>
      <c r="E10" s="816"/>
      <c r="F10" s="816"/>
      <c r="G10" s="816"/>
      <c r="H10" s="816"/>
      <c r="I10" s="816"/>
      <c r="J10" s="815"/>
    </row>
    <row r="11" spans="1:10" ht="15.75">
      <c r="A11" s="711"/>
      <c r="B11" s="710"/>
      <c r="C11" s="710"/>
      <c r="D11" s="710"/>
      <c r="E11" s="710"/>
      <c r="F11" s="710"/>
      <c r="G11" s="710"/>
      <c r="H11" s="710"/>
      <c r="I11" s="710"/>
      <c r="J11" s="815"/>
    </row>
    <row r="12" spans="1:10" ht="14.25">
      <c r="A12" s="832" t="s">
        <v>852</v>
      </c>
      <c r="B12" s="832"/>
      <c r="C12" s="833" t="s">
        <v>885</v>
      </c>
      <c r="D12" s="834"/>
      <c r="E12" s="834"/>
      <c r="F12" s="834"/>
      <c r="G12" s="834"/>
      <c r="H12" s="834"/>
      <c r="I12" s="834"/>
      <c r="J12" s="815"/>
    </row>
    <row r="13" spans="1:10" ht="15.75" thickBot="1">
      <c r="A13" s="719"/>
      <c r="B13" s="719"/>
      <c r="C13" s="719"/>
      <c r="D13" s="719"/>
      <c r="E13" s="719"/>
      <c r="F13" s="719"/>
      <c r="G13" s="719"/>
      <c r="H13" s="835" t="s">
        <v>838</v>
      </c>
      <c r="I13" s="835"/>
      <c r="J13" s="815"/>
    </row>
    <row r="14" spans="1:10" ht="13.5" thickBot="1">
      <c r="A14" s="836" t="s">
        <v>83</v>
      </c>
      <c r="B14" s="839" t="s">
        <v>444</v>
      </c>
      <c r="C14" s="840"/>
      <c r="D14" s="840"/>
      <c r="E14" s="840"/>
      <c r="F14" s="841"/>
      <c r="G14" s="841"/>
      <c r="H14" s="841"/>
      <c r="I14" s="842"/>
      <c r="J14" s="815"/>
    </row>
    <row r="15" spans="1:10" ht="13.5" thickBot="1">
      <c r="A15" s="837"/>
      <c r="B15" s="843" t="s">
        <v>859</v>
      </c>
      <c r="C15" s="846" t="s">
        <v>853</v>
      </c>
      <c r="D15" s="847"/>
      <c r="E15" s="847"/>
      <c r="F15" s="847"/>
      <c r="G15" s="847"/>
      <c r="H15" s="847"/>
      <c r="I15" s="848"/>
      <c r="J15" s="815"/>
    </row>
    <row r="16" spans="1:10" ht="48.75" thickBot="1">
      <c r="A16" s="837"/>
      <c r="B16" s="844"/>
      <c r="C16" s="849" t="str">
        <f>CONCATENATE(Z_TARTALOMJEGYZÉK!$A$1,".  előtti forrás, kiadás")</f>
        <v>2019.  előtti forrás, kiadás</v>
      </c>
      <c r="D16" s="720" t="s">
        <v>446</v>
      </c>
      <c r="E16" s="720" t="s">
        <v>447</v>
      </c>
      <c r="F16" s="721" t="str">
        <f>CONCATENATE("Összes teljesítés ",Z_TARTALOMJEGYZÉK!$A$1,". XII.31 -ig")</f>
        <v>Összes teljesítés 2019. XII.31 -ig</v>
      </c>
      <c r="G16" s="721" t="s">
        <v>446</v>
      </c>
      <c r="H16" s="721" t="s">
        <v>447</v>
      </c>
      <c r="I16" s="721" t="str">
        <f>CONCATENATE("Összes teljesítés ",Z_TARTALOMJEGYZÉK!$A$1,". XII.31 -ig")</f>
        <v>Összes teljesítés 2019. XII.31 -ig</v>
      </c>
      <c r="J16" s="815"/>
    </row>
    <row r="17" spans="1:10" ht="11.25" customHeight="1" thickBot="1">
      <c r="A17" s="838"/>
      <c r="B17" s="845"/>
      <c r="C17" s="850"/>
      <c r="D17" s="851" t="str">
        <f>CONCATENATE(Z_TARTALOMJEGYZÉK!$A$1,". évi")</f>
        <v>2019. évi</v>
      </c>
      <c r="E17" s="852"/>
      <c r="F17" s="853"/>
      <c r="G17" s="851" t="str">
        <f>CONCATENATE(Z_TARTALOMJEGYZÉK!$A$1,". után")</f>
        <v>2019. után</v>
      </c>
      <c r="H17" s="854"/>
      <c r="I17" s="853"/>
      <c r="J17" s="815"/>
    </row>
    <row r="18" spans="1:10" ht="13.5" thickBot="1">
      <c r="A18" s="722" t="s">
        <v>385</v>
      </c>
      <c r="B18" s="723" t="s">
        <v>858</v>
      </c>
      <c r="C18" s="724" t="s">
        <v>387</v>
      </c>
      <c r="D18" s="725" t="s">
        <v>389</v>
      </c>
      <c r="E18" s="725" t="s">
        <v>388</v>
      </c>
      <c r="F18" s="724" t="s">
        <v>390</v>
      </c>
      <c r="G18" s="724" t="s">
        <v>391</v>
      </c>
      <c r="H18" s="724" t="s">
        <v>392</v>
      </c>
      <c r="I18" s="726" t="s">
        <v>857</v>
      </c>
      <c r="J18" s="815"/>
    </row>
    <row r="19" spans="1:10" ht="12.75">
      <c r="A19" s="727" t="s">
        <v>84</v>
      </c>
      <c r="B19" s="753">
        <f aca="true" t="shared" si="0" ref="B19:B24">C19+E19+H19</f>
        <v>0</v>
      </c>
      <c r="C19" s="739"/>
      <c r="D19" s="740"/>
      <c r="E19" s="740"/>
      <c r="F19" s="750"/>
      <c r="G19" s="740"/>
      <c r="H19" s="741"/>
      <c r="I19" s="742">
        <f aca="true" t="shared" si="1" ref="I19:I24">C19+F19</f>
        <v>0</v>
      </c>
      <c r="J19" s="815"/>
    </row>
    <row r="20" spans="1:10" ht="12.75">
      <c r="A20" s="728" t="s">
        <v>95</v>
      </c>
      <c r="B20" s="754">
        <f t="shared" si="0"/>
        <v>0</v>
      </c>
      <c r="C20" s="743"/>
      <c r="D20" s="743"/>
      <c r="E20" s="744"/>
      <c r="F20" s="751"/>
      <c r="G20" s="743"/>
      <c r="H20" s="744"/>
      <c r="I20" s="745">
        <f t="shared" si="1"/>
        <v>0</v>
      </c>
      <c r="J20" s="815"/>
    </row>
    <row r="21" spans="1:10" ht="12.75">
      <c r="A21" s="729" t="s">
        <v>85</v>
      </c>
      <c r="B21" s="755">
        <v>14096793</v>
      </c>
      <c r="C21" s="744"/>
      <c r="D21" s="744"/>
      <c r="E21" s="744">
        <v>14096793</v>
      </c>
      <c r="F21" s="752">
        <v>14096793</v>
      </c>
      <c r="G21" s="744"/>
      <c r="H21" s="744"/>
      <c r="I21" s="745">
        <f t="shared" si="1"/>
        <v>14096793</v>
      </c>
      <c r="J21" s="815"/>
    </row>
    <row r="22" spans="1:10" ht="12.75">
      <c r="A22" s="729" t="s">
        <v>96</v>
      </c>
      <c r="B22" s="755">
        <f t="shared" si="0"/>
        <v>0</v>
      </c>
      <c r="C22" s="744"/>
      <c r="D22" s="744"/>
      <c r="E22" s="744"/>
      <c r="F22" s="752"/>
      <c r="G22" s="744"/>
      <c r="H22" s="744"/>
      <c r="I22" s="745">
        <f t="shared" si="1"/>
        <v>0</v>
      </c>
      <c r="J22" s="815"/>
    </row>
    <row r="23" spans="1:10" ht="12.75">
      <c r="A23" s="729" t="s">
        <v>86</v>
      </c>
      <c r="B23" s="755">
        <f t="shared" si="0"/>
        <v>0</v>
      </c>
      <c r="C23" s="744"/>
      <c r="D23" s="744"/>
      <c r="E23" s="744"/>
      <c r="F23" s="752"/>
      <c r="G23" s="744"/>
      <c r="H23" s="744"/>
      <c r="I23" s="745">
        <f t="shared" si="1"/>
        <v>0</v>
      </c>
      <c r="J23" s="815"/>
    </row>
    <row r="24" spans="1:10" ht="13.5" thickBot="1">
      <c r="A24" s="729" t="s">
        <v>87</v>
      </c>
      <c r="B24" s="755">
        <f t="shared" si="0"/>
        <v>0</v>
      </c>
      <c r="C24" s="744"/>
      <c r="D24" s="744"/>
      <c r="E24" s="744"/>
      <c r="F24" s="752"/>
      <c r="G24" s="744"/>
      <c r="H24" s="744"/>
      <c r="I24" s="745">
        <f t="shared" si="1"/>
        <v>0</v>
      </c>
      <c r="J24" s="815"/>
    </row>
    <row r="25" spans="1:10" ht="13.5" thickBot="1">
      <c r="A25" s="730" t="s">
        <v>88</v>
      </c>
      <c r="B25" s="756">
        <f aca="true" t="shared" si="2" ref="B25:I25">B19+SUM(B21:B24)</f>
        <v>14096793</v>
      </c>
      <c r="C25" s="746">
        <f t="shared" si="2"/>
        <v>0</v>
      </c>
      <c r="D25" s="746">
        <f t="shared" si="2"/>
        <v>0</v>
      </c>
      <c r="E25" s="746">
        <f t="shared" si="2"/>
        <v>14096793</v>
      </c>
      <c r="F25" s="746">
        <f t="shared" si="2"/>
        <v>14096793</v>
      </c>
      <c r="G25" s="746">
        <f t="shared" si="2"/>
        <v>0</v>
      </c>
      <c r="H25" s="746">
        <f t="shared" si="2"/>
        <v>0</v>
      </c>
      <c r="I25" s="747">
        <f t="shared" si="2"/>
        <v>14096793</v>
      </c>
      <c r="J25" s="815"/>
    </row>
    <row r="26" spans="1:10" ht="12.75">
      <c r="A26" s="731" t="s">
        <v>91</v>
      </c>
      <c r="B26" s="753">
        <v>6601411</v>
      </c>
      <c r="C26" s="740"/>
      <c r="D26" s="740"/>
      <c r="E26" s="740">
        <v>6601411</v>
      </c>
      <c r="F26" s="740">
        <v>6601411</v>
      </c>
      <c r="G26" s="740"/>
      <c r="H26" s="740"/>
      <c r="I26" s="742">
        <f>C26+F26</f>
        <v>6601411</v>
      </c>
      <c r="J26" s="815"/>
    </row>
    <row r="27" spans="1:10" ht="12.75">
      <c r="A27" s="732" t="s">
        <v>92</v>
      </c>
      <c r="B27" s="755">
        <f>C27+E27+H27</f>
        <v>0</v>
      </c>
      <c r="C27" s="744"/>
      <c r="D27" s="744"/>
      <c r="E27" s="744"/>
      <c r="F27" s="744"/>
      <c r="G27" s="744"/>
      <c r="H27" s="744"/>
      <c r="I27" s="745">
        <f>C27+F27</f>
        <v>0</v>
      </c>
      <c r="J27" s="815"/>
    </row>
    <row r="28" spans="1:10" ht="12.75">
      <c r="A28" s="732" t="s">
        <v>93</v>
      </c>
      <c r="B28" s="755">
        <v>668410</v>
      </c>
      <c r="C28" s="744"/>
      <c r="D28" s="744"/>
      <c r="E28" s="744">
        <v>668410</v>
      </c>
      <c r="F28" s="744">
        <v>668410</v>
      </c>
      <c r="G28" s="744"/>
      <c r="H28" s="744"/>
      <c r="I28" s="745">
        <f>C28+F28</f>
        <v>668410</v>
      </c>
      <c r="J28" s="815"/>
    </row>
    <row r="29" spans="1:10" ht="12.75">
      <c r="A29" s="732" t="s">
        <v>94</v>
      </c>
      <c r="B29" s="755">
        <f>C29+E29+H29</f>
        <v>0</v>
      </c>
      <c r="C29" s="744"/>
      <c r="D29" s="744"/>
      <c r="E29" s="744"/>
      <c r="F29" s="744"/>
      <c r="G29" s="744"/>
      <c r="H29" s="744"/>
      <c r="I29" s="745">
        <f>C29+F29</f>
        <v>0</v>
      </c>
      <c r="J29" s="815"/>
    </row>
    <row r="30" spans="1:10" ht="13.5" thickBot="1">
      <c r="A30" s="733"/>
      <c r="B30" s="757">
        <f>C30+E30+H30</f>
        <v>0</v>
      </c>
      <c r="C30" s="748"/>
      <c r="D30" s="748"/>
      <c r="E30" s="744"/>
      <c r="F30" s="748"/>
      <c r="G30" s="748"/>
      <c r="H30" s="744"/>
      <c r="I30" s="749">
        <f>C30+F30</f>
        <v>0</v>
      </c>
      <c r="J30" s="815"/>
    </row>
    <row r="31" spans="1:10" ht="13.5" thickBot="1">
      <c r="A31" s="734" t="s">
        <v>74</v>
      </c>
      <c r="B31" s="756">
        <f aca="true" t="shared" si="3" ref="B31:I31">SUM(B26:B30)</f>
        <v>7269821</v>
      </c>
      <c r="C31" s="746">
        <f t="shared" si="3"/>
        <v>0</v>
      </c>
      <c r="D31" s="746">
        <f t="shared" si="3"/>
        <v>0</v>
      </c>
      <c r="E31" s="746">
        <f t="shared" si="3"/>
        <v>7269821</v>
      </c>
      <c r="F31" s="746">
        <f t="shared" si="3"/>
        <v>7269821</v>
      </c>
      <c r="G31" s="746">
        <f t="shared" si="3"/>
        <v>0</v>
      </c>
      <c r="H31" s="746">
        <f t="shared" si="3"/>
        <v>0</v>
      </c>
      <c r="I31" s="747">
        <f t="shared" si="3"/>
        <v>7269821</v>
      </c>
      <c r="J31" s="815"/>
    </row>
    <row r="32" spans="1:10" ht="12.75">
      <c r="A32" s="855" t="s">
        <v>514</v>
      </c>
      <c r="B32" s="855"/>
      <c r="C32" s="855"/>
      <c r="D32" s="855"/>
      <c r="E32" s="855"/>
      <c r="F32" s="855"/>
      <c r="G32" s="855"/>
      <c r="H32" s="855"/>
      <c r="I32" s="855"/>
      <c r="J32" s="815"/>
    </row>
    <row r="33" spans="1:10" ht="12.75">
      <c r="A33" s="735"/>
      <c r="B33" s="735"/>
      <c r="C33" s="735"/>
      <c r="D33" s="735"/>
      <c r="E33" s="735"/>
      <c r="F33" s="735"/>
      <c r="G33" s="735"/>
      <c r="H33" s="735"/>
      <c r="I33" s="735"/>
      <c r="J33" s="815"/>
    </row>
    <row r="34" spans="1:10" ht="14.25" customHeight="1">
      <c r="A34" s="832" t="s">
        <v>855</v>
      </c>
      <c r="B34" s="832"/>
      <c r="C34" s="833" t="s">
        <v>893</v>
      </c>
      <c r="D34" s="834"/>
      <c r="E34" s="834"/>
      <c r="F34" s="834"/>
      <c r="G34" s="834"/>
      <c r="H34" s="834"/>
      <c r="I34" s="834"/>
      <c r="J34" s="815"/>
    </row>
    <row r="35" spans="1:10" ht="15.75" thickBot="1">
      <c r="A35" s="719"/>
      <c r="B35" s="719"/>
      <c r="C35" s="719"/>
      <c r="D35" s="719"/>
      <c r="E35" s="719"/>
      <c r="F35" s="719"/>
      <c r="G35" s="719"/>
      <c r="H35" s="835" t="s">
        <v>838</v>
      </c>
      <c r="I35" s="835"/>
      <c r="J35" s="815"/>
    </row>
    <row r="36" spans="1:10" ht="13.5" customHeight="1" thickBot="1">
      <c r="A36" s="836" t="s">
        <v>83</v>
      </c>
      <c r="B36" s="839" t="s">
        <v>444</v>
      </c>
      <c r="C36" s="840"/>
      <c r="D36" s="840"/>
      <c r="E36" s="840"/>
      <c r="F36" s="841"/>
      <c r="G36" s="841"/>
      <c r="H36" s="841"/>
      <c r="I36" s="842"/>
      <c r="J36" s="815"/>
    </row>
    <row r="37" spans="1:10" ht="13.5" customHeight="1" thickBot="1">
      <c r="A37" s="837"/>
      <c r="B37" s="843" t="str">
        <f>B15</f>
        <v>Módosítás utáni összes forrás, kiadás</v>
      </c>
      <c r="C37" s="846" t="s">
        <v>853</v>
      </c>
      <c r="D37" s="847"/>
      <c r="E37" s="847"/>
      <c r="F37" s="847"/>
      <c r="G37" s="847"/>
      <c r="H37" s="847"/>
      <c r="I37" s="848"/>
      <c r="J37" s="815"/>
    </row>
    <row r="38" spans="1:10" ht="48.75" thickBot="1">
      <c r="A38" s="837"/>
      <c r="B38" s="844"/>
      <c r="C38" s="849" t="str">
        <f>CONCATENATE(Z_TARTALOMJEGYZÉK!$A$1,".  előtti forrás, kiadás")</f>
        <v>2019.  előtti forrás, kiadás</v>
      </c>
      <c r="D38" s="720" t="s">
        <v>446</v>
      </c>
      <c r="E38" s="720" t="s">
        <v>447</v>
      </c>
      <c r="F38" s="721" t="str">
        <f>CONCATENATE("Összes teljesítés ",Z_TARTALOMJEGYZÉK!$A$1,". XII.31 -ig")</f>
        <v>Összes teljesítés 2019. XII.31 -ig</v>
      </c>
      <c r="G38" s="721" t="s">
        <v>446</v>
      </c>
      <c r="H38" s="721" t="s">
        <v>447</v>
      </c>
      <c r="I38" s="721" t="str">
        <f>CONCATENATE("Összes teljesítés ",Z_TARTALOMJEGYZÉK!$A$1,". XII.31 -ig")</f>
        <v>Összes teljesítés 2019. XII.31 -ig</v>
      </c>
      <c r="J38" s="815"/>
    </row>
    <row r="39" spans="1:10" ht="13.5" thickBot="1">
      <c r="A39" s="838"/>
      <c r="B39" s="845"/>
      <c r="C39" s="850"/>
      <c r="D39" s="851" t="str">
        <f>CONCATENATE(Z_TARTALOMJEGYZÉK!$A$1,". évi")</f>
        <v>2019. évi</v>
      </c>
      <c r="E39" s="852"/>
      <c r="F39" s="853"/>
      <c r="G39" s="851" t="str">
        <f>CONCATENATE(Z_TARTALOMJEGYZÉK!$A$1,". után")</f>
        <v>2019. után</v>
      </c>
      <c r="H39" s="854"/>
      <c r="I39" s="853"/>
      <c r="J39" s="815"/>
    </row>
    <row r="40" spans="1:10" ht="13.5" thickBot="1">
      <c r="A40" s="722" t="s">
        <v>385</v>
      </c>
      <c r="B40" s="723" t="s">
        <v>858</v>
      </c>
      <c r="C40" s="724" t="s">
        <v>387</v>
      </c>
      <c r="D40" s="725" t="s">
        <v>389</v>
      </c>
      <c r="E40" s="725" t="s">
        <v>388</v>
      </c>
      <c r="F40" s="724" t="s">
        <v>390</v>
      </c>
      <c r="G40" s="724" t="s">
        <v>391</v>
      </c>
      <c r="H40" s="724" t="s">
        <v>392</v>
      </c>
      <c r="I40" s="726" t="s">
        <v>857</v>
      </c>
      <c r="J40" s="815"/>
    </row>
    <row r="41" spans="1:10" ht="12.75">
      <c r="A41" s="727" t="s">
        <v>84</v>
      </c>
      <c r="B41" s="753">
        <f aca="true" t="shared" si="4" ref="B41:B46">C41+E41+H41</f>
        <v>0</v>
      </c>
      <c r="C41" s="739"/>
      <c r="D41" s="740"/>
      <c r="E41" s="740"/>
      <c r="F41" s="750"/>
      <c r="G41" s="740"/>
      <c r="H41" s="741"/>
      <c r="I41" s="742">
        <f aca="true" t="shared" si="5" ref="I41:I46">C41+F41</f>
        <v>0</v>
      </c>
      <c r="J41" s="815"/>
    </row>
    <row r="42" spans="1:10" ht="12.75">
      <c r="A42" s="728" t="s">
        <v>95</v>
      </c>
      <c r="B42" s="754">
        <f t="shared" si="4"/>
        <v>0</v>
      </c>
      <c r="C42" s="743"/>
      <c r="D42" s="743"/>
      <c r="E42" s="744"/>
      <c r="F42" s="751"/>
      <c r="G42" s="743"/>
      <c r="H42" s="744"/>
      <c r="I42" s="745">
        <f t="shared" si="5"/>
        <v>0</v>
      </c>
      <c r="J42" s="815"/>
    </row>
    <row r="43" spans="1:10" ht="12.75">
      <c r="A43" s="729" t="s">
        <v>85</v>
      </c>
      <c r="B43" s="755">
        <v>7226519</v>
      </c>
      <c r="C43" s="744"/>
      <c r="D43" s="744"/>
      <c r="E43" s="744">
        <v>7226519</v>
      </c>
      <c r="F43" s="752">
        <v>7226519</v>
      </c>
      <c r="G43" s="744"/>
      <c r="H43" s="744"/>
      <c r="I43" s="745">
        <f t="shared" si="5"/>
        <v>7226519</v>
      </c>
      <c r="J43" s="815"/>
    </row>
    <row r="44" spans="1:10" ht="12.75">
      <c r="A44" s="729" t="s">
        <v>96</v>
      </c>
      <c r="B44" s="755">
        <f t="shared" si="4"/>
        <v>0</v>
      </c>
      <c r="C44" s="744"/>
      <c r="D44" s="744"/>
      <c r="E44" s="744"/>
      <c r="F44" s="752"/>
      <c r="G44" s="744"/>
      <c r="H44" s="744"/>
      <c r="I44" s="745">
        <f t="shared" si="5"/>
        <v>0</v>
      </c>
      <c r="J44" s="815"/>
    </row>
    <row r="45" spans="1:10" ht="12.75">
      <c r="A45" s="729" t="s">
        <v>86</v>
      </c>
      <c r="B45" s="755">
        <f t="shared" si="4"/>
        <v>0</v>
      </c>
      <c r="C45" s="744"/>
      <c r="D45" s="744"/>
      <c r="E45" s="744"/>
      <c r="F45" s="752"/>
      <c r="G45" s="744"/>
      <c r="H45" s="744"/>
      <c r="I45" s="745">
        <f t="shared" si="5"/>
        <v>0</v>
      </c>
      <c r="J45" s="815"/>
    </row>
    <row r="46" spans="1:10" ht="13.5" thickBot="1">
      <c r="A46" s="729" t="s">
        <v>87</v>
      </c>
      <c r="B46" s="755">
        <f t="shared" si="4"/>
        <v>0</v>
      </c>
      <c r="C46" s="744"/>
      <c r="D46" s="744"/>
      <c r="E46" s="744"/>
      <c r="F46" s="752"/>
      <c r="G46" s="744"/>
      <c r="H46" s="744"/>
      <c r="I46" s="745">
        <f t="shared" si="5"/>
        <v>0</v>
      </c>
      <c r="J46" s="815"/>
    </row>
    <row r="47" spans="1:10" ht="13.5" thickBot="1">
      <c r="A47" s="730" t="s">
        <v>88</v>
      </c>
      <c r="B47" s="756">
        <f aca="true" t="shared" si="6" ref="B47:I47">B41+SUM(B43:B46)</f>
        <v>7226519</v>
      </c>
      <c r="C47" s="746">
        <f t="shared" si="6"/>
        <v>0</v>
      </c>
      <c r="D47" s="746">
        <f t="shared" si="6"/>
        <v>0</v>
      </c>
      <c r="E47" s="746">
        <f t="shared" si="6"/>
        <v>7226519</v>
      </c>
      <c r="F47" s="746">
        <f t="shared" si="6"/>
        <v>7226519</v>
      </c>
      <c r="G47" s="746">
        <f t="shared" si="6"/>
        <v>0</v>
      </c>
      <c r="H47" s="746">
        <f t="shared" si="6"/>
        <v>0</v>
      </c>
      <c r="I47" s="747">
        <f t="shared" si="6"/>
        <v>7226519</v>
      </c>
      <c r="J47" s="815"/>
    </row>
    <row r="48" spans="1:10" ht="12.75">
      <c r="A48" s="731" t="s">
        <v>91</v>
      </c>
      <c r="B48" s="753">
        <v>14048023</v>
      </c>
      <c r="C48" s="740"/>
      <c r="D48" s="740"/>
      <c r="E48" s="740">
        <v>14048023</v>
      </c>
      <c r="F48" s="740">
        <v>14048023</v>
      </c>
      <c r="G48" s="740"/>
      <c r="H48" s="740"/>
      <c r="I48" s="742">
        <f>C48+F48</f>
        <v>14048023</v>
      </c>
      <c r="J48" s="815"/>
    </row>
    <row r="49" spans="1:10" ht="12.75">
      <c r="A49" s="732" t="s">
        <v>92</v>
      </c>
      <c r="B49" s="755">
        <f>C49+E49+H49</f>
        <v>0</v>
      </c>
      <c r="C49" s="744"/>
      <c r="D49" s="744"/>
      <c r="E49" s="744"/>
      <c r="F49" s="744"/>
      <c r="G49" s="744"/>
      <c r="H49" s="744"/>
      <c r="I49" s="745">
        <f>C49+F49</f>
        <v>0</v>
      </c>
      <c r="J49" s="815"/>
    </row>
    <row r="50" spans="1:10" ht="12.75">
      <c r="A50" s="732" t="s">
        <v>93</v>
      </c>
      <c r="B50" s="755">
        <v>4147275</v>
      </c>
      <c r="C50" s="744"/>
      <c r="D50" s="744"/>
      <c r="E50" s="744">
        <v>4147275</v>
      </c>
      <c r="F50" s="744">
        <v>4147275</v>
      </c>
      <c r="G50" s="744"/>
      <c r="H50" s="744"/>
      <c r="I50" s="745">
        <f>C50+F50</f>
        <v>4147275</v>
      </c>
      <c r="J50" s="815"/>
    </row>
    <row r="51" spans="1:10" ht="12.75">
      <c r="A51" s="732" t="s">
        <v>94</v>
      </c>
      <c r="B51" s="755">
        <f>C51+E51+H51</f>
        <v>0</v>
      </c>
      <c r="C51" s="744"/>
      <c r="D51" s="744"/>
      <c r="E51" s="744"/>
      <c r="F51" s="744"/>
      <c r="G51" s="744"/>
      <c r="H51" s="744"/>
      <c r="I51" s="745">
        <f>C51+F51</f>
        <v>0</v>
      </c>
      <c r="J51" s="815"/>
    </row>
    <row r="52" spans="1:10" ht="13.5" thickBot="1">
      <c r="A52" s="733"/>
      <c r="B52" s="757">
        <f>C52+E52+H52</f>
        <v>0</v>
      </c>
      <c r="C52" s="748"/>
      <c r="D52" s="748"/>
      <c r="E52" s="744"/>
      <c r="F52" s="748"/>
      <c r="G52" s="748"/>
      <c r="H52" s="744"/>
      <c r="I52" s="749">
        <f>C52+F52</f>
        <v>0</v>
      </c>
      <c r="J52" s="815"/>
    </row>
    <row r="53" spans="1:10" ht="13.5" thickBot="1">
      <c r="A53" s="734" t="s">
        <v>74</v>
      </c>
      <c r="B53" s="756">
        <f aca="true" t="shared" si="7" ref="B53:I53">SUM(B48:B52)</f>
        <v>18195298</v>
      </c>
      <c r="C53" s="746">
        <f t="shared" si="7"/>
        <v>0</v>
      </c>
      <c r="D53" s="746">
        <f t="shared" si="7"/>
        <v>0</v>
      </c>
      <c r="E53" s="746">
        <f t="shared" si="7"/>
        <v>18195298</v>
      </c>
      <c r="F53" s="746">
        <f t="shared" si="7"/>
        <v>18195298</v>
      </c>
      <c r="G53" s="746">
        <f t="shared" si="7"/>
        <v>0</v>
      </c>
      <c r="H53" s="746">
        <f t="shared" si="7"/>
        <v>0</v>
      </c>
      <c r="I53" s="747">
        <f t="shared" si="7"/>
        <v>18195298</v>
      </c>
      <c r="J53" s="815"/>
    </row>
    <row r="54" ht="12.75">
      <c r="J54" s="815"/>
    </row>
    <row r="55" ht="12.75">
      <c r="J55" s="815"/>
    </row>
    <row r="56" spans="1:10" ht="28.5" customHeight="1">
      <c r="A56" s="832" t="s">
        <v>855</v>
      </c>
      <c r="B56" s="832"/>
      <c r="C56" s="833" t="s">
        <v>886</v>
      </c>
      <c r="D56" s="834"/>
      <c r="E56" s="834"/>
      <c r="F56" s="834"/>
      <c r="G56" s="834"/>
      <c r="H56" s="834"/>
      <c r="I56" s="834"/>
      <c r="J56" s="815"/>
    </row>
    <row r="57" spans="1:10" ht="15.75" thickBot="1">
      <c r="A57" s="719"/>
      <c r="B57" s="719"/>
      <c r="C57" s="719"/>
      <c r="D57" s="719"/>
      <c r="E57" s="719"/>
      <c r="F57" s="719"/>
      <c r="G57" s="719"/>
      <c r="H57" s="835" t="s">
        <v>838</v>
      </c>
      <c r="I57" s="835"/>
      <c r="J57" s="815"/>
    </row>
    <row r="58" spans="1:10" ht="13.5" customHeight="1" thickBot="1">
      <c r="A58" s="836" t="s">
        <v>83</v>
      </c>
      <c r="B58" s="839" t="s">
        <v>444</v>
      </c>
      <c r="C58" s="840"/>
      <c r="D58" s="840"/>
      <c r="E58" s="840"/>
      <c r="F58" s="841"/>
      <c r="G58" s="841"/>
      <c r="H58" s="841"/>
      <c r="I58" s="842"/>
      <c r="J58" s="815"/>
    </row>
    <row r="59" spans="1:10" ht="13.5" customHeight="1" thickBot="1">
      <c r="A59" s="837"/>
      <c r="B59" s="843" t="str">
        <f>B37</f>
        <v>Módosítás utáni összes forrás, kiadás</v>
      </c>
      <c r="C59" s="846" t="s">
        <v>853</v>
      </c>
      <c r="D59" s="847"/>
      <c r="E59" s="847"/>
      <c r="F59" s="847"/>
      <c r="G59" s="847"/>
      <c r="H59" s="847"/>
      <c r="I59" s="848"/>
      <c r="J59" s="815"/>
    </row>
    <row r="60" spans="1:10" ht="48.75" customHeight="1" thickBot="1">
      <c r="A60" s="837"/>
      <c r="B60" s="844"/>
      <c r="C60" s="849" t="str">
        <f>CONCATENATE(Z_TARTALOMJEGYZÉK!$A$1,".  előtti forrás, kiadás")</f>
        <v>2019.  előtti forrás, kiadás</v>
      </c>
      <c r="D60" s="720" t="s">
        <v>446</v>
      </c>
      <c r="E60" s="720" t="s">
        <v>447</v>
      </c>
      <c r="F60" s="721" t="str">
        <f>CONCATENATE("Összes teljesítés ",Z_TARTALOMJEGYZÉK!$A$1,". XII.31 -ig")</f>
        <v>Összes teljesítés 2019. XII.31 -ig</v>
      </c>
      <c r="G60" s="721" t="s">
        <v>446</v>
      </c>
      <c r="H60" s="721" t="s">
        <v>447</v>
      </c>
      <c r="I60" s="721" t="str">
        <f>CONCATENATE("Összes teljesítés ",Z_TARTALOMJEGYZÉK!$A$1,". XII.31 -ig")</f>
        <v>Összes teljesítés 2019. XII.31 -ig</v>
      </c>
      <c r="J60" s="815"/>
    </row>
    <row r="61" spans="1:10" ht="13.5" thickBot="1">
      <c r="A61" s="838"/>
      <c r="B61" s="845"/>
      <c r="C61" s="850"/>
      <c r="D61" s="851" t="str">
        <f>CONCATENATE(Z_TARTALOMJEGYZÉK!$A$1,". évi")</f>
        <v>2019. évi</v>
      </c>
      <c r="E61" s="852"/>
      <c r="F61" s="853"/>
      <c r="G61" s="851" t="str">
        <f>CONCATENATE(Z_TARTALOMJEGYZÉK!$A$1,". után")</f>
        <v>2019. után</v>
      </c>
      <c r="H61" s="854"/>
      <c r="I61" s="853"/>
      <c r="J61" s="815"/>
    </row>
    <row r="62" spans="1:10" ht="13.5" thickBot="1">
      <c r="A62" s="722" t="s">
        <v>385</v>
      </c>
      <c r="B62" s="723" t="s">
        <v>858</v>
      </c>
      <c r="C62" s="724" t="s">
        <v>387</v>
      </c>
      <c r="D62" s="725" t="s">
        <v>389</v>
      </c>
      <c r="E62" s="725" t="s">
        <v>388</v>
      </c>
      <c r="F62" s="724" t="s">
        <v>390</v>
      </c>
      <c r="G62" s="724" t="s">
        <v>391</v>
      </c>
      <c r="H62" s="724" t="s">
        <v>392</v>
      </c>
      <c r="I62" s="726" t="s">
        <v>857</v>
      </c>
      <c r="J62" s="815"/>
    </row>
    <row r="63" spans="1:10" ht="12.75">
      <c r="A63" s="727" t="s">
        <v>84</v>
      </c>
      <c r="B63" s="753">
        <f>C63+E63+H63</f>
        <v>0</v>
      </c>
      <c r="C63" s="739"/>
      <c r="D63" s="740"/>
      <c r="E63" s="740"/>
      <c r="F63" s="750"/>
      <c r="G63" s="740"/>
      <c r="H63" s="741"/>
      <c r="I63" s="742">
        <f aca="true" t="shared" si="8" ref="I63:I68">C63+F63</f>
        <v>0</v>
      </c>
      <c r="J63" s="815"/>
    </row>
    <row r="64" spans="1:10" ht="12.75">
      <c r="A64" s="728" t="s">
        <v>95</v>
      </c>
      <c r="B64" s="754">
        <f>C64+E64+H64</f>
        <v>0</v>
      </c>
      <c r="C64" s="743"/>
      <c r="D64" s="743"/>
      <c r="E64" s="744"/>
      <c r="F64" s="751"/>
      <c r="G64" s="743"/>
      <c r="H64" s="744"/>
      <c r="I64" s="745">
        <f t="shared" si="8"/>
        <v>0</v>
      </c>
      <c r="J64" s="815"/>
    </row>
    <row r="65" spans="1:10" ht="12.75">
      <c r="A65" s="729" t="s">
        <v>85</v>
      </c>
      <c r="B65" s="755">
        <f>C65+E65+H65</f>
        <v>0</v>
      </c>
      <c r="C65" s="744"/>
      <c r="D65" s="744"/>
      <c r="E65" s="744"/>
      <c r="F65" s="752"/>
      <c r="G65" s="744"/>
      <c r="H65" s="744"/>
      <c r="I65" s="745">
        <f t="shared" si="8"/>
        <v>0</v>
      </c>
      <c r="J65" s="815"/>
    </row>
    <row r="66" spans="1:10" ht="12.75">
      <c r="A66" s="729" t="s">
        <v>96</v>
      </c>
      <c r="B66" s="755">
        <f>C66+E66+H66</f>
        <v>0</v>
      </c>
      <c r="C66" s="744"/>
      <c r="D66" s="744"/>
      <c r="E66" s="744"/>
      <c r="F66" s="752"/>
      <c r="G66" s="744"/>
      <c r="H66" s="744"/>
      <c r="I66" s="745">
        <f t="shared" si="8"/>
        <v>0</v>
      </c>
      <c r="J66" s="815"/>
    </row>
    <row r="67" spans="1:10" ht="12.75">
      <c r="A67" s="729" t="s">
        <v>86</v>
      </c>
      <c r="B67" s="755">
        <f>C67+E67+H67</f>
        <v>0</v>
      </c>
      <c r="C67" s="744"/>
      <c r="D67" s="744"/>
      <c r="E67" s="744"/>
      <c r="F67" s="752"/>
      <c r="G67" s="744"/>
      <c r="H67" s="744"/>
      <c r="I67" s="745">
        <f t="shared" si="8"/>
        <v>0</v>
      </c>
      <c r="J67" s="815"/>
    </row>
    <row r="68" spans="1:10" ht="13.5" thickBot="1">
      <c r="A68" s="729" t="s">
        <v>87</v>
      </c>
      <c r="B68" s="755">
        <v>11410000</v>
      </c>
      <c r="C68" s="744"/>
      <c r="D68" s="744"/>
      <c r="E68" s="744">
        <v>11410000</v>
      </c>
      <c r="F68" s="752">
        <v>11410000</v>
      </c>
      <c r="G68" s="744"/>
      <c r="H68" s="744"/>
      <c r="I68" s="745">
        <f t="shared" si="8"/>
        <v>11410000</v>
      </c>
      <c r="J68" s="815"/>
    </row>
    <row r="69" spans="1:10" ht="13.5" thickBot="1">
      <c r="A69" s="730" t="s">
        <v>88</v>
      </c>
      <c r="B69" s="756">
        <f aca="true" t="shared" si="9" ref="B69:I69">B63+SUM(B65:B68)</f>
        <v>11410000</v>
      </c>
      <c r="C69" s="746">
        <f t="shared" si="9"/>
        <v>0</v>
      </c>
      <c r="D69" s="746">
        <f t="shared" si="9"/>
        <v>0</v>
      </c>
      <c r="E69" s="746">
        <f t="shared" si="9"/>
        <v>11410000</v>
      </c>
      <c r="F69" s="746">
        <f t="shared" si="9"/>
        <v>11410000</v>
      </c>
      <c r="G69" s="746">
        <f t="shared" si="9"/>
        <v>0</v>
      </c>
      <c r="H69" s="746">
        <f t="shared" si="9"/>
        <v>0</v>
      </c>
      <c r="I69" s="747">
        <f t="shared" si="9"/>
        <v>11410000</v>
      </c>
      <c r="J69" s="815"/>
    </row>
    <row r="70" spans="1:10" ht="12.75">
      <c r="A70" s="731" t="s">
        <v>91</v>
      </c>
      <c r="B70" s="753">
        <v>705000</v>
      </c>
      <c r="C70" s="740"/>
      <c r="D70" s="740"/>
      <c r="E70" s="740">
        <v>705000</v>
      </c>
      <c r="F70" s="740">
        <v>705000</v>
      </c>
      <c r="G70" s="740"/>
      <c r="H70" s="740"/>
      <c r="I70" s="742">
        <f>C70+F70</f>
        <v>705000</v>
      </c>
      <c r="J70" s="815"/>
    </row>
    <row r="71" spans="1:10" ht="12.75">
      <c r="A71" s="732" t="s">
        <v>92</v>
      </c>
      <c r="B71" s="755">
        <f>C71+E71+H71</f>
        <v>0</v>
      </c>
      <c r="C71" s="744"/>
      <c r="D71" s="744"/>
      <c r="E71" s="744"/>
      <c r="F71" s="744"/>
      <c r="G71" s="744"/>
      <c r="H71" s="744"/>
      <c r="I71" s="745">
        <f>C71+F71</f>
        <v>0</v>
      </c>
      <c r="J71" s="815"/>
    </row>
    <row r="72" spans="1:10" ht="12.75">
      <c r="A72" s="732" t="s">
        <v>93</v>
      </c>
      <c r="B72" s="755">
        <v>390810</v>
      </c>
      <c r="C72" s="744"/>
      <c r="D72" s="744"/>
      <c r="E72" s="744">
        <v>390810</v>
      </c>
      <c r="F72" s="744">
        <v>390810</v>
      </c>
      <c r="G72" s="744"/>
      <c r="H72" s="744"/>
      <c r="I72" s="745">
        <f>C72+F72</f>
        <v>390810</v>
      </c>
      <c r="J72" s="815"/>
    </row>
    <row r="73" spans="1:10" ht="12.75">
      <c r="A73" s="732" t="s">
        <v>94</v>
      </c>
      <c r="B73" s="755">
        <f>C73+E73+H73</f>
        <v>0</v>
      </c>
      <c r="C73" s="744"/>
      <c r="D73" s="744"/>
      <c r="E73" s="744"/>
      <c r="F73" s="744"/>
      <c r="G73" s="744"/>
      <c r="H73" s="744"/>
      <c r="I73" s="745">
        <f>C73+F73</f>
        <v>0</v>
      </c>
      <c r="J73" s="815"/>
    </row>
    <row r="74" spans="1:10" ht="13.5" thickBot="1">
      <c r="A74" s="733"/>
      <c r="B74" s="757">
        <f>C74+E74+H74</f>
        <v>0</v>
      </c>
      <c r="C74" s="748"/>
      <c r="D74" s="748"/>
      <c r="E74" s="744"/>
      <c r="F74" s="748"/>
      <c r="G74" s="748"/>
      <c r="H74" s="744"/>
      <c r="I74" s="749">
        <f>C74+F74</f>
        <v>0</v>
      </c>
      <c r="J74" s="815"/>
    </row>
    <row r="75" spans="1:10" ht="13.5" thickBot="1">
      <c r="A75" s="734" t="s">
        <v>74</v>
      </c>
      <c r="B75" s="756">
        <f aca="true" t="shared" si="10" ref="B75:I75">SUM(B70:B74)</f>
        <v>1095810</v>
      </c>
      <c r="C75" s="746">
        <f t="shared" si="10"/>
        <v>0</v>
      </c>
      <c r="D75" s="746">
        <f t="shared" si="10"/>
        <v>0</v>
      </c>
      <c r="E75" s="746">
        <f t="shared" si="10"/>
        <v>1095810</v>
      </c>
      <c r="F75" s="746">
        <f t="shared" si="10"/>
        <v>1095810</v>
      </c>
      <c r="G75" s="746">
        <f t="shared" si="10"/>
        <v>0</v>
      </c>
      <c r="H75" s="746">
        <f t="shared" si="10"/>
        <v>0</v>
      </c>
      <c r="I75" s="747">
        <f t="shared" si="10"/>
        <v>1095810</v>
      </c>
      <c r="J75" s="815"/>
    </row>
    <row r="76" ht="12.75">
      <c r="J76" s="815"/>
    </row>
    <row r="77" ht="12.75">
      <c r="J77" s="815"/>
    </row>
    <row r="78" spans="1:10" ht="27.75" customHeight="1">
      <c r="A78" s="832" t="s">
        <v>855</v>
      </c>
      <c r="B78" s="832"/>
      <c r="C78" s="833" t="s">
        <v>887</v>
      </c>
      <c r="D78" s="834"/>
      <c r="E78" s="834"/>
      <c r="F78" s="834"/>
      <c r="G78" s="834"/>
      <c r="H78" s="834"/>
      <c r="I78" s="834"/>
      <c r="J78" s="815"/>
    </row>
    <row r="79" spans="1:10" ht="15.75" thickBot="1">
      <c r="A79" s="719"/>
      <c r="B79" s="719"/>
      <c r="C79" s="719"/>
      <c r="D79" s="719"/>
      <c r="E79" s="719"/>
      <c r="F79" s="719"/>
      <c r="G79" s="719"/>
      <c r="H79" s="835" t="s">
        <v>838</v>
      </c>
      <c r="I79" s="835"/>
      <c r="J79" s="815"/>
    </row>
    <row r="80" spans="1:10" ht="13.5" customHeight="1" thickBot="1">
      <c r="A80" s="836" t="s">
        <v>83</v>
      </c>
      <c r="B80" s="839" t="s">
        <v>444</v>
      </c>
      <c r="C80" s="840"/>
      <c r="D80" s="840"/>
      <c r="E80" s="840"/>
      <c r="F80" s="841"/>
      <c r="G80" s="841"/>
      <c r="H80" s="841"/>
      <c r="I80" s="842"/>
      <c r="J80" s="815"/>
    </row>
    <row r="81" spans="1:10" ht="13.5" customHeight="1" thickBot="1">
      <c r="A81" s="837"/>
      <c r="B81" s="843" t="str">
        <f>B59</f>
        <v>Módosítás utáni összes forrás, kiadás</v>
      </c>
      <c r="C81" s="846" t="s">
        <v>853</v>
      </c>
      <c r="D81" s="847"/>
      <c r="E81" s="847"/>
      <c r="F81" s="847"/>
      <c r="G81" s="847"/>
      <c r="H81" s="847"/>
      <c r="I81" s="848"/>
      <c r="J81" s="815"/>
    </row>
    <row r="82" spans="1:10" ht="48.75" thickBot="1">
      <c r="A82" s="837"/>
      <c r="B82" s="844"/>
      <c r="C82" s="849" t="str">
        <f>CONCATENATE(Z_TARTALOMJEGYZÉK!$A$1,".  előtti forrás, kiadás")</f>
        <v>2019.  előtti forrás, kiadás</v>
      </c>
      <c r="D82" s="720" t="s">
        <v>446</v>
      </c>
      <c r="E82" s="720" t="s">
        <v>447</v>
      </c>
      <c r="F82" s="721" t="str">
        <f>CONCATENATE("Összes teljesítés ",Z_TARTALOMJEGYZÉK!$A$1,". XII.31 -ig")</f>
        <v>Összes teljesítés 2019. XII.31 -ig</v>
      </c>
      <c r="G82" s="721" t="s">
        <v>446</v>
      </c>
      <c r="H82" s="721" t="s">
        <v>447</v>
      </c>
      <c r="I82" s="721" t="str">
        <f>CONCATENATE("Összes teljesítés ",Z_TARTALOMJEGYZÉK!$A$1,". XII.31 -ig")</f>
        <v>Összes teljesítés 2019. XII.31 -ig</v>
      </c>
      <c r="J82" s="815"/>
    </row>
    <row r="83" spans="1:10" ht="13.5" thickBot="1">
      <c r="A83" s="838"/>
      <c r="B83" s="845"/>
      <c r="C83" s="850"/>
      <c r="D83" s="851" t="str">
        <f>CONCATENATE(Z_TARTALOMJEGYZÉK!$A$1,". évi")</f>
        <v>2019. évi</v>
      </c>
      <c r="E83" s="852"/>
      <c r="F83" s="853"/>
      <c r="G83" s="851" t="str">
        <f>CONCATENATE(Z_TARTALOMJEGYZÉK!$A$1,". után")</f>
        <v>2019. után</v>
      </c>
      <c r="H83" s="854"/>
      <c r="I83" s="853"/>
      <c r="J83" s="815"/>
    </row>
    <row r="84" spans="1:10" ht="13.5" thickBot="1">
      <c r="A84" s="722" t="s">
        <v>385</v>
      </c>
      <c r="B84" s="723" t="s">
        <v>858</v>
      </c>
      <c r="C84" s="724" t="s">
        <v>387</v>
      </c>
      <c r="D84" s="725" t="s">
        <v>389</v>
      </c>
      <c r="E84" s="725" t="s">
        <v>388</v>
      </c>
      <c r="F84" s="724" t="s">
        <v>390</v>
      </c>
      <c r="G84" s="724" t="s">
        <v>391</v>
      </c>
      <c r="H84" s="724" t="s">
        <v>392</v>
      </c>
      <c r="I84" s="726" t="s">
        <v>857</v>
      </c>
      <c r="J84" s="815"/>
    </row>
    <row r="85" spans="1:10" ht="12.75">
      <c r="A85" s="727" t="s">
        <v>84</v>
      </c>
      <c r="B85" s="753">
        <f>C85+E85+H85</f>
        <v>0</v>
      </c>
      <c r="C85" s="739"/>
      <c r="D85" s="740"/>
      <c r="E85" s="740"/>
      <c r="F85" s="750"/>
      <c r="G85" s="740"/>
      <c r="H85" s="741"/>
      <c r="I85" s="742">
        <f aca="true" t="shared" si="11" ref="I85:I90">C85+F85</f>
        <v>0</v>
      </c>
      <c r="J85" s="815"/>
    </row>
    <row r="86" spans="1:10" ht="12.75">
      <c r="A86" s="728" t="s">
        <v>95</v>
      </c>
      <c r="B86" s="754">
        <f>C86+E86+H86</f>
        <v>0</v>
      </c>
      <c r="C86" s="743"/>
      <c r="D86" s="743"/>
      <c r="E86" s="744"/>
      <c r="F86" s="751"/>
      <c r="G86" s="743"/>
      <c r="H86" s="744"/>
      <c r="I86" s="745">
        <f t="shared" si="11"/>
        <v>0</v>
      </c>
      <c r="J86" s="815"/>
    </row>
    <row r="87" spans="1:10" ht="12.75">
      <c r="A87" s="729" t="s">
        <v>85</v>
      </c>
      <c r="B87" s="755">
        <v>1268190</v>
      </c>
      <c r="C87" s="744"/>
      <c r="D87" s="744"/>
      <c r="E87" s="744">
        <v>1268190</v>
      </c>
      <c r="F87" s="752">
        <v>1268190</v>
      </c>
      <c r="G87" s="744"/>
      <c r="H87" s="744"/>
      <c r="I87" s="745">
        <f t="shared" si="11"/>
        <v>1268190</v>
      </c>
      <c r="J87" s="815"/>
    </row>
    <row r="88" spans="1:10" ht="12.75">
      <c r="A88" s="729" t="s">
        <v>96</v>
      </c>
      <c r="B88" s="755">
        <f>C88+E88+H88</f>
        <v>0</v>
      </c>
      <c r="C88" s="744"/>
      <c r="D88" s="744"/>
      <c r="E88" s="744"/>
      <c r="F88" s="752"/>
      <c r="G88" s="744"/>
      <c r="H88" s="744"/>
      <c r="I88" s="745">
        <f t="shared" si="11"/>
        <v>0</v>
      </c>
      <c r="J88" s="815"/>
    </row>
    <row r="89" spans="1:10" ht="12.75">
      <c r="A89" s="729" t="s">
        <v>86</v>
      </c>
      <c r="B89" s="755">
        <f>C89+E89+H89</f>
        <v>0</v>
      </c>
      <c r="C89" s="744"/>
      <c r="D89" s="744"/>
      <c r="E89" s="744"/>
      <c r="F89" s="752"/>
      <c r="G89" s="744"/>
      <c r="H89" s="744"/>
      <c r="I89" s="745">
        <f t="shared" si="11"/>
        <v>0</v>
      </c>
      <c r="J89" s="815"/>
    </row>
    <row r="90" spans="1:10" ht="13.5" thickBot="1">
      <c r="A90" s="729" t="s">
        <v>87</v>
      </c>
      <c r="B90" s="755"/>
      <c r="C90" s="744"/>
      <c r="D90" s="744"/>
      <c r="E90" s="744"/>
      <c r="F90" s="752"/>
      <c r="G90" s="744"/>
      <c r="H90" s="744"/>
      <c r="I90" s="745">
        <f t="shared" si="11"/>
        <v>0</v>
      </c>
      <c r="J90" s="815"/>
    </row>
    <row r="91" spans="1:10" ht="13.5" thickBot="1">
      <c r="A91" s="730" t="s">
        <v>88</v>
      </c>
      <c r="B91" s="756">
        <f aca="true" t="shared" si="12" ref="B91:I91">B85+SUM(B87:B90)</f>
        <v>1268190</v>
      </c>
      <c r="C91" s="746">
        <f t="shared" si="12"/>
        <v>0</v>
      </c>
      <c r="D91" s="746">
        <f t="shared" si="12"/>
        <v>0</v>
      </c>
      <c r="E91" s="746">
        <f t="shared" si="12"/>
        <v>1268190</v>
      </c>
      <c r="F91" s="746">
        <f t="shared" si="12"/>
        <v>1268190</v>
      </c>
      <c r="G91" s="746">
        <f t="shared" si="12"/>
        <v>0</v>
      </c>
      <c r="H91" s="746">
        <f t="shared" si="12"/>
        <v>0</v>
      </c>
      <c r="I91" s="747">
        <f t="shared" si="12"/>
        <v>1268190</v>
      </c>
      <c r="J91" s="815"/>
    </row>
    <row r="92" spans="1:10" ht="12.75">
      <c r="A92" s="731" t="s">
        <v>91</v>
      </c>
      <c r="B92" s="753">
        <f>C92+E92+H92</f>
        <v>0</v>
      </c>
      <c r="C92" s="740"/>
      <c r="D92" s="740"/>
      <c r="E92" s="740"/>
      <c r="F92" s="740"/>
      <c r="G92" s="740"/>
      <c r="H92" s="740"/>
      <c r="I92" s="742">
        <f>C92+F92</f>
        <v>0</v>
      </c>
      <c r="J92" s="815"/>
    </row>
    <row r="93" spans="1:10" ht="12.75">
      <c r="A93" s="732" t="s">
        <v>92</v>
      </c>
      <c r="B93" s="755">
        <f>C93+E93+H93</f>
        <v>0</v>
      </c>
      <c r="C93" s="744"/>
      <c r="D93" s="744"/>
      <c r="E93" s="744"/>
      <c r="F93" s="744"/>
      <c r="G93" s="744"/>
      <c r="H93" s="744"/>
      <c r="I93" s="745">
        <f>C93+F93</f>
        <v>0</v>
      </c>
      <c r="J93" s="815"/>
    </row>
    <row r="94" spans="1:10" ht="12.75">
      <c r="A94" s="732" t="s">
        <v>93</v>
      </c>
      <c r="B94" s="755">
        <f>C94+E94+H94</f>
        <v>0</v>
      </c>
      <c r="C94" s="744"/>
      <c r="D94" s="744"/>
      <c r="E94" s="744"/>
      <c r="F94" s="744"/>
      <c r="G94" s="744"/>
      <c r="H94" s="744"/>
      <c r="I94" s="745">
        <f>C94+F94</f>
        <v>0</v>
      </c>
      <c r="J94" s="815"/>
    </row>
    <row r="95" spans="1:10" ht="12.75">
      <c r="A95" s="732" t="s">
        <v>94</v>
      </c>
      <c r="B95" s="755">
        <f>C95+E95+H95</f>
        <v>0</v>
      </c>
      <c r="C95" s="744"/>
      <c r="D95" s="744"/>
      <c r="E95" s="744"/>
      <c r="F95" s="744"/>
      <c r="G95" s="744"/>
      <c r="H95" s="744"/>
      <c r="I95" s="745">
        <f>C95+F95</f>
        <v>0</v>
      </c>
      <c r="J95" s="815"/>
    </row>
    <row r="96" spans="1:10" ht="13.5" thickBot="1">
      <c r="A96" s="733"/>
      <c r="B96" s="757">
        <f>C96+E96+H96</f>
        <v>0</v>
      </c>
      <c r="C96" s="748"/>
      <c r="D96" s="748"/>
      <c r="E96" s="744"/>
      <c r="F96" s="748"/>
      <c r="G96" s="748"/>
      <c r="H96" s="744"/>
      <c r="I96" s="749">
        <f>C96+F96</f>
        <v>0</v>
      </c>
      <c r="J96" s="815"/>
    </row>
    <row r="97" spans="1:10" ht="13.5" thickBot="1">
      <c r="A97" s="734" t="s">
        <v>74</v>
      </c>
      <c r="B97" s="756">
        <f aca="true" t="shared" si="13" ref="B97:I97">SUM(B92:B96)</f>
        <v>0</v>
      </c>
      <c r="C97" s="746">
        <f t="shared" si="13"/>
        <v>0</v>
      </c>
      <c r="D97" s="746">
        <f t="shared" si="13"/>
        <v>0</v>
      </c>
      <c r="E97" s="746">
        <f t="shared" si="13"/>
        <v>0</v>
      </c>
      <c r="F97" s="746">
        <f t="shared" si="13"/>
        <v>0</v>
      </c>
      <c r="G97" s="746">
        <f t="shared" si="13"/>
        <v>0</v>
      </c>
      <c r="H97" s="746">
        <f t="shared" si="13"/>
        <v>0</v>
      </c>
      <c r="I97" s="747">
        <f t="shared" si="13"/>
        <v>0</v>
      </c>
      <c r="J97" s="815"/>
    </row>
    <row r="98" ht="12.75">
      <c r="J98" s="815"/>
    </row>
    <row r="99" ht="12.75">
      <c r="J99" s="815"/>
    </row>
    <row r="100" spans="1:10" ht="14.25">
      <c r="A100" s="832" t="s">
        <v>855</v>
      </c>
      <c r="B100" s="832"/>
      <c r="C100" s="833" t="s">
        <v>888</v>
      </c>
      <c r="D100" s="834"/>
      <c r="E100" s="834"/>
      <c r="F100" s="834"/>
      <c r="G100" s="834"/>
      <c r="H100" s="834"/>
      <c r="I100" s="834"/>
      <c r="J100" s="815"/>
    </row>
    <row r="101" spans="1:10" ht="15.75" thickBot="1">
      <c r="A101" s="719"/>
      <c r="B101" s="719"/>
      <c r="C101" s="719"/>
      <c r="D101" s="719"/>
      <c r="E101" s="719"/>
      <c r="F101" s="719"/>
      <c r="G101" s="719"/>
      <c r="H101" s="835" t="s">
        <v>838</v>
      </c>
      <c r="I101" s="835"/>
      <c r="J101" s="815"/>
    </row>
    <row r="102" spans="1:10" ht="13.5" customHeight="1" thickBot="1">
      <c r="A102" s="836" t="s">
        <v>83</v>
      </c>
      <c r="B102" s="839" t="s">
        <v>444</v>
      </c>
      <c r="C102" s="840"/>
      <c r="D102" s="840"/>
      <c r="E102" s="840"/>
      <c r="F102" s="841"/>
      <c r="G102" s="841"/>
      <c r="H102" s="841"/>
      <c r="I102" s="842"/>
      <c r="J102" s="815"/>
    </row>
    <row r="103" spans="1:10" ht="13.5" customHeight="1" thickBot="1">
      <c r="A103" s="837"/>
      <c r="B103" s="843" t="str">
        <f>B81</f>
        <v>Módosítás utáni összes forrás, kiadás</v>
      </c>
      <c r="C103" s="846" t="s">
        <v>853</v>
      </c>
      <c r="D103" s="847"/>
      <c r="E103" s="847"/>
      <c r="F103" s="847"/>
      <c r="G103" s="847"/>
      <c r="H103" s="847"/>
      <c r="I103" s="848"/>
      <c r="J103" s="815"/>
    </row>
    <row r="104" spans="1:10" ht="48.75" customHeight="1" thickBot="1">
      <c r="A104" s="837"/>
      <c r="B104" s="844"/>
      <c r="C104" s="849" t="str">
        <f>CONCATENATE(Z_TARTALOMJEGYZÉK!$A$1,".  előtti forrás, kiadás")</f>
        <v>2019.  előtti forrás, kiadás</v>
      </c>
      <c r="D104" s="720" t="s">
        <v>446</v>
      </c>
      <c r="E104" s="720" t="s">
        <v>447</v>
      </c>
      <c r="F104" s="721" t="str">
        <f>CONCATENATE("Összes teljesítés ",Z_TARTALOMJEGYZÉK!$A$1,". XII.31 -ig")</f>
        <v>Összes teljesítés 2019. XII.31 -ig</v>
      </c>
      <c r="G104" s="721" t="s">
        <v>446</v>
      </c>
      <c r="H104" s="721" t="s">
        <v>447</v>
      </c>
      <c r="I104" s="721" t="str">
        <f>CONCATENATE("Összes teljesítés ",Z_TARTALOMJEGYZÉK!$A$1,". XII.31 -ig")</f>
        <v>Összes teljesítés 2019. XII.31 -ig</v>
      </c>
      <c r="J104" s="815"/>
    </row>
    <row r="105" spans="1:10" ht="13.5" thickBot="1">
      <c r="A105" s="838"/>
      <c r="B105" s="845"/>
      <c r="C105" s="850"/>
      <c r="D105" s="851" t="str">
        <f>CONCATENATE(Z_TARTALOMJEGYZÉK!$A$1,". évi")</f>
        <v>2019. évi</v>
      </c>
      <c r="E105" s="852"/>
      <c r="F105" s="853"/>
      <c r="G105" s="851" t="str">
        <f>CONCATENATE(Z_TARTALOMJEGYZÉK!$A$1,". után")</f>
        <v>2019. után</v>
      </c>
      <c r="H105" s="854"/>
      <c r="I105" s="853"/>
      <c r="J105" s="815"/>
    </row>
    <row r="106" spans="1:10" ht="13.5" thickBot="1">
      <c r="A106" s="722" t="s">
        <v>385</v>
      </c>
      <c r="B106" s="723" t="s">
        <v>858</v>
      </c>
      <c r="C106" s="724" t="s">
        <v>387</v>
      </c>
      <c r="D106" s="725" t="s">
        <v>389</v>
      </c>
      <c r="E106" s="725" t="s">
        <v>388</v>
      </c>
      <c r="F106" s="724" t="s">
        <v>390</v>
      </c>
      <c r="G106" s="724" t="s">
        <v>391</v>
      </c>
      <c r="H106" s="724" t="s">
        <v>392</v>
      </c>
      <c r="I106" s="726" t="s">
        <v>857</v>
      </c>
      <c r="J106" s="815"/>
    </row>
    <row r="107" spans="1:10" ht="12.75">
      <c r="A107" s="727" t="s">
        <v>84</v>
      </c>
      <c r="B107" s="753">
        <f aca="true" t="shared" si="14" ref="B107:B112">C107+E107+H107</f>
        <v>0</v>
      </c>
      <c r="C107" s="739"/>
      <c r="D107" s="740"/>
      <c r="E107" s="740"/>
      <c r="F107" s="750"/>
      <c r="G107" s="740"/>
      <c r="H107" s="741"/>
      <c r="I107" s="742">
        <f aca="true" t="shared" si="15" ref="I107:I112">C107+F107</f>
        <v>0</v>
      </c>
      <c r="J107" s="815"/>
    </row>
    <row r="108" spans="1:10" ht="12.75">
      <c r="A108" s="728" t="s">
        <v>95</v>
      </c>
      <c r="B108" s="754">
        <f t="shared" si="14"/>
        <v>0</v>
      </c>
      <c r="C108" s="743"/>
      <c r="D108" s="743"/>
      <c r="E108" s="744"/>
      <c r="F108" s="751"/>
      <c r="G108" s="743"/>
      <c r="H108" s="744"/>
      <c r="I108" s="745">
        <f t="shared" si="15"/>
        <v>0</v>
      </c>
      <c r="J108" s="815"/>
    </row>
    <row r="109" spans="1:10" ht="12.75">
      <c r="A109" s="729" t="s">
        <v>85</v>
      </c>
      <c r="B109" s="755">
        <v>306000</v>
      </c>
      <c r="C109" s="744"/>
      <c r="D109" s="744"/>
      <c r="E109" s="744">
        <v>306000</v>
      </c>
      <c r="F109" s="752">
        <v>306000</v>
      </c>
      <c r="G109" s="744"/>
      <c r="H109" s="744"/>
      <c r="I109" s="745">
        <f t="shared" si="15"/>
        <v>306000</v>
      </c>
      <c r="J109" s="815"/>
    </row>
    <row r="110" spans="1:10" ht="12.75">
      <c r="A110" s="729" t="s">
        <v>96</v>
      </c>
      <c r="B110" s="755">
        <f t="shared" si="14"/>
        <v>0</v>
      </c>
      <c r="C110" s="744"/>
      <c r="D110" s="744"/>
      <c r="E110" s="744"/>
      <c r="F110" s="752"/>
      <c r="G110" s="744"/>
      <c r="H110" s="744"/>
      <c r="I110" s="745">
        <f t="shared" si="15"/>
        <v>0</v>
      </c>
      <c r="J110" s="815"/>
    </row>
    <row r="111" spans="1:10" ht="12.75">
      <c r="A111" s="729" t="s">
        <v>86</v>
      </c>
      <c r="B111" s="755">
        <f t="shared" si="14"/>
        <v>0</v>
      </c>
      <c r="C111" s="744"/>
      <c r="D111" s="744"/>
      <c r="E111" s="744"/>
      <c r="F111" s="752"/>
      <c r="G111" s="744"/>
      <c r="H111" s="744"/>
      <c r="I111" s="745">
        <f t="shared" si="15"/>
        <v>0</v>
      </c>
      <c r="J111" s="815"/>
    </row>
    <row r="112" spans="1:10" ht="13.5" thickBot="1">
      <c r="A112" s="729" t="s">
        <v>87</v>
      </c>
      <c r="B112" s="755">
        <f t="shared" si="14"/>
        <v>0</v>
      </c>
      <c r="C112" s="744"/>
      <c r="D112" s="744"/>
      <c r="E112" s="744"/>
      <c r="F112" s="752"/>
      <c r="G112" s="744"/>
      <c r="H112" s="744"/>
      <c r="I112" s="745">
        <f t="shared" si="15"/>
        <v>0</v>
      </c>
      <c r="J112" s="815"/>
    </row>
    <row r="113" spans="1:10" ht="13.5" thickBot="1">
      <c r="A113" s="730" t="s">
        <v>88</v>
      </c>
      <c r="B113" s="756">
        <f aca="true" t="shared" si="16" ref="B113:I113">B107+SUM(B109:B112)</f>
        <v>306000</v>
      </c>
      <c r="C113" s="746">
        <f t="shared" si="16"/>
        <v>0</v>
      </c>
      <c r="D113" s="746">
        <f t="shared" si="16"/>
        <v>0</v>
      </c>
      <c r="E113" s="746">
        <f t="shared" si="16"/>
        <v>306000</v>
      </c>
      <c r="F113" s="746">
        <f t="shared" si="16"/>
        <v>306000</v>
      </c>
      <c r="G113" s="746">
        <f t="shared" si="16"/>
        <v>0</v>
      </c>
      <c r="H113" s="746">
        <f t="shared" si="16"/>
        <v>0</v>
      </c>
      <c r="I113" s="747">
        <f t="shared" si="16"/>
        <v>306000</v>
      </c>
      <c r="J113" s="815"/>
    </row>
    <row r="114" spans="1:10" ht="12.75">
      <c r="A114" s="731" t="s">
        <v>91</v>
      </c>
      <c r="B114" s="753">
        <f>C114+E114+H114</f>
        <v>0</v>
      </c>
      <c r="C114" s="740"/>
      <c r="D114" s="740"/>
      <c r="E114" s="740"/>
      <c r="F114" s="740"/>
      <c r="G114" s="740"/>
      <c r="H114" s="740"/>
      <c r="I114" s="742">
        <f>C114+F114</f>
        <v>0</v>
      </c>
      <c r="J114" s="815"/>
    </row>
    <row r="115" spans="1:10" ht="12.75">
      <c r="A115" s="732" t="s">
        <v>92</v>
      </c>
      <c r="B115" s="755">
        <v>260000</v>
      </c>
      <c r="C115" s="744"/>
      <c r="D115" s="744"/>
      <c r="E115" s="744">
        <v>260000</v>
      </c>
      <c r="F115" s="744">
        <v>260000</v>
      </c>
      <c r="G115" s="744"/>
      <c r="H115" s="744"/>
      <c r="I115" s="745">
        <f>C115+F115</f>
        <v>260000</v>
      </c>
      <c r="J115" s="815"/>
    </row>
    <row r="116" spans="1:10" ht="12.75">
      <c r="A116" s="732" t="s">
        <v>93</v>
      </c>
      <c r="B116" s="755">
        <f>C116+E116+H116</f>
        <v>0</v>
      </c>
      <c r="C116" s="744"/>
      <c r="D116" s="744"/>
      <c r="E116" s="744"/>
      <c r="F116" s="744"/>
      <c r="G116" s="744"/>
      <c r="H116" s="744"/>
      <c r="I116" s="745">
        <f>C116+F116</f>
        <v>0</v>
      </c>
      <c r="J116" s="815"/>
    </row>
    <row r="117" spans="1:10" ht="12.75">
      <c r="A117" s="732" t="s">
        <v>94</v>
      </c>
      <c r="B117" s="755">
        <f>C117+E117+H117</f>
        <v>0</v>
      </c>
      <c r="C117" s="744"/>
      <c r="D117" s="744"/>
      <c r="E117" s="744"/>
      <c r="F117" s="744"/>
      <c r="G117" s="744"/>
      <c r="H117" s="744"/>
      <c r="I117" s="745">
        <f>C117+F117</f>
        <v>0</v>
      </c>
      <c r="J117" s="815"/>
    </row>
    <row r="118" spans="1:10" ht="13.5" thickBot="1">
      <c r="A118" s="733"/>
      <c r="B118" s="757">
        <f>C118+E118+H118</f>
        <v>0</v>
      </c>
      <c r="C118" s="748"/>
      <c r="D118" s="748"/>
      <c r="E118" s="744"/>
      <c r="F118" s="748"/>
      <c r="G118" s="748"/>
      <c r="H118" s="744"/>
      <c r="I118" s="749">
        <f>C118+F118</f>
        <v>0</v>
      </c>
      <c r="J118" s="815"/>
    </row>
    <row r="119" spans="1:10" ht="13.5" thickBot="1">
      <c r="A119" s="734" t="s">
        <v>74</v>
      </c>
      <c r="B119" s="756">
        <f aca="true" t="shared" si="17" ref="B119:I119">SUM(B114:B118)</f>
        <v>260000</v>
      </c>
      <c r="C119" s="746">
        <f t="shared" si="17"/>
        <v>0</v>
      </c>
      <c r="D119" s="746">
        <f t="shared" si="17"/>
        <v>0</v>
      </c>
      <c r="E119" s="746">
        <f t="shared" si="17"/>
        <v>260000</v>
      </c>
      <c r="F119" s="746">
        <f t="shared" si="17"/>
        <v>260000</v>
      </c>
      <c r="G119" s="746">
        <f t="shared" si="17"/>
        <v>0</v>
      </c>
      <c r="H119" s="746">
        <f t="shared" si="17"/>
        <v>0</v>
      </c>
      <c r="I119" s="747">
        <f t="shared" si="17"/>
        <v>260000</v>
      </c>
      <c r="J119" s="815"/>
    </row>
    <row r="120" ht="12.75">
      <c r="J120" s="815"/>
    </row>
    <row r="121" ht="12.75">
      <c r="J121" s="815"/>
    </row>
    <row r="122" spans="1:10" ht="14.25">
      <c r="A122" s="832" t="s">
        <v>855</v>
      </c>
      <c r="B122" s="832"/>
      <c r="C122" s="833" t="s">
        <v>889</v>
      </c>
      <c r="D122" s="834"/>
      <c r="E122" s="834"/>
      <c r="F122" s="834"/>
      <c r="G122" s="834"/>
      <c r="H122" s="834"/>
      <c r="I122" s="834"/>
      <c r="J122" s="815"/>
    </row>
    <row r="123" spans="1:10" ht="15.75" thickBot="1">
      <c r="A123" s="719"/>
      <c r="B123" s="719"/>
      <c r="C123" s="719"/>
      <c r="D123" s="719"/>
      <c r="E123" s="719"/>
      <c r="F123" s="719"/>
      <c r="G123" s="719"/>
      <c r="H123" s="835" t="s">
        <v>838</v>
      </c>
      <c r="I123" s="835"/>
      <c r="J123" s="815"/>
    </row>
    <row r="124" spans="1:10" ht="13.5" customHeight="1" thickBot="1">
      <c r="A124" s="836" t="s">
        <v>83</v>
      </c>
      <c r="B124" s="839" t="s">
        <v>444</v>
      </c>
      <c r="C124" s="840"/>
      <c r="D124" s="840"/>
      <c r="E124" s="840"/>
      <c r="F124" s="841"/>
      <c r="G124" s="841"/>
      <c r="H124" s="841"/>
      <c r="I124" s="842"/>
      <c r="J124" s="815"/>
    </row>
    <row r="125" spans="1:10" ht="13.5" customHeight="1" thickBot="1">
      <c r="A125" s="837"/>
      <c r="B125" s="843" t="str">
        <f>B103</f>
        <v>Módosítás utáni összes forrás, kiadás</v>
      </c>
      <c r="C125" s="846" t="s">
        <v>853</v>
      </c>
      <c r="D125" s="847"/>
      <c r="E125" s="847"/>
      <c r="F125" s="847"/>
      <c r="G125" s="847"/>
      <c r="H125" s="847"/>
      <c r="I125" s="848"/>
      <c r="J125" s="815"/>
    </row>
    <row r="126" spans="1:10" ht="48.75" thickBot="1">
      <c r="A126" s="837"/>
      <c r="B126" s="844"/>
      <c r="C126" s="849" t="str">
        <f>CONCATENATE(Z_TARTALOMJEGYZÉK!$A$1,".  előtti forrás, kiadás")</f>
        <v>2019.  előtti forrás, kiadás</v>
      </c>
      <c r="D126" s="720" t="s">
        <v>446</v>
      </c>
      <c r="E126" s="720" t="s">
        <v>447</v>
      </c>
      <c r="F126" s="721" t="str">
        <f>CONCATENATE("Összes teljesítés ",Z_TARTALOMJEGYZÉK!$A$1,". XII.31 -ig")</f>
        <v>Összes teljesítés 2019. XII.31 -ig</v>
      </c>
      <c r="G126" s="721" t="s">
        <v>446</v>
      </c>
      <c r="H126" s="721" t="s">
        <v>447</v>
      </c>
      <c r="I126" s="721" t="str">
        <f>CONCATENATE("Összes teljesítés ",Z_TARTALOMJEGYZÉK!$A$1,". XII.31 -ig")</f>
        <v>Összes teljesítés 2019. XII.31 -ig</v>
      </c>
      <c r="J126" s="815"/>
    </row>
    <row r="127" spans="1:10" ht="13.5" thickBot="1">
      <c r="A127" s="838"/>
      <c r="B127" s="845"/>
      <c r="C127" s="850"/>
      <c r="D127" s="851" t="str">
        <f>CONCATENATE(Z_TARTALOMJEGYZÉK!$A$1,". évi")</f>
        <v>2019. évi</v>
      </c>
      <c r="E127" s="852"/>
      <c r="F127" s="853"/>
      <c r="G127" s="851" t="str">
        <f>CONCATENATE(Z_TARTALOMJEGYZÉK!$A$1,". után")</f>
        <v>2019. után</v>
      </c>
      <c r="H127" s="854"/>
      <c r="I127" s="853"/>
      <c r="J127" s="815"/>
    </row>
    <row r="128" spans="1:10" ht="13.5" thickBot="1">
      <c r="A128" s="722" t="s">
        <v>385</v>
      </c>
      <c r="B128" s="723" t="s">
        <v>858</v>
      </c>
      <c r="C128" s="724" t="s">
        <v>387</v>
      </c>
      <c r="D128" s="725" t="s">
        <v>389</v>
      </c>
      <c r="E128" s="725" t="s">
        <v>388</v>
      </c>
      <c r="F128" s="724" t="s">
        <v>390</v>
      </c>
      <c r="G128" s="724" t="s">
        <v>391</v>
      </c>
      <c r="H128" s="724" t="s">
        <v>392</v>
      </c>
      <c r="I128" s="726" t="s">
        <v>857</v>
      </c>
      <c r="J128" s="815"/>
    </row>
    <row r="129" spans="1:10" ht="12.75">
      <c r="A129" s="727" t="s">
        <v>84</v>
      </c>
      <c r="B129" s="753">
        <f aca="true" t="shared" si="18" ref="B129:B134">C129+E129+H129</f>
        <v>0</v>
      </c>
      <c r="C129" s="739"/>
      <c r="D129" s="740"/>
      <c r="E129" s="740"/>
      <c r="F129" s="750"/>
      <c r="G129" s="740"/>
      <c r="H129" s="741"/>
      <c r="I129" s="742">
        <f aca="true" t="shared" si="19" ref="I129:I134">C129+F129</f>
        <v>0</v>
      </c>
      <c r="J129" s="815"/>
    </row>
    <row r="130" spans="1:10" ht="12.75">
      <c r="A130" s="728" t="s">
        <v>95</v>
      </c>
      <c r="B130" s="754">
        <f t="shared" si="18"/>
        <v>0</v>
      </c>
      <c r="C130" s="743"/>
      <c r="D130" s="743"/>
      <c r="E130" s="744"/>
      <c r="F130" s="751"/>
      <c r="G130" s="743"/>
      <c r="H130" s="744"/>
      <c r="I130" s="745">
        <f t="shared" si="19"/>
        <v>0</v>
      </c>
      <c r="J130" s="815"/>
    </row>
    <row r="131" spans="1:10" ht="12.75">
      <c r="A131" s="729" t="s">
        <v>85</v>
      </c>
      <c r="B131" s="755">
        <v>2809400</v>
      </c>
      <c r="C131" s="744"/>
      <c r="D131" s="744"/>
      <c r="E131" s="744">
        <v>2809400</v>
      </c>
      <c r="F131" s="752">
        <v>2809400</v>
      </c>
      <c r="G131" s="744"/>
      <c r="H131" s="744"/>
      <c r="I131" s="745">
        <f t="shared" si="19"/>
        <v>2809400</v>
      </c>
      <c r="J131" s="815"/>
    </row>
    <row r="132" spans="1:10" ht="12.75">
      <c r="A132" s="729" t="s">
        <v>96</v>
      </c>
      <c r="B132" s="755">
        <f t="shared" si="18"/>
        <v>0</v>
      </c>
      <c r="C132" s="744"/>
      <c r="D132" s="744"/>
      <c r="E132" s="744"/>
      <c r="F132" s="752"/>
      <c r="G132" s="744"/>
      <c r="H132" s="744"/>
      <c r="I132" s="745">
        <f t="shared" si="19"/>
        <v>0</v>
      </c>
      <c r="J132" s="815"/>
    </row>
    <row r="133" spans="1:10" ht="12.75">
      <c r="A133" s="729" t="s">
        <v>86</v>
      </c>
      <c r="B133" s="755">
        <f t="shared" si="18"/>
        <v>0</v>
      </c>
      <c r="C133" s="744"/>
      <c r="D133" s="744"/>
      <c r="E133" s="744"/>
      <c r="F133" s="752"/>
      <c r="G133" s="744"/>
      <c r="H133" s="744"/>
      <c r="I133" s="745">
        <f t="shared" si="19"/>
        <v>0</v>
      </c>
      <c r="J133" s="815"/>
    </row>
    <row r="134" spans="1:10" ht="13.5" thickBot="1">
      <c r="A134" s="729" t="s">
        <v>87</v>
      </c>
      <c r="B134" s="755">
        <f t="shared" si="18"/>
        <v>0</v>
      </c>
      <c r="C134" s="744"/>
      <c r="D134" s="744"/>
      <c r="E134" s="744"/>
      <c r="F134" s="752"/>
      <c r="G134" s="744"/>
      <c r="H134" s="744"/>
      <c r="I134" s="745">
        <f t="shared" si="19"/>
        <v>0</v>
      </c>
      <c r="J134" s="815"/>
    </row>
    <row r="135" spans="1:10" ht="13.5" thickBot="1">
      <c r="A135" s="730" t="s">
        <v>88</v>
      </c>
      <c r="B135" s="756">
        <f aca="true" t="shared" si="20" ref="B135:I135">B129+SUM(B131:B134)</f>
        <v>2809400</v>
      </c>
      <c r="C135" s="746">
        <f t="shared" si="20"/>
        <v>0</v>
      </c>
      <c r="D135" s="746">
        <f t="shared" si="20"/>
        <v>0</v>
      </c>
      <c r="E135" s="746">
        <f t="shared" si="20"/>
        <v>2809400</v>
      </c>
      <c r="F135" s="746">
        <f t="shared" si="20"/>
        <v>2809400</v>
      </c>
      <c r="G135" s="746">
        <f t="shared" si="20"/>
        <v>0</v>
      </c>
      <c r="H135" s="746">
        <f t="shared" si="20"/>
        <v>0</v>
      </c>
      <c r="I135" s="747">
        <f t="shared" si="20"/>
        <v>2809400</v>
      </c>
      <c r="J135" s="815"/>
    </row>
    <row r="136" spans="1:10" ht="12.75">
      <c r="A136" s="731" t="s">
        <v>91</v>
      </c>
      <c r="B136" s="753">
        <f>C136+E136+H136</f>
        <v>0</v>
      </c>
      <c r="C136" s="740"/>
      <c r="D136" s="740"/>
      <c r="E136" s="740"/>
      <c r="F136" s="740"/>
      <c r="G136" s="740"/>
      <c r="H136" s="740"/>
      <c r="I136" s="742">
        <f>C136+F136</f>
        <v>0</v>
      </c>
      <c r="J136" s="815"/>
    </row>
    <row r="137" spans="1:10" ht="12.75">
      <c r="A137" s="732" t="s">
        <v>92</v>
      </c>
      <c r="B137" s="755">
        <v>7643889</v>
      </c>
      <c r="C137" s="744"/>
      <c r="D137" s="744"/>
      <c r="E137" s="744">
        <v>7643889</v>
      </c>
      <c r="F137" s="744">
        <v>7643889</v>
      </c>
      <c r="G137" s="744"/>
      <c r="H137" s="744"/>
      <c r="I137" s="745">
        <f>C137+F137</f>
        <v>7643889</v>
      </c>
      <c r="J137" s="815"/>
    </row>
    <row r="138" spans="1:10" ht="12.75">
      <c r="A138" s="732" t="s">
        <v>93</v>
      </c>
      <c r="B138" s="755">
        <f>C138+E138+H138</f>
        <v>0</v>
      </c>
      <c r="C138" s="744"/>
      <c r="D138" s="744"/>
      <c r="E138" s="744"/>
      <c r="F138" s="744"/>
      <c r="G138" s="744"/>
      <c r="H138" s="744"/>
      <c r="I138" s="745">
        <f>C138+F138</f>
        <v>0</v>
      </c>
      <c r="J138" s="815"/>
    </row>
    <row r="139" spans="1:10" ht="12.75">
      <c r="A139" s="732" t="s">
        <v>94</v>
      </c>
      <c r="B139" s="755">
        <f>C139+E139+H139</f>
        <v>0</v>
      </c>
      <c r="C139" s="744"/>
      <c r="D139" s="744"/>
      <c r="E139" s="744"/>
      <c r="F139" s="744"/>
      <c r="G139" s="744"/>
      <c r="H139" s="744"/>
      <c r="I139" s="745">
        <f>C139+F139</f>
        <v>0</v>
      </c>
      <c r="J139" s="815"/>
    </row>
    <row r="140" spans="1:10" ht="13.5" thickBot="1">
      <c r="A140" s="733"/>
      <c r="B140" s="757">
        <f>C140+E140+H140</f>
        <v>0</v>
      </c>
      <c r="C140" s="748"/>
      <c r="D140" s="748"/>
      <c r="E140" s="744"/>
      <c r="F140" s="748"/>
      <c r="G140" s="748"/>
      <c r="H140" s="744"/>
      <c r="I140" s="749">
        <f>C140+F140</f>
        <v>0</v>
      </c>
      <c r="J140" s="815"/>
    </row>
    <row r="141" spans="1:10" ht="13.5" thickBot="1">
      <c r="A141" s="734" t="s">
        <v>74</v>
      </c>
      <c r="B141" s="756">
        <f aca="true" t="shared" si="21" ref="B141:I141">SUM(B136:B140)</f>
        <v>7643889</v>
      </c>
      <c r="C141" s="746">
        <f t="shared" si="21"/>
        <v>0</v>
      </c>
      <c r="D141" s="746">
        <f t="shared" si="21"/>
        <v>0</v>
      </c>
      <c r="E141" s="746">
        <f t="shared" si="21"/>
        <v>7643889</v>
      </c>
      <c r="F141" s="746">
        <f t="shared" si="21"/>
        <v>7643889</v>
      </c>
      <c r="G141" s="746">
        <f t="shared" si="21"/>
        <v>0</v>
      </c>
      <c r="H141" s="746">
        <f t="shared" si="21"/>
        <v>0</v>
      </c>
      <c r="I141" s="747">
        <f t="shared" si="21"/>
        <v>7643889</v>
      </c>
      <c r="J141" s="815"/>
    </row>
    <row r="142" ht="12.75">
      <c r="J142" s="815"/>
    </row>
    <row r="143" ht="12.75">
      <c r="J143" s="815"/>
    </row>
    <row r="144" spans="1:10" ht="14.25">
      <c r="A144" s="832" t="s">
        <v>855</v>
      </c>
      <c r="B144" s="832"/>
      <c r="C144" s="833" t="s">
        <v>890</v>
      </c>
      <c r="D144" s="834"/>
      <c r="E144" s="834"/>
      <c r="F144" s="834"/>
      <c r="G144" s="834"/>
      <c r="H144" s="834"/>
      <c r="I144" s="834"/>
      <c r="J144" s="815"/>
    </row>
    <row r="145" spans="1:10" ht="15.75" thickBot="1">
      <c r="A145" s="719"/>
      <c r="B145" s="719"/>
      <c r="C145" s="719"/>
      <c r="D145" s="719"/>
      <c r="E145" s="719"/>
      <c r="F145" s="719"/>
      <c r="G145" s="719"/>
      <c r="H145" s="835" t="s">
        <v>838</v>
      </c>
      <c r="I145" s="835"/>
      <c r="J145" s="815"/>
    </row>
    <row r="146" spans="1:10" ht="13.5" customHeight="1" thickBot="1">
      <c r="A146" s="836" t="s">
        <v>83</v>
      </c>
      <c r="B146" s="839" t="s">
        <v>444</v>
      </c>
      <c r="C146" s="840"/>
      <c r="D146" s="840"/>
      <c r="E146" s="840"/>
      <c r="F146" s="841"/>
      <c r="G146" s="841"/>
      <c r="H146" s="841"/>
      <c r="I146" s="842"/>
      <c r="J146" s="815"/>
    </row>
    <row r="147" spans="1:10" ht="13.5" customHeight="1" thickBot="1">
      <c r="A147" s="837"/>
      <c r="B147" s="843" t="str">
        <f>B125</f>
        <v>Módosítás utáni összes forrás, kiadás</v>
      </c>
      <c r="C147" s="846" t="s">
        <v>853</v>
      </c>
      <c r="D147" s="847"/>
      <c r="E147" s="847"/>
      <c r="F147" s="847"/>
      <c r="G147" s="847"/>
      <c r="H147" s="847"/>
      <c r="I147" s="848"/>
      <c r="J147" s="815"/>
    </row>
    <row r="148" spans="1:10" ht="48.75" thickBot="1">
      <c r="A148" s="837"/>
      <c r="B148" s="844"/>
      <c r="C148" s="849" t="str">
        <f>CONCATENATE(Z_TARTALOMJEGYZÉK!$A$1,".  előtti forrás, kiadás")</f>
        <v>2019.  előtti forrás, kiadás</v>
      </c>
      <c r="D148" s="720" t="s">
        <v>446</v>
      </c>
      <c r="E148" s="720" t="s">
        <v>447</v>
      </c>
      <c r="F148" s="721" t="str">
        <f>CONCATENATE("Összes teljesítés ",Z_TARTALOMJEGYZÉK!$A$1,". XII.31 -ig")</f>
        <v>Összes teljesítés 2019. XII.31 -ig</v>
      </c>
      <c r="G148" s="721" t="s">
        <v>446</v>
      </c>
      <c r="H148" s="721" t="s">
        <v>447</v>
      </c>
      <c r="I148" s="721" t="str">
        <f>CONCATENATE("Összes teljesítés ",Z_TARTALOMJEGYZÉK!$A$1,". XII.31 -ig")</f>
        <v>Összes teljesítés 2019. XII.31 -ig</v>
      </c>
      <c r="J148" s="815"/>
    </row>
    <row r="149" spans="1:10" ht="13.5" thickBot="1">
      <c r="A149" s="838"/>
      <c r="B149" s="845"/>
      <c r="C149" s="850"/>
      <c r="D149" s="851" t="str">
        <f>CONCATENATE(Z_TARTALOMJEGYZÉK!$A$1,". évi")</f>
        <v>2019. évi</v>
      </c>
      <c r="E149" s="852"/>
      <c r="F149" s="853"/>
      <c r="G149" s="851" t="str">
        <f>CONCATENATE(Z_TARTALOMJEGYZÉK!$A$1,". után")</f>
        <v>2019. után</v>
      </c>
      <c r="H149" s="854"/>
      <c r="I149" s="853"/>
      <c r="J149" s="815"/>
    </row>
    <row r="150" spans="1:10" ht="13.5" thickBot="1">
      <c r="A150" s="722" t="s">
        <v>385</v>
      </c>
      <c r="B150" s="723" t="s">
        <v>858</v>
      </c>
      <c r="C150" s="724" t="s">
        <v>387</v>
      </c>
      <c r="D150" s="725" t="s">
        <v>389</v>
      </c>
      <c r="E150" s="725" t="s">
        <v>388</v>
      </c>
      <c r="F150" s="724" t="s">
        <v>390</v>
      </c>
      <c r="G150" s="724" t="s">
        <v>391</v>
      </c>
      <c r="H150" s="724" t="s">
        <v>392</v>
      </c>
      <c r="I150" s="726" t="s">
        <v>857</v>
      </c>
      <c r="J150" s="815"/>
    </row>
    <row r="151" spans="1:10" ht="12.75">
      <c r="A151" s="727" t="s">
        <v>84</v>
      </c>
      <c r="B151" s="753">
        <f aca="true" t="shared" si="22" ref="B151:B156">C151+E151+H151</f>
        <v>0</v>
      </c>
      <c r="C151" s="739"/>
      <c r="D151" s="740"/>
      <c r="E151" s="740"/>
      <c r="F151" s="750"/>
      <c r="G151" s="740"/>
      <c r="H151" s="741"/>
      <c r="I151" s="742">
        <f aca="true" t="shared" si="23" ref="I151:I156">C151+F151</f>
        <v>0</v>
      </c>
      <c r="J151" s="815"/>
    </row>
    <row r="152" spans="1:10" ht="12.75">
      <c r="A152" s="728" t="s">
        <v>95</v>
      </c>
      <c r="B152" s="754">
        <f t="shared" si="22"/>
        <v>0</v>
      </c>
      <c r="C152" s="743"/>
      <c r="D152" s="743"/>
      <c r="E152" s="744"/>
      <c r="F152" s="751"/>
      <c r="G152" s="743"/>
      <c r="H152" s="744"/>
      <c r="I152" s="745">
        <f t="shared" si="23"/>
        <v>0</v>
      </c>
      <c r="J152" s="815"/>
    </row>
    <row r="153" spans="1:10" ht="12.75">
      <c r="A153" s="729" t="s">
        <v>85</v>
      </c>
      <c r="B153" s="755">
        <v>48958985</v>
      </c>
      <c r="C153" s="744"/>
      <c r="D153" s="744"/>
      <c r="E153" s="744">
        <v>48958985</v>
      </c>
      <c r="F153" s="752">
        <v>48958985</v>
      </c>
      <c r="G153" s="744"/>
      <c r="H153" s="744"/>
      <c r="I153" s="745">
        <f t="shared" si="23"/>
        <v>48958985</v>
      </c>
      <c r="J153" s="815"/>
    </row>
    <row r="154" spans="1:10" ht="12.75">
      <c r="A154" s="729" t="s">
        <v>96</v>
      </c>
      <c r="B154" s="755">
        <f t="shared" si="22"/>
        <v>0</v>
      </c>
      <c r="C154" s="744"/>
      <c r="D154" s="744"/>
      <c r="E154" s="744"/>
      <c r="F154" s="752"/>
      <c r="G154" s="744"/>
      <c r="H154" s="744"/>
      <c r="I154" s="745">
        <f t="shared" si="23"/>
        <v>0</v>
      </c>
      <c r="J154" s="815"/>
    </row>
    <row r="155" spans="1:10" ht="12.75">
      <c r="A155" s="729" t="s">
        <v>86</v>
      </c>
      <c r="B155" s="755">
        <f t="shared" si="22"/>
        <v>0</v>
      </c>
      <c r="C155" s="744"/>
      <c r="D155" s="744"/>
      <c r="E155" s="744"/>
      <c r="F155" s="752"/>
      <c r="G155" s="744"/>
      <c r="H155" s="744"/>
      <c r="I155" s="745">
        <f t="shared" si="23"/>
        <v>0</v>
      </c>
      <c r="J155" s="815"/>
    </row>
    <row r="156" spans="1:10" ht="13.5" thickBot="1">
      <c r="A156" s="729" t="s">
        <v>87</v>
      </c>
      <c r="B156" s="755">
        <f t="shared" si="22"/>
        <v>0</v>
      </c>
      <c r="C156" s="744"/>
      <c r="D156" s="744"/>
      <c r="E156" s="744"/>
      <c r="F156" s="752"/>
      <c r="G156" s="744"/>
      <c r="H156" s="744"/>
      <c r="I156" s="745">
        <f t="shared" si="23"/>
        <v>0</v>
      </c>
      <c r="J156" s="815"/>
    </row>
    <row r="157" spans="1:10" ht="13.5" thickBot="1">
      <c r="A157" s="730" t="s">
        <v>88</v>
      </c>
      <c r="B157" s="756">
        <f aca="true" t="shared" si="24" ref="B157:I157">B151+SUM(B153:B156)</f>
        <v>48958985</v>
      </c>
      <c r="C157" s="746">
        <f t="shared" si="24"/>
        <v>0</v>
      </c>
      <c r="D157" s="746">
        <f t="shared" si="24"/>
        <v>0</v>
      </c>
      <c r="E157" s="746">
        <f t="shared" si="24"/>
        <v>48958985</v>
      </c>
      <c r="F157" s="746">
        <f t="shared" si="24"/>
        <v>48958985</v>
      </c>
      <c r="G157" s="746">
        <f t="shared" si="24"/>
        <v>0</v>
      </c>
      <c r="H157" s="746">
        <f t="shared" si="24"/>
        <v>0</v>
      </c>
      <c r="I157" s="747">
        <f t="shared" si="24"/>
        <v>48958985</v>
      </c>
      <c r="J157" s="815"/>
    </row>
    <row r="158" spans="1:10" ht="12.75">
      <c r="A158" s="731" t="s">
        <v>91</v>
      </c>
      <c r="B158" s="753">
        <f>C158+E158+H158</f>
        <v>0</v>
      </c>
      <c r="C158" s="740"/>
      <c r="D158" s="740"/>
      <c r="E158" s="740"/>
      <c r="F158" s="740"/>
      <c r="G158" s="740"/>
      <c r="H158" s="740"/>
      <c r="I158" s="742">
        <f>C158+F158</f>
        <v>0</v>
      </c>
      <c r="J158" s="815"/>
    </row>
    <row r="159" spans="1:10" ht="12.75">
      <c r="A159" s="732" t="s">
        <v>92</v>
      </c>
      <c r="B159" s="755">
        <v>51900028</v>
      </c>
      <c r="C159" s="744"/>
      <c r="D159" s="744"/>
      <c r="E159" s="744">
        <v>51900028</v>
      </c>
      <c r="F159" s="744">
        <v>51900028</v>
      </c>
      <c r="G159" s="744"/>
      <c r="H159" s="744"/>
      <c r="I159" s="745">
        <f>C159+F159</f>
        <v>51900028</v>
      </c>
      <c r="J159" s="815"/>
    </row>
    <row r="160" spans="1:10" ht="12.75">
      <c r="A160" s="732" t="s">
        <v>93</v>
      </c>
      <c r="B160" s="755">
        <f>C160+E160+H160</f>
        <v>0</v>
      </c>
      <c r="C160" s="744"/>
      <c r="D160" s="744"/>
      <c r="E160" s="744"/>
      <c r="F160" s="744"/>
      <c r="G160" s="744"/>
      <c r="H160" s="744"/>
      <c r="I160" s="745">
        <f>C160+F160</f>
        <v>0</v>
      </c>
      <c r="J160" s="815"/>
    </row>
    <row r="161" spans="1:10" ht="12.75">
      <c r="A161" s="732" t="s">
        <v>94</v>
      </c>
      <c r="B161" s="755">
        <f>C161+E161+H161</f>
        <v>0</v>
      </c>
      <c r="C161" s="744"/>
      <c r="D161" s="744"/>
      <c r="E161" s="744"/>
      <c r="F161" s="744"/>
      <c r="G161" s="744"/>
      <c r="H161" s="744"/>
      <c r="I161" s="745">
        <f>C161+F161</f>
        <v>0</v>
      </c>
      <c r="J161" s="815"/>
    </row>
    <row r="162" spans="1:10" ht="13.5" thickBot="1">
      <c r="A162" s="733"/>
      <c r="B162" s="757">
        <f>C162+E162+H162</f>
        <v>0</v>
      </c>
      <c r="C162" s="748"/>
      <c r="D162" s="748"/>
      <c r="E162" s="744"/>
      <c r="F162" s="748"/>
      <c r="G162" s="748"/>
      <c r="H162" s="744"/>
      <c r="I162" s="749">
        <f>C162+F162</f>
        <v>0</v>
      </c>
      <c r="J162" s="815"/>
    </row>
    <row r="163" spans="1:10" ht="13.5" thickBot="1">
      <c r="A163" s="734" t="s">
        <v>74</v>
      </c>
      <c r="B163" s="756">
        <f aca="true" t="shared" si="25" ref="B163:I163">SUM(B158:B162)</f>
        <v>51900028</v>
      </c>
      <c r="C163" s="746">
        <f t="shared" si="25"/>
        <v>0</v>
      </c>
      <c r="D163" s="746">
        <f t="shared" si="25"/>
        <v>0</v>
      </c>
      <c r="E163" s="746">
        <f t="shared" si="25"/>
        <v>51900028</v>
      </c>
      <c r="F163" s="746">
        <f t="shared" si="25"/>
        <v>51900028</v>
      </c>
      <c r="G163" s="746">
        <f t="shared" si="25"/>
        <v>0</v>
      </c>
      <c r="H163" s="746">
        <f t="shared" si="25"/>
        <v>0</v>
      </c>
      <c r="I163" s="747">
        <f t="shared" si="25"/>
        <v>51900028</v>
      </c>
      <c r="J163" s="815"/>
    </row>
    <row r="164" ht="12.75">
      <c r="J164" s="815"/>
    </row>
    <row r="165" ht="12.75">
      <c r="J165" s="815"/>
    </row>
    <row r="166" spans="1:10" ht="14.25">
      <c r="A166" s="832" t="s">
        <v>855</v>
      </c>
      <c r="B166" s="832"/>
      <c r="C166" s="833" t="s">
        <v>891</v>
      </c>
      <c r="D166" s="834"/>
      <c r="E166" s="834"/>
      <c r="F166" s="834"/>
      <c r="G166" s="834"/>
      <c r="H166" s="834"/>
      <c r="I166" s="834"/>
      <c r="J166" s="815"/>
    </row>
    <row r="167" spans="1:10" ht="15.75" thickBot="1">
      <c r="A167" s="719"/>
      <c r="B167" s="719"/>
      <c r="C167" s="719"/>
      <c r="D167" s="719"/>
      <c r="E167" s="719"/>
      <c r="F167" s="719"/>
      <c r="G167" s="719"/>
      <c r="H167" s="835" t="s">
        <v>838</v>
      </c>
      <c r="I167" s="835"/>
      <c r="J167" s="815"/>
    </row>
    <row r="168" spans="1:10" ht="13.5" customHeight="1" thickBot="1">
      <c r="A168" s="836" t="s">
        <v>83</v>
      </c>
      <c r="B168" s="839" t="s">
        <v>444</v>
      </c>
      <c r="C168" s="840"/>
      <c r="D168" s="840"/>
      <c r="E168" s="840"/>
      <c r="F168" s="841"/>
      <c r="G168" s="841"/>
      <c r="H168" s="841"/>
      <c r="I168" s="842"/>
      <c r="J168" s="815"/>
    </row>
    <row r="169" spans="1:10" ht="13.5" customHeight="1" thickBot="1">
      <c r="A169" s="837"/>
      <c r="B169" s="843" t="str">
        <f>B147</f>
        <v>Módosítás utáni összes forrás, kiadás</v>
      </c>
      <c r="C169" s="846" t="s">
        <v>853</v>
      </c>
      <c r="D169" s="847"/>
      <c r="E169" s="847"/>
      <c r="F169" s="847"/>
      <c r="G169" s="847"/>
      <c r="H169" s="847"/>
      <c r="I169" s="848"/>
      <c r="J169" s="815"/>
    </row>
    <row r="170" spans="1:10" ht="48.75" thickBot="1">
      <c r="A170" s="837"/>
      <c r="B170" s="844"/>
      <c r="C170" s="849" t="str">
        <f>CONCATENATE(Z_TARTALOMJEGYZÉK!$A$1,".  előtti forrás, kiadás")</f>
        <v>2019.  előtti forrás, kiadás</v>
      </c>
      <c r="D170" s="720" t="s">
        <v>446</v>
      </c>
      <c r="E170" s="720" t="s">
        <v>447</v>
      </c>
      <c r="F170" s="721" t="str">
        <f>CONCATENATE("Összes teljesítés ",Z_TARTALOMJEGYZÉK!$A$1,". XII.31 -ig")</f>
        <v>Összes teljesítés 2019. XII.31 -ig</v>
      </c>
      <c r="G170" s="721" t="s">
        <v>446</v>
      </c>
      <c r="H170" s="721" t="s">
        <v>447</v>
      </c>
      <c r="I170" s="721" t="str">
        <f>CONCATENATE("Összes teljesítés ",Z_TARTALOMJEGYZÉK!$A$1,". XII.31 -ig")</f>
        <v>Összes teljesítés 2019. XII.31 -ig</v>
      </c>
      <c r="J170" s="815"/>
    </row>
    <row r="171" spans="1:10" ht="13.5" thickBot="1">
      <c r="A171" s="838"/>
      <c r="B171" s="845"/>
      <c r="C171" s="850"/>
      <c r="D171" s="851" t="str">
        <f>CONCATENATE(Z_TARTALOMJEGYZÉK!$A$1,". évi")</f>
        <v>2019. évi</v>
      </c>
      <c r="E171" s="852"/>
      <c r="F171" s="853"/>
      <c r="G171" s="851" t="str">
        <f>CONCATENATE(Z_TARTALOMJEGYZÉK!$A$1,". után")</f>
        <v>2019. után</v>
      </c>
      <c r="H171" s="854"/>
      <c r="I171" s="853"/>
      <c r="J171" s="815"/>
    </row>
    <row r="172" spans="1:10" ht="13.5" thickBot="1">
      <c r="A172" s="722" t="s">
        <v>385</v>
      </c>
      <c r="B172" s="723" t="s">
        <v>858</v>
      </c>
      <c r="C172" s="724" t="s">
        <v>387</v>
      </c>
      <c r="D172" s="725" t="s">
        <v>389</v>
      </c>
      <c r="E172" s="725" t="s">
        <v>388</v>
      </c>
      <c r="F172" s="724" t="s">
        <v>390</v>
      </c>
      <c r="G172" s="724" t="s">
        <v>391</v>
      </c>
      <c r="H172" s="724" t="s">
        <v>392</v>
      </c>
      <c r="I172" s="726" t="s">
        <v>857</v>
      </c>
      <c r="J172" s="815"/>
    </row>
    <row r="173" spans="1:10" ht="12.75">
      <c r="A173" s="727" t="s">
        <v>84</v>
      </c>
      <c r="B173" s="753">
        <f aca="true" t="shared" si="26" ref="B173:B178">C173+E173+H173</f>
        <v>0</v>
      </c>
      <c r="C173" s="739"/>
      <c r="D173" s="740"/>
      <c r="E173" s="740"/>
      <c r="F173" s="750"/>
      <c r="G173" s="740"/>
      <c r="H173" s="741"/>
      <c r="I173" s="742">
        <f aca="true" t="shared" si="27" ref="I173:I178">C173+F173</f>
        <v>0</v>
      </c>
      <c r="J173" s="815"/>
    </row>
    <row r="174" spans="1:10" ht="12.75">
      <c r="A174" s="728" t="s">
        <v>95</v>
      </c>
      <c r="B174" s="754">
        <f t="shared" si="26"/>
        <v>0</v>
      </c>
      <c r="C174" s="743"/>
      <c r="D174" s="743"/>
      <c r="E174" s="744"/>
      <c r="F174" s="751"/>
      <c r="G174" s="743"/>
      <c r="H174" s="744"/>
      <c r="I174" s="745">
        <f t="shared" si="27"/>
        <v>0</v>
      </c>
      <c r="J174" s="815"/>
    </row>
    <row r="175" spans="1:10" ht="12.75">
      <c r="A175" s="729" t="s">
        <v>85</v>
      </c>
      <c r="B175" s="755">
        <v>2966698</v>
      </c>
      <c r="C175" s="744"/>
      <c r="D175" s="744"/>
      <c r="E175" s="744">
        <v>2966698</v>
      </c>
      <c r="F175" s="752">
        <v>2966698</v>
      </c>
      <c r="G175" s="744"/>
      <c r="H175" s="744"/>
      <c r="I175" s="745">
        <f t="shared" si="27"/>
        <v>2966698</v>
      </c>
      <c r="J175" s="815"/>
    </row>
    <row r="176" spans="1:10" ht="12.75">
      <c r="A176" s="729" t="s">
        <v>96</v>
      </c>
      <c r="B176" s="755">
        <f t="shared" si="26"/>
        <v>0</v>
      </c>
      <c r="C176" s="744"/>
      <c r="D176" s="744"/>
      <c r="E176" s="744"/>
      <c r="F176" s="752"/>
      <c r="G176" s="744"/>
      <c r="H176" s="744"/>
      <c r="I176" s="745">
        <f t="shared" si="27"/>
        <v>0</v>
      </c>
      <c r="J176" s="815"/>
    </row>
    <row r="177" spans="1:10" ht="12.75">
      <c r="A177" s="729" t="s">
        <v>86</v>
      </c>
      <c r="B177" s="755">
        <f t="shared" si="26"/>
        <v>0</v>
      </c>
      <c r="C177" s="744"/>
      <c r="D177" s="744"/>
      <c r="E177" s="744"/>
      <c r="F177" s="752"/>
      <c r="G177" s="744"/>
      <c r="H177" s="744"/>
      <c r="I177" s="745">
        <f t="shared" si="27"/>
        <v>0</v>
      </c>
      <c r="J177" s="815"/>
    </row>
    <row r="178" spans="1:10" ht="13.5" thickBot="1">
      <c r="A178" s="729" t="s">
        <v>87</v>
      </c>
      <c r="B178" s="755">
        <f t="shared" si="26"/>
        <v>0</v>
      </c>
      <c r="C178" s="744"/>
      <c r="D178" s="744"/>
      <c r="E178" s="744"/>
      <c r="F178" s="752"/>
      <c r="G178" s="744"/>
      <c r="H178" s="744"/>
      <c r="I178" s="745">
        <f t="shared" si="27"/>
        <v>0</v>
      </c>
      <c r="J178" s="815"/>
    </row>
    <row r="179" spans="1:10" ht="13.5" thickBot="1">
      <c r="A179" s="730" t="s">
        <v>88</v>
      </c>
      <c r="B179" s="756">
        <f aca="true" t="shared" si="28" ref="B179:I179">B173+SUM(B175:B178)</f>
        <v>2966698</v>
      </c>
      <c r="C179" s="746">
        <f t="shared" si="28"/>
        <v>0</v>
      </c>
      <c r="D179" s="746">
        <f t="shared" si="28"/>
        <v>0</v>
      </c>
      <c r="E179" s="746">
        <f t="shared" si="28"/>
        <v>2966698</v>
      </c>
      <c r="F179" s="746">
        <f t="shared" si="28"/>
        <v>2966698</v>
      </c>
      <c r="G179" s="746">
        <f t="shared" si="28"/>
        <v>0</v>
      </c>
      <c r="H179" s="746">
        <f t="shared" si="28"/>
        <v>0</v>
      </c>
      <c r="I179" s="747">
        <f t="shared" si="28"/>
        <v>2966698</v>
      </c>
      <c r="J179" s="815"/>
    </row>
    <row r="180" spans="1:10" ht="12.75">
      <c r="A180" s="731" t="s">
        <v>91</v>
      </c>
      <c r="B180" s="753">
        <f>C180+E180+H180</f>
        <v>0</v>
      </c>
      <c r="C180" s="740"/>
      <c r="D180" s="740"/>
      <c r="E180" s="740"/>
      <c r="F180" s="740"/>
      <c r="G180" s="740"/>
      <c r="H180" s="740"/>
      <c r="I180" s="742">
        <f>C180+F180</f>
        <v>0</v>
      </c>
      <c r="J180" s="815"/>
    </row>
    <row r="181" spans="1:10" ht="12.75">
      <c r="A181" s="732" t="s">
        <v>92</v>
      </c>
      <c r="B181" s="755">
        <v>2578241</v>
      </c>
      <c r="C181" s="744"/>
      <c r="D181" s="744"/>
      <c r="E181" s="744">
        <v>2578241</v>
      </c>
      <c r="F181" s="744">
        <v>2578241</v>
      </c>
      <c r="G181" s="744"/>
      <c r="H181" s="744"/>
      <c r="I181" s="745">
        <f>C181+F181</f>
        <v>2578241</v>
      </c>
      <c r="J181" s="815"/>
    </row>
    <row r="182" spans="1:10" ht="12.75">
      <c r="A182" s="732" t="s">
        <v>93</v>
      </c>
      <c r="B182" s="755">
        <v>707796</v>
      </c>
      <c r="C182" s="744"/>
      <c r="D182" s="744"/>
      <c r="E182" s="744">
        <v>707796</v>
      </c>
      <c r="F182" s="744">
        <v>707796</v>
      </c>
      <c r="G182" s="744"/>
      <c r="H182" s="744"/>
      <c r="I182" s="745">
        <f>C182+F182</f>
        <v>707796</v>
      </c>
      <c r="J182" s="815"/>
    </row>
    <row r="183" spans="1:10" ht="12.75">
      <c r="A183" s="732" t="s">
        <v>94</v>
      </c>
      <c r="B183" s="755">
        <f>C183+E183+H183</f>
        <v>0</v>
      </c>
      <c r="C183" s="744"/>
      <c r="D183" s="744"/>
      <c r="E183" s="744"/>
      <c r="F183" s="744"/>
      <c r="G183" s="744"/>
      <c r="H183" s="744"/>
      <c r="I183" s="745">
        <f>C183+F183</f>
        <v>0</v>
      </c>
      <c r="J183" s="815"/>
    </row>
    <row r="184" spans="1:10" ht="13.5" thickBot="1">
      <c r="A184" s="733"/>
      <c r="B184" s="757">
        <f>C184+E184+H184</f>
        <v>0</v>
      </c>
      <c r="C184" s="748"/>
      <c r="D184" s="748"/>
      <c r="E184" s="744"/>
      <c r="F184" s="748"/>
      <c r="G184" s="748"/>
      <c r="H184" s="744"/>
      <c r="I184" s="749">
        <f>C184+F184</f>
        <v>0</v>
      </c>
      <c r="J184" s="815"/>
    </row>
    <row r="185" spans="1:10" ht="13.5" thickBot="1">
      <c r="A185" s="734" t="s">
        <v>74</v>
      </c>
      <c r="B185" s="756">
        <f aca="true" t="shared" si="29" ref="B185:I185">SUM(B180:B184)</f>
        <v>3286037</v>
      </c>
      <c r="C185" s="746">
        <f t="shared" si="29"/>
        <v>0</v>
      </c>
      <c r="D185" s="746">
        <f t="shared" si="29"/>
        <v>0</v>
      </c>
      <c r="E185" s="746">
        <f t="shared" si="29"/>
        <v>3286037</v>
      </c>
      <c r="F185" s="746">
        <f t="shared" si="29"/>
        <v>3286037</v>
      </c>
      <c r="G185" s="746">
        <f t="shared" si="29"/>
        <v>0</v>
      </c>
      <c r="H185" s="746">
        <f t="shared" si="29"/>
        <v>0</v>
      </c>
      <c r="I185" s="747">
        <f t="shared" si="29"/>
        <v>3286037</v>
      </c>
      <c r="J185" s="815"/>
    </row>
    <row r="186" ht="12.75">
      <c r="J186" s="815"/>
    </row>
    <row r="187" ht="12.75">
      <c r="J187" s="815"/>
    </row>
    <row r="188" spans="1:10" ht="14.25">
      <c r="A188" s="832" t="s">
        <v>855</v>
      </c>
      <c r="B188" s="832"/>
      <c r="C188" s="833" t="s">
        <v>892</v>
      </c>
      <c r="D188" s="834"/>
      <c r="E188" s="834"/>
      <c r="F188" s="834"/>
      <c r="G188" s="834"/>
      <c r="H188" s="834"/>
      <c r="I188" s="834"/>
      <c r="J188" s="815"/>
    </row>
    <row r="189" spans="1:10" ht="15.75" thickBot="1">
      <c r="A189" s="719"/>
      <c r="B189" s="719"/>
      <c r="C189" s="719"/>
      <c r="D189" s="719"/>
      <c r="E189" s="719"/>
      <c r="F189" s="719"/>
      <c r="G189" s="719"/>
      <c r="H189" s="835" t="s">
        <v>838</v>
      </c>
      <c r="I189" s="835"/>
      <c r="J189" s="815"/>
    </row>
    <row r="190" spans="1:10" ht="13.5" customHeight="1" thickBot="1">
      <c r="A190" s="836" t="s">
        <v>83</v>
      </c>
      <c r="B190" s="839" t="s">
        <v>444</v>
      </c>
      <c r="C190" s="840"/>
      <c r="D190" s="840"/>
      <c r="E190" s="840"/>
      <c r="F190" s="841"/>
      <c r="G190" s="841"/>
      <c r="H190" s="841"/>
      <c r="I190" s="842"/>
      <c r="J190" s="815"/>
    </row>
    <row r="191" spans="1:10" ht="13.5" customHeight="1" thickBot="1">
      <c r="A191" s="837"/>
      <c r="B191" s="843" t="str">
        <f>B169</f>
        <v>Módosítás utáni összes forrás, kiadás</v>
      </c>
      <c r="C191" s="846" t="s">
        <v>853</v>
      </c>
      <c r="D191" s="847"/>
      <c r="E191" s="847"/>
      <c r="F191" s="847"/>
      <c r="G191" s="847"/>
      <c r="H191" s="847"/>
      <c r="I191" s="848"/>
      <c r="J191" s="815"/>
    </row>
    <row r="192" spans="1:10" ht="48.75" thickBot="1">
      <c r="A192" s="837"/>
      <c r="B192" s="844"/>
      <c r="C192" s="849" t="str">
        <f>CONCATENATE(Z_TARTALOMJEGYZÉK!$A$1,".  előtti forrás, kiadás")</f>
        <v>2019.  előtti forrás, kiadás</v>
      </c>
      <c r="D192" s="720" t="s">
        <v>446</v>
      </c>
      <c r="E192" s="720" t="s">
        <v>447</v>
      </c>
      <c r="F192" s="721" t="str">
        <f>CONCATENATE("Összes teljesítés ",Z_TARTALOMJEGYZÉK!$A$1,". XII.31 -ig")</f>
        <v>Összes teljesítés 2019. XII.31 -ig</v>
      </c>
      <c r="G192" s="721" t="s">
        <v>446</v>
      </c>
      <c r="H192" s="721" t="s">
        <v>447</v>
      </c>
      <c r="I192" s="721" t="str">
        <f>CONCATENATE("Összes teljesítés ",Z_TARTALOMJEGYZÉK!$A$1,". XII.31 -ig")</f>
        <v>Összes teljesítés 2019. XII.31 -ig</v>
      </c>
      <c r="J192" s="815"/>
    </row>
    <row r="193" spans="1:10" ht="13.5" thickBot="1">
      <c r="A193" s="838"/>
      <c r="B193" s="845"/>
      <c r="C193" s="850"/>
      <c r="D193" s="851" t="str">
        <f>CONCATENATE(Z_TARTALOMJEGYZÉK!$A$1,". évi")</f>
        <v>2019. évi</v>
      </c>
      <c r="E193" s="852"/>
      <c r="F193" s="853"/>
      <c r="G193" s="851" t="str">
        <f>CONCATENATE(Z_TARTALOMJEGYZÉK!$A$1,". után")</f>
        <v>2019. után</v>
      </c>
      <c r="H193" s="854"/>
      <c r="I193" s="853"/>
      <c r="J193" s="815"/>
    </row>
    <row r="194" spans="1:10" ht="13.5" thickBot="1">
      <c r="A194" s="722" t="s">
        <v>385</v>
      </c>
      <c r="B194" s="723" t="s">
        <v>858</v>
      </c>
      <c r="C194" s="724" t="s">
        <v>387</v>
      </c>
      <c r="D194" s="725" t="s">
        <v>389</v>
      </c>
      <c r="E194" s="725" t="s">
        <v>388</v>
      </c>
      <c r="F194" s="724" t="s">
        <v>390</v>
      </c>
      <c r="G194" s="724" t="s">
        <v>391</v>
      </c>
      <c r="H194" s="724" t="s">
        <v>392</v>
      </c>
      <c r="I194" s="726" t="s">
        <v>857</v>
      </c>
      <c r="J194" s="815"/>
    </row>
    <row r="195" spans="1:10" ht="12.75">
      <c r="A195" s="727" t="s">
        <v>84</v>
      </c>
      <c r="B195" s="753">
        <f aca="true" t="shared" si="30" ref="B195:B200">C195+E195+H195</f>
        <v>0</v>
      </c>
      <c r="C195" s="739"/>
      <c r="D195" s="740"/>
      <c r="E195" s="740"/>
      <c r="F195" s="750"/>
      <c r="G195" s="740"/>
      <c r="H195" s="741"/>
      <c r="I195" s="742">
        <f aca="true" t="shared" si="31" ref="I195:I200">C195+F195</f>
        <v>0</v>
      </c>
      <c r="J195" s="815"/>
    </row>
    <row r="196" spans="1:10" ht="12.75">
      <c r="A196" s="728" t="s">
        <v>95</v>
      </c>
      <c r="B196" s="754">
        <f t="shared" si="30"/>
        <v>0</v>
      </c>
      <c r="C196" s="743"/>
      <c r="D196" s="743"/>
      <c r="E196" s="744"/>
      <c r="F196" s="751"/>
      <c r="G196" s="743"/>
      <c r="H196" s="744"/>
      <c r="I196" s="745">
        <f t="shared" si="31"/>
        <v>0</v>
      </c>
      <c r="J196" s="815"/>
    </row>
    <row r="197" spans="1:10" ht="12.75">
      <c r="A197" s="729" t="s">
        <v>85</v>
      </c>
      <c r="B197" s="755">
        <v>14999999</v>
      </c>
      <c r="C197" s="744"/>
      <c r="D197" s="744"/>
      <c r="E197" s="744">
        <v>14999999</v>
      </c>
      <c r="F197" s="752">
        <v>14999999</v>
      </c>
      <c r="G197" s="744"/>
      <c r="H197" s="744"/>
      <c r="I197" s="745">
        <f t="shared" si="31"/>
        <v>14999999</v>
      </c>
      <c r="J197" s="815"/>
    </row>
    <row r="198" spans="1:10" ht="12.75">
      <c r="A198" s="729" t="s">
        <v>96</v>
      </c>
      <c r="B198" s="755">
        <f t="shared" si="30"/>
        <v>0</v>
      </c>
      <c r="C198" s="744"/>
      <c r="D198" s="744"/>
      <c r="E198" s="744"/>
      <c r="F198" s="752"/>
      <c r="G198" s="744"/>
      <c r="H198" s="744"/>
      <c r="I198" s="745">
        <f t="shared" si="31"/>
        <v>0</v>
      </c>
      <c r="J198" s="815"/>
    </row>
    <row r="199" spans="1:10" ht="12.75">
      <c r="A199" s="729" t="s">
        <v>86</v>
      </c>
      <c r="B199" s="755">
        <f t="shared" si="30"/>
        <v>0</v>
      </c>
      <c r="C199" s="744"/>
      <c r="D199" s="744"/>
      <c r="E199" s="744"/>
      <c r="F199" s="752"/>
      <c r="G199" s="744"/>
      <c r="H199" s="744"/>
      <c r="I199" s="745">
        <f t="shared" si="31"/>
        <v>0</v>
      </c>
      <c r="J199" s="815"/>
    </row>
    <row r="200" spans="1:10" ht="13.5" thickBot="1">
      <c r="A200" s="729" t="s">
        <v>87</v>
      </c>
      <c r="B200" s="755">
        <f t="shared" si="30"/>
        <v>0</v>
      </c>
      <c r="C200" s="744"/>
      <c r="D200" s="744"/>
      <c r="E200" s="744"/>
      <c r="F200" s="752"/>
      <c r="G200" s="744"/>
      <c r="H200" s="744"/>
      <c r="I200" s="745">
        <f t="shared" si="31"/>
        <v>0</v>
      </c>
      <c r="J200" s="815"/>
    </row>
    <row r="201" spans="1:10" ht="13.5" thickBot="1">
      <c r="A201" s="730" t="s">
        <v>88</v>
      </c>
      <c r="B201" s="756">
        <f aca="true" t="shared" si="32" ref="B201:I201">B195+SUM(B197:B200)</f>
        <v>14999999</v>
      </c>
      <c r="C201" s="746">
        <f t="shared" si="32"/>
        <v>0</v>
      </c>
      <c r="D201" s="746">
        <f t="shared" si="32"/>
        <v>0</v>
      </c>
      <c r="E201" s="746">
        <f t="shared" si="32"/>
        <v>14999999</v>
      </c>
      <c r="F201" s="746">
        <f t="shared" si="32"/>
        <v>14999999</v>
      </c>
      <c r="G201" s="746">
        <f t="shared" si="32"/>
        <v>0</v>
      </c>
      <c r="H201" s="746">
        <f t="shared" si="32"/>
        <v>0</v>
      </c>
      <c r="I201" s="747">
        <f t="shared" si="32"/>
        <v>14999999</v>
      </c>
      <c r="J201" s="815"/>
    </row>
    <row r="202" spans="1:10" ht="12.75">
      <c r="A202" s="731" t="s">
        <v>91</v>
      </c>
      <c r="B202" s="753">
        <f>C202+E202+H202</f>
        <v>0</v>
      </c>
      <c r="C202" s="740"/>
      <c r="D202" s="740"/>
      <c r="E202" s="740"/>
      <c r="F202" s="740"/>
      <c r="G202" s="740"/>
      <c r="H202" s="740"/>
      <c r="I202" s="742">
        <f>C202+F202</f>
        <v>0</v>
      </c>
      <c r="J202" s="815"/>
    </row>
    <row r="203" spans="1:10" ht="12.75">
      <c r="A203" s="732" t="s">
        <v>92</v>
      </c>
      <c r="B203" s="755">
        <f>C203+E203+H203</f>
        <v>0</v>
      </c>
      <c r="C203" s="744"/>
      <c r="D203" s="744"/>
      <c r="E203" s="744"/>
      <c r="F203" s="744"/>
      <c r="G203" s="744"/>
      <c r="H203" s="744"/>
      <c r="I203" s="745">
        <f>C203+F203</f>
        <v>0</v>
      </c>
      <c r="J203" s="815"/>
    </row>
    <row r="204" spans="1:10" ht="12.75">
      <c r="A204" s="732" t="s">
        <v>93</v>
      </c>
      <c r="B204" s="755">
        <v>1714500</v>
      </c>
      <c r="C204" s="744"/>
      <c r="D204" s="744"/>
      <c r="E204" s="744">
        <v>1714500</v>
      </c>
      <c r="F204" s="744">
        <v>1714500</v>
      </c>
      <c r="G204" s="744"/>
      <c r="H204" s="744"/>
      <c r="I204" s="745">
        <f>C204+F204</f>
        <v>1714500</v>
      </c>
      <c r="J204" s="815"/>
    </row>
    <row r="205" spans="1:10" ht="12.75">
      <c r="A205" s="732" t="s">
        <v>94</v>
      </c>
      <c r="B205" s="755">
        <f>C205+E205+H205</f>
        <v>0</v>
      </c>
      <c r="C205" s="744"/>
      <c r="D205" s="744"/>
      <c r="E205" s="744"/>
      <c r="F205" s="744"/>
      <c r="G205" s="744"/>
      <c r="H205" s="744"/>
      <c r="I205" s="745">
        <f>C205+F205</f>
        <v>0</v>
      </c>
      <c r="J205" s="815"/>
    </row>
    <row r="206" spans="1:10" ht="13.5" thickBot="1">
      <c r="A206" s="733"/>
      <c r="B206" s="757">
        <f>C206+E206+H206</f>
        <v>0</v>
      </c>
      <c r="C206" s="748"/>
      <c r="D206" s="748"/>
      <c r="E206" s="744"/>
      <c r="F206" s="748"/>
      <c r="G206" s="748"/>
      <c r="H206" s="744"/>
      <c r="I206" s="749">
        <f>C206+F206</f>
        <v>0</v>
      </c>
      <c r="J206" s="815"/>
    </row>
    <row r="207" spans="1:10" ht="13.5" thickBot="1">
      <c r="A207" s="734" t="s">
        <v>74</v>
      </c>
      <c r="B207" s="756">
        <f aca="true" t="shared" si="33" ref="B207:I207">SUM(B202:B206)</f>
        <v>1714500</v>
      </c>
      <c r="C207" s="746">
        <f t="shared" si="33"/>
        <v>0</v>
      </c>
      <c r="D207" s="746">
        <f t="shared" si="33"/>
        <v>0</v>
      </c>
      <c r="E207" s="746">
        <f t="shared" si="33"/>
        <v>1714500</v>
      </c>
      <c r="F207" s="746">
        <f t="shared" si="33"/>
        <v>1714500</v>
      </c>
      <c r="G207" s="746">
        <f t="shared" si="33"/>
        <v>0</v>
      </c>
      <c r="H207" s="746">
        <f t="shared" si="33"/>
        <v>0</v>
      </c>
      <c r="I207" s="747">
        <f t="shared" si="33"/>
        <v>1714500</v>
      </c>
      <c r="J207" s="815"/>
    </row>
    <row r="208" ht="12.75">
      <c r="J208" s="815"/>
    </row>
    <row r="209" ht="12.75">
      <c r="J209" s="815"/>
    </row>
    <row r="210" spans="1:10" ht="14.25">
      <c r="A210" s="832" t="s">
        <v>855</v>
      </c>
      <c r="B210" s="832"/>
      <c r="C210" s="834"/>
      <c r="D210" s="834"/>
      <c r="E210" s="834"/>
      <c r="F210" s="834"/>
      <c r="G210" s="834"/>
      <c r="H210" s="834"/>
      <c r="I210" s="834"/>
      <c r="J210" s="815"/>
    </row>
    <row r="211" spans="1:10" ht="15.75" thickBot="1">
      <c r="A211" s="719"/>
      <c r="B211" s="719"/>
      <c r="C211" s="719"/>
      <c r="D211" s="719"/>
      <c r="E211" s="719"/>
      <c r="F211" s="719"/>
      <c r="G211" s="719"/>
      <c r="H211" s="835" t="s">
        <v>838</v>
      </c>
      <c r="I211" s="835"/>
      <c r="J211" s="815"/>
    </row>
    <row r="212" spans="1:10" ht="13.5" customHeight="1" thickBot="1">
      <c r="A212" s="836" t="s">
        <v>83</v>
      </c>
      <c r="B212" s="839" t="s">
        <v>444</v>
      </c>
      <c r="C212" s="840"/>
      <c r="D212" s="840"/>
      <c r="E212" s="840"/>
      <c r="F212" s="841"/>
      <c r="G212" s="841"/>
      <c r="H212" s="841"/>
      <c r="I212" s="842"/>
      <c r="J212" s="815"/>
    </row>
    <row r="213" spans="1:10" ht="13.5" customHeight="1" thickBot="1">
      <c r="A213" s="837"/>
      <c r="B213" s="843" t="str">
        <f>B191</f>
        <v>Módosítás utáni összes forrás, kiadás</v>
      </c>
      <c r="C213" s="846" t="s">
        <v>853</v>
      </c>
      <c r="D213" s="847"/>
      <c r="E213" s="847"/>
      <c r="F213" s="847"/>
      <c r="G213" s="847"/>
      <c r="H213" s="847"/>
      <c r="I213" s="848"/>
      <c r="J213" s="815"/>
    </row>
    <row r="214" spans="1:10" ht="48.75" thickBot="1">
      <c r="A214" s="837"/>
      <c r="B214" s="844"/>
      <c r="C214" s="849" t="str">
        <f>CONCATENATE(Z_TARTALOMJEGYZÉK!$A$1,".  előtti forrás, kiadás")</f>
        <v>2019.  előtti forrás, kiadás</v>
      </c>
      <c r="D214" s="720" t="s">
        <v>446</v>
      </c>
      <c r="E214" s="720" t="s">
        <v>447</v>
      </c>
      <c r="F214" s="721" t="str">
        <f>CONCATENATE("Összes teljesítés ",Z_TARTALOMJEGYZÉK!$A$1,". XII.31 -ig")</f>
        <v>Összes teljesítés 2019. XII.31 -ig</v>
      </c>
      <c r="G214" s="721" t="s">
        <v>446</v>
      </c>
      <c r="H214" s="721" t="s">
        <v>447</v>
      </c>
      <c r="I214" s="721" t="str">
        <f>CONCATENATE("Összes teljesítés ",Z_TARTALOMJEGYZÉK!$A$1,". XII.31 -ig")</f>
        <v>Összes teljesítés 2019. XII.31 -ig</v>
      </c>
      <c r="J214" s="815"/>
    </row>
    <row r="215" spans="1:10" ht="13.5" thickBot="1">
      <c r="A215" s="838"/>
      <c r="B215" s="845"/>
      <c r="C215" s="850"/>
      <c r="D215" s="851" t="str">
        <f>CONCATENATE(Z_TARTALOMJEGYZÉK!$A$1,". évi")</f>
        <v>2019. évi</v>
      </c>
      <c r="E215" s="852"/>
      <c r="F215" s="853"/>
      <c r="G215" s="851" t="str">
        <f>CONCATENATE(Z_TARTALOMJEGYZÉK!$A$1,". után")</f>
        <v>2019. után</v>
      </c>
      <c r="H215" s="854"/>
      <c r="I215" s="853"/>
      <c r="J215" s="815"/>
    </row>
    <row r="216" spans="1:10" ht="13.5" thickBot="1">
      <c r="A216" s="722" t="s">
        <v>385</v>
      </c>
      <c r="B216" s="723" t="s">
        <v>858</v>
      </c>
      <c r="C216" s="724" t="s">
        <v>387</v>
      </c>
      <c r="D216" s="725" t="s">
        <v>389</v>
      </c>
      <c r="E216" s="725" t="s">
        <v>388</v>
      </c>
      <c r="F216" s="724" t="s">
        <v>390</v>
      </c>
      <c r="G216" s="724" t="s">
        <v>391</v>
      </c>
      <c r="H216" s="724" t="s">
        <v>392</v>
      </c>
      <c r="I216" s="726" t="s">
        <v>857</v>
      </c>
      <c r="J216" s="815"/>
    </row>
    <row r="217" spans="1:10" ht="12.75">
      <c r="A217" s="727" t="s">
        <v>84</v>
      </c>
      <c r="B217" s="753">
        <f aca="true" t="shared" si="34" ref="B217:B222">C217+E217+H217</f>
        <v>0</v>
      </c>
      <c r="C217" s="739"/>
      <c r="D217" s="740"/>
      <c r="E217" s="740"/>
      <c r="F217" s="750"/>
      <c r="G217" s="740"/>
      <c r="H217" s="741"/>
      <c r="I217" s="742">
        <f aca="true" t="shared" si="35" ref="I217:I222">C217+F217</f>
        <v>0</v>
      </c>
      <c r="J217" s="815"/>
    </row>
    <row r="218" spans="1:10" ht="12.75">
      <c r="A218" s="728" t="s">
        <v>95</v>
      </c>
      <c r="B218" s="754">
        <f t="shared" si="34"/>
        <v>0</v>
      </c>
      <c r="C218" s="743"/>
      <c r="D218" s="743"/>
      <c r="E218" s="744"/>
      <c r="F218" s="751"/>
      <c r="G218" s="743"/>
      <c r="H218" s="744"/>
      <c r="I218" s="745">
        <f t="shared" si="35"/>
        <v>0</v>
      </c>
      <c r="J218" s="815"/>
    </row>
    <row r="219" spans="1:10" ht="12.75">
      <c r="A219" s="729" t="s">
        <v>85</v>
      </c>
      <c r="B219" s="755">
        <f t="shared" si="34"/>
        <v>0</v>
      </c>
      <c r="C219" s="744"/>
      <c r="D219" s="744"/>
      <c r="E219" s="744"/>
      <c r="F219" s="752"/>
      <c r="G219" s="744"/>
      <c r="H219" s="744"/>
      <c r="I219" s="745">
        <f t="shared" si="35"/>
        <v>0</v>
      </c>
      <c r="J219" s="815"/>
    </row>
    <row r="220" spans="1:10" ht="12.75">
      <c r="A220" s="729" t="s">
        <v>96</v>
      </c>
      <c r="B220" s="755">
        <f t="shared" si="34"/>
        <v>0</v>
      </c>
      <c r="C220" s="744"/>
      <c r="D220" s="744"/>
      <c r="E220" s="744"/>
      <c r="F220" s="752"/>
      <c r="G220" s="744"/>
      <c r="H220" s="744"/>
      <c r="I220" s="745">
        <f t="shared" si="35"/>
        <v>0</v>
      </c>
      <c r="J220" s="815"/>
    </row>
    <row r="221" spans="1:10" ht="12.75">
      <c r="A221" s="729" t="s">
        <v>86</v>
      </c>
      <c r="B221" s="755">
        <f t="shared" si="34"/>
        <v>0</v>
      </c>
      <c r="C221" s="744"/>
      <c r="D221" s="744"/>
      <c r="E221" s="744"/>
      <c r="F221" s="752"/>
      <c r="G221" s="744"/>
      <c r="H221" s="744"/>
      <c r="I221" s="745">
        <f t="shared" si="35"/>
        <v>0</v>
      </c>
      <c r="J221" s="815"/>
    </row>
    <row r="222" spans="1:10" ht="13.5" thickBot="1">
      <c r="A222" s="729" t="s">
        <v>87</v>
      </c>
      <c r="B222" s="755">
        <f t="shared" si="34"/>
        <v>0</v>
      </c>
      <c r="C222" s="744"/>
      <c r="D222" s="744"/>
      <c r="E222" s="744"/>
      <c r="F222" s="752"/>
      <c r="G222" s="744"/>
      <c r="H222" s="744"/>
      <c r="I222" s="745">
        <f t="shared" si="35"/>
        <v>0</v>
      </c>
      <c r="J222" s="815"/>
    </row>
    <row r="223" spans="1:10" ht="13.5" thickBot="1">
      <c r="A223" s="730" t="s">
        <v>88</v>
      </c>
      <c r="B223" s="756">
        <f aca="true" t="shared" si="36" ref="B223:I223">B217+SUM(B219:B222)</f>
        <v>0</v>
      </c>
      <c r="C223" s="746">
        <f t="shared" si="36"/>
        <v>0</v>
      </c>
      <c r="D223" s="746">
        <f t="shared" si="36"/>
        <v>0</v>
      </c>
      <c r="E223" s="746">
        <f t="shared" si="36"/>
        <v>0</v>
      </c>
      <c r="F223" s="746">
        <f t="shared" si="36"/>
        <v>0</v>
      </c>
      <c r="G223" s="746">
        <f t="shared" si="36"/>
        <v>0</v>
      </c>
      <c r="H223" s="746">
        <f t="shared" si="36"/>
        <v>0</v>
      </c>
      <c r="I223" s="747">
        <f t="shared" si="36"/>
        <v>0</v>
      </c>
      <c r="J223" s="815"/>
    </row>
    <row r="224" spans="1:10" ht="12.75">
      <c r="A224" s="731" t="s">
        <v>91</v>
      </c>
      <c r="B224" s="753">
        <f>C224+E224+H224</f>
        <v>0</v>
      </c>
      <c r="C224" s="740"/>
      <c r="D224" s="740"/>
      <c r="E224" s="740"/>
      <c r="F224" s="740"/>
      <c r="G224" s="740"/>
      <c r="H224" s="740"/>
      <c r="I224" s="742">
        <f>C224+F224</f>
        <v>0</v>
      </c>
      <c r="J224" s="815"/>
    </row>
    <row r="225" spans="1:10" ht="12.75">
      <c r="A225" s="732" t="s">
        <v>92</v>
      </c>
      <c r="B225" s="755">
        <f>C225+E225+H225</f>
        <v>0</v>
      </c>
      <c r="C225" s="744"/>
      <c r="D225" s="744"/>
      <c r="E225" s="744"/>
      <c r="F225" s="744"/>
      <c r="G225" s="744"/>
      <c r="H225" s="744"/>
      <c r="I225" s="745">
        <f>C225+F225</f>
        <v>0</v>
      </c>
      <c r="J225" s="815"/>
    </row>
    <row r="226" spans="1:10" ht="12.75">
      <c r="A226" s="732" t="s">
        <v>93</v>
      </c>
      <c r="B226" s="755">
        <f>C226+E226+H226</f>
        <v>0</v>
      </c>
      <c r="C226" s="744"/>
      <c r="D226" s="744"/>
      <c r="E226" s="744"/>
      <c r="F226" s="744"/>
      <c r="G226" s="744"/>
      <c r="H226" s="744"/>
      <c r="I226" s="745">
        <f>C226+F226</f>
        <v>0</v>
      </c>
      <c r="J226" s="815"/>
    </row>
    <row r="227" spans="1:10" ht="12.75">
      <c r="A227" s="732" t="s">
        <v>94</v>
      </c>
      <c r="B227" s="755">
        <f>C227+E227+H227</f>
        <v>0</v>
      </c>
      <c r="C227" s="744"/>
      <c r="D227" s="744"/>
      <c r="E227" s="744"/>
      <c r="F227" s="744"/>
      <c r="G227" s="744"/>
      <c r="H227" s="744"/>
      <c r="I227" s="745">
        <f>C227+F227</f>
        <v>0</v>
      </c>
      <c r="J227" s="815"/>
    </row>
    <row r="228" spans="1:10" ht="13.5" thickBot="1">
      <c r="A228" s="733"/>
      <c r="B228" s="757">
        <f>C228+E228+H228</f>
        <v>0</v>
      </c>
      <c r="C228" s="748"/>
      <c r="D228" s="748"/>
      <c r="E228" s="744"/>
      <c r="F228" s="748"/>
      <c r="G228" s="748"/>
      <c r="H228" s="744"/>
      <c r="I228" s="749">
        <f>C228+F228</f>
        <v>0</v>
      </c>
      <c r="J228" s="815"/>
    </row>
    <row r="229" spans="1:10" ht="13.5" thickBot="1">
      <c r="A229" s="734" t="s">
        <v>74</v>
      </c>
      <c r="B229" s="756">
        <f aca="true" t="shared" si="37" ref="B229:I229">SUM(B224:B228)</f>
        <v>0</v>
      </c>
      <c r="C229" s="746">
        <f t="shared" si="37"/>
        <v>0</v>
      </c>
      <c r="D229" s="746">
        <f t="shared" si="37"/>
        <v>0</v>
      </c>
      <c r="E229" s="746">
        <f t="shared" si="37"/>
        <v>0</v>
      </c>
      <c r="F229" s="746">
        <f t="shared" si="37"/>
        <v>0</v>
      </c>
      <c r="G229" s="746">
        <f t="shared" si="37"/>
        <v>0</v>
      </c>
      <c r="H229" s="746">
        <f t="shared" si="37"/>
        <v>0</v>
      </c>
      <c r="I229" s="747">
        <f t="shared" si="37"/>
        <v>0</v>
      </c>
      <c r="J229" s="815"/>
    </row>
    <row r="230" ht="12.75">
      <c r="J230" s="815"/>
    </row>
    <row r="231" ht="12.75">
      <c r="J231" s="815"/>
    </row>
  </sheetData>
  <sheetProtection/>
  <mergeCells count="120">
    <mergeCell ref="J210:J231"/>
    <mergeCell ref="H211:I211"/>
    <mergeCell ref="A212:A215"/>
    <mergeCell ref="B212:I212"/>
    <mergeCell ref="B213:B215"/>
    <mergeCell ref="C213:I213"/>
    <mergeCell ref="C214:C215"/>
    <mergeCell ref="D215:F215"/>
    <mergeCell ref="G215:I215"/>
    <mergeCell ref="C191:I191"/>
    <mergeCell ref="C192:C193"/>
    <mergeCell ref="D193:F193"/>
    <mergeCell ref="G193:I193"/>
    <mergeCell ref="A210:B210"/>
    <mergeCell ref="C210:I210"/>
    <mergeCell ref="C170:C171"/>
    <mergeCell ref="D171:F171"/>
    <mergeCell ref="G171:I171"/>
    <mergeCell ref="A188:B188"/>
    <mergeCell ref="C188:I188"/>
    <mergeCell ref="J188:J209"/>
    <mergeCell ref="H189:I189"/>
    <mergeCell ref="A190:A193"/>
    <mergeCell ref="B190:I190"/>
    <mergeCell ref="B191:B193"/>
    <mergeCell ref="D149:F149"/>
    <mergeCell ref="G149:I149"/>
    <mergeCell ref="A166:B166"/>
    <mergeCell ref="C166:I166"/>
    <mergeCell ref="J166:J187"/>
    <mergeCell ref="H167:I167"/>
    <mergeCell ref="A168:A171"/>
    <mergeCell ref="B168:I168"/>
    <mergeCell ref="B169:B171"/>
    <mergeCell ref="C169:I169"/>
    <mergeCell ref="G127:I127"/>
    <mergeCell ref="A144:B144"/>
    <mergeCell ref="C144:I144"/>
    <mergeCell ref="J144:J165"/>
    <mergeCell ref="H145:I145"/>
    <mergeCell ref="A146:A149"/>
    <mergeCell ref="B146:I146"/>
    <mergeCell ref="B147:B149"/>
    <mergeCell ref="C147:I147"/>
    <mergeCell ref="C148:C149"/>
    <mergeCell ref="A122:B122"/>
    <mergeCell ref="C122:I122"/>
    <mergeCell ref="J122:J143"/>
    <mergeCell ref="H123:I123"/>
    <mergeCell ref="A124:A127"/>
    <mergeCell ref="B124:I124"/>
    <mergeCell ref="B125:B127"/>
    <mergeCell ref="C125:I125"/>
    <mergeCell ref="C126:C127"/>
    <mergeCell ref="D127:F127"/>
    <mergeCell ref="J100:J121"/>
    <mergeCell ref="H101:I101"/>
    <mergeCell ref="A102:A105"/>
    <mergeCell ref="B102:I102"/>
    <mergeCell ref="B103:B105"/>
    <mergeCell ref="C103:I103"/>
    <mergeCell ref="C104:C105"/>
    <mergeCell ref="D105:F105"/>
    <mergeCell ref="G105:I105"/>
    <mergeCell ref="C81:I81"/>
    <mergeCell ref="C82:C83"/>
    <mergeCell ref="D83:F83"/>
    <mergeCell ref="G83:I83"/>
    <mergeCell ref="A100:B100"/>
    <mergeCell ref="C100:I100"/>
    <mergeCell ref="C60:C61"/>
    <mergeCell ref="D61:F61"/>
    <mergeCell ref="G61:I61"/>
    <mergeCell ref="A78:B78"/>
    <mergeCell ref="C78:I78"/>
    <mergeCell ref="J78:J99"/>
    <mergeCell ref="H79:I79"/>
    <mergeCell ref="A80:A83"/>
    <mergeCell ref="B80:I80"/>
    <mergeCell ref="B81:B83"/>
    <mergeCell ref="D39:F39"/>
    <mergeCell ref="G39:I39"/>
    <mergeCell ref="A56:B56"/>
    <mergeCell ref="C56:I56"/>
    <mergeCell ref="J56:J77"/>
    <mergeCell ref="H57:I57"/>
    <mergeCell ref="A58:A61"/>
    <mergeCell ref="B58:I58"/>
    <mergeCell ref="B59:B61"/>
    <mergeCell ref="C59:I59"/>
    <mergeCell ref="A32:I32"/>
    <mergeCell ref="A34:B34"/>
    <mergeCell ref="C34:I34"/>
    <mergeCell ref="J34:J55"/>
    <mergeCell ref="H35:I35"/>
    <mergeCell ref="A36:A39"/>
    <mergeCell ref="B36:I36"/>
    <mergeCell ref="B37:B39"/>
    <mergeCell ref="C37:I37"/>
    <mergeCell ref="C38:C39"/>
    <mergeCell ref="A12:B12"/>
    <mergeCell ref="C12:I12"/>
    <mergeCell ref="H13:I13"/>
    <mergeCell ref="A14:A17"/>
    <mergeCell ref="B14:I14"/>
    <mergeCell ref="B15:B17"/>
    <mergeCell ref="C15:I15"/>
    <mergeCell ref="C16:C17"/>
    <mergeCell ref="D17:F17"/>
    <mergeCell ref="G17:I17"/>
    <mergeCell ref="A1:I1"/>
    <mergeCell ref="J1:J33"/>
    <mergeCell ref="A9:I9"/>
    <mergeCell ref="A10:I10"/>
    <mergeCell ref="A2:I2"/>
    <mergeCell ref="H3:I3"/>
    <mergeCell ref="A4:F4"/>
    <mergeCell ref="A5:F5"/>
    <mergeCell ref="A6:F6"/>
    <mergeCell ref="A7:F7"/>
  </mergeCells>
  <printOptions horizontalCentered="1"/>
  <pageMargins left="0.7874015748031497" right="0.7874015748031497" top="0.7874015748031497" bottom="0.7874015748031497" header="0.7874015748031497" footer="0.7874015748031497"/>
  <pageSetup orientation="landscape" paperSize="9" scale="85" r:id="rId1"/>
  <headerFooter alignWithMargins="0">
    <oddHeader>&amp;C&amp;"Times New Roman CE,Félkövér"&amp;12
</oddHeader>
  </headerFooter>
  <rowBreaks count="9" manualBreakCount="9">
    <brk id="33" max="255" man="1"/>
    <brk id="55" max="255" man="1"/>
    <brk id="77" max="255" man="1"/>
    <brk id="99" max="255" man="1"/>
    <brk id="121" max="255" man="1"/>
    <brk id="143" max="255" man="1"/>
    <brk id="165" max="255" man="1"/>
    <brk id="187" max="255" man="1"/>
    <brk id="209" max="255" man="1"/>
  </rowBreaks>
</worksheet>
</file>

<file path=xl/worksheets/sheet14.xml><?xml version="1.0" encoding="utf-8"?>
<worksheet xmlns="http://schemas.openxmlformats.org/spreadsheetml/2006/main" xmlns:r="http://schemas.openxmlformats.org/officeDocument/2006/relationships">
  <sheetPr>
    <tabColor rgb="FF92D050"/>
  </sheetPr>
  <dimension ref="A1:K158"/>
  <sheetViews>
    <sheetView zoomScale="120" zoomScaleNormal="120" zoomScaleSheetLayoutView="100" workbookViewId="0" topLeftCell="A1">
      <selection activeCell="M107" sqref="M107"/>
    </sheetView>
  </sheetViews>
  <sheetFormatPr defaultColWidth="9.00390625" defaultRowHeight="12.75"/>
  <cols>
    <col min="1" max="1" width="16.125" style="161" customWidth="1"/>
    <col min="2" max="2" width="63.875" style="162" customWidth="1"/>
    <col min="3" max="3" width="14.125" style="163" customWidth="1"/>
    <col min="4" max="5" width="14.125" style="2" customWidth="1"/>
    <col min="6" max="16384" width="9.375" style="2" customWidth="1"/>
  </cols>
  <sheetData>
    <row r="1" spans="1:5" s="1" customFormat="1" ht="16.5" customHeight="1" thickBot="1">
      <c r="A1" s="325"/>
      <c r="B1" s="860" t="str">
        <f>CONCATENATE("6.1. melléklet ",Z_ALAPADATOK!A7," ",Z_ALAPADATOK!B7," ",Z_ALAPADATOK!C7," ",Z_ALAPADATOK!D7," ",Z_ALAPADATOK!E7," ",Z_ALAPADATOK!F7," ",Z_ALAPADATOK!G7," ",Z_ALAPADATOK!H7)</f>
        <v>6.1. melléklet a 4 / 2020. ( VII.17. ) önkormányzati rendelethez</v>
      </c>
      <c r="C1" s="861"/>
      <c r="D1" s="861"/>
      <c r="E1" s="861"/>
    </row>
    <row r="2" spans="1:5" s="50" customFormat="1" ht="21" customHeight="1" thickBot="1">
      <c r="A2" s="334" t="s">
        <v>44</v>
      </c>
      <c r="B2" s="859" t="str">
        <f>CONCATENATE(Z_ALAPADATOK!A3)</f>
        <v>Kállósemjén Nagyközség Önkormányzata</v>
      </c>
      <c r="C2" s="859"/>
      <c r="D2" s="859"/>
      <c r="E2" s="335" t="s">
        <v>38</v>
      </c>
    </row>
    <row r="3" spans="1:5" s="50" customFormat="1" ht="24.75" thickBot="1">
      <c r="A3" s="334" t="s">
        <v>135</v>
      </c>
      <c r="B3" s="859" t="s">
        <v>302</v>
      </c>
      <c r="C3" s="859"/>
      <c r="D3" s="859"/>
      <c r="E3" s="336" t="s">
        <v>38</v>
      </c>
    </row>
    <row r="4" spans="1:5" s="51" customFormat="1" ht="15.75" customHeight="1" thickBot="1">
      <c r="A4" s="328"/>
      <c r="B4" s="328"/>
      <c r="C4" s="329"/>
      <c r="D4" s="330"/>
      <c r="E4" s="339" t="str">
        <f>'Z_4.sz.mell.'!G4</f>
        <v> Forintban!</v>
      </c>
    </row>
    <row r="5" spans="1:5" ht="24.75" thickBot="1">
      <c r="A5" s="331" t="s">
        <v>136</v>
      </c>
      <c r="B5" s="332" t="s">
        <v>484</v>
      </c>
      <c r="C5" s="332" t="s">
        <v>449</v>
      </c>
      <c r="D5" s="333" t="s">
        <v>450</v>
      </c>
      <c r="E5" s="316" t="str">
        <f>+CONCATENATE("Teljesítés",CHAR(10),LEFT(Z_ÖSSZEFÜGGÉSEK!A6,4),". XII. 31.")</f>
        <v>Teljesítés
2019. XII. 31.</v>
      </c>
    </row>
    <row r="6" spans="1:5" s="46" customFormat="1" ht="12.75" customHeight="1" thickBot="1">
      <c r="A6" s="76" t="s">
        <v>385</v>
      </c>
      <c r="B6" s="77" t="s">
        <v>386</v>
      </c>
      <c r="C6" s="77" t="s">
        <v>387</v>
      </c>
      <c r="D6" s="287" t="s">
        <v>389</v>
      </c>
      <c r="E6" s="78" t="s">
        <v>388</v>
      </c>
    </row>
    <row r="7" spans="1:5" s="46" customFormat="1" ht="15.75" customHeight="1" thickBot="1">
      <c r="A7" s="856" t="s">
        <v>39</v>
      </c>
      <c r="B7" s="857"/>
      <c r="C7" s="857"/>
      <c r="D7" s="857"/>
      <c r="E7" s="858"/>
    </row>
    <row r="8" spans="1:5" s="46" customFormat="1" ht="12" customHeight="1" thickBot="1">
      <c r="A8" s="25" t="s">
        <v>6</v>
      </c>
      <c r="B8" s="19" t="s">
        <v>161</v>
      </c>
      <c r="C8" s="168">
        <f>+C9+C10+C11+C12+C13+C14</f>
        <v>306085968</v>
      </c>
      <c r="D8" s="254">
        <f>+D9+D10+D11+D12+D13+D14</f>
        <v>307217491</v>
      </c>
      <c r="E8" s="104">
        <f>+E9+E10+E11+E12+E13+E14</f>
        <v>292384339</v>
      </c>
    </row>
    <row r="9" spans="1:5" s="52" customFormat="1" ht="12" customHeight="1">
      <c r="A9" s="198" t="s">
        <v>63</v>
      </c>
      <c r="B9" s="181" t="s">
        <v>162</v>
      </c>
      <c r="C9" s="170">
        <v>127996975</v>
      </c>
      <c r="D9" s="255">
        <v>127996975</v>
      </c>
      <c r="E9" s="106">
        <v>130701805</v>
      </c>
    </row>
    <row r="10" spans="1:5" s="53" customFormat="1" ht="12" customHeight="1">
      <c r="A10" s="199" t="s">
        <v>64</v>
      </c>
      <c r="B10" s="182" t="s">
        <v>163</v>
      </c>
      <c r="C10" s="169">
        <v>57524400</v>
      </c>
      <c r="D10" s="256">
        <v>57524400</v>
      </c>
      <c r="E10" s="105">
        <v>59874484</v>
      </c>
    </row>
    <row r="11" spans="1:5" s="53" customFormat="1" ht="12" customHeight="1">
      <c r="A11" s="199" t="s">
        <v>65</v>
      </c>
      <c r="B11" s="182" t="s">
        <v>164</v>
      </c>
      <c r="C11" s="169">
        <v>77966400</v>
      </c>
      <c r="D11" s="256">
        <v>77966400</v>
      </c>
      <c r="E11" s="105">
        <v>79081659</v>
      </c>
    </row>
    <row r="12" spans="1:5" s="53" customFormat="1" ht="12" customHeight="1">
      <c r="A12" s="199" t="s">
        <v>66</v>
      </c>
      <c r="B12" s="182" t="s">
        <v>165</v>
      </c>
      <c r="C12" s="169">
        <v>4515720</v>
      </c>
      <c r="D12" s="256">
        <v>5647243</v>
      </c>
      <c r="E12" s="105">
        <v>6093331</v>
      </c>
    </row>
    <row r="13" spans="1:5" s="53" customFormat="1" ht="12" customHeight="1">
      <c r="A13" s="199" t="s">
        <v>97</v>
      </c>
      <c r="B13" s="182" t="s">
        <v>393</v>
      </c>
      <c r="C13" s="169">
        <v>38082473</v>
      </c>
      <c r="D13" s="256">
        <v>38082473</v>
      </c>
      <c r="E13" s="105">
        <v>16633060</v>
      </c>
    </row>
    <row r="14" spans="1:5" s="52" customFormat="1" ht="12" customHeight="1" thickBot="1">
      <c r="A14" s="200" t="s">
        <v>67</v>
      </c>
      <c r="B14" s="183" t="s">
        <v>334</v>
      </c>
      <c r="C14" s="169"/>
      <c r="D14" s="256"/>
      <c r="E14" s="105"/>
    </row>
    <row r="15" spans="1:5" s="52" customFormat="1" ht="12" customHeight="1" thickBot="1">
      <c r="A15" s="25" t="s">
        <v>7</v>
      </c>
      <c r="B15" s="111" t="s">
        <v>166</v>
      </c>
      <c r="C15" s="168">
        <f>+C16+C17+C18+C19+C20</f>
        <v>126121616</v>
      </c>
      <c r="D15" s="254">
        <f>+D16+D17+D18+D19+D20</f>
        <v>155541371</v>
      </c>
      <c r="E15" s="104">
        <f>+E16+E17+E18+E19+E20</f>
        <v>173110984</v>
      </c>
    </row>
    <row r="16" spans="1:5" s="52" customFormat="1" ht="12" customHeight="1">
      <c r="A16" s="198" t="s">
        <v>69</v>
      </c>
      <c r="B16" s="181" t="s">
        <v>167</v>
      </c>
      <c r="C16" s="170"/>
      <c r="D16" s="255"/>
      <c r="E16" s="106"/>
    </row>
    <row r="17" spans="1:5" s="52" customFormat="1" ht="12" customHeight="1">
      <c r="A17" s="199" t="s">
        <v>70</v>
      </c>
      <c r="B17" s="182" t="s">
        <v>168</v>
      </c>
      <c r="C17" s="169"/>
      <c r="D17" s="256"/>
      <c r="E17" s="105"/>
    </row>
    <row r="18" spans="1:5" s="52" customFormat="1" ht="12" customHeight="1">
      <c r="A18" s="199" t="s">
        <v>71</v>
      </c>
      <c r="B18" s="182" t="s">
        <v>325</v>
      </c>
      <c r="C18" s="169"/>
      <c r="D18" s="256"/>
      <c r="E18" s="105"/>
    </row>
    <row r="19" spans="1:5" s="52" customFormat="1" ht="12" customHeight="1">
      <c r="A19" s="199" t="s">
        <v>72</v>
      </c>
      <c r="B19" s="182" t="s">
        <v>326</v>
      </c>
      <c r="C19" s="169"/>
      <c r="D19" s="256"/>
      <c r="E19" s="105"/>
    </row>
    <row r="20" spans="1:5" s="52" customFormat="1" ht="12" customHeight="1">
      <c r="A20" s="199" t="s">
        <v>73</v>
      </c>
      <c r="B20" s="182" t="s">
        <v>169</v>
      </c>
      <c r="C20" s="169">
        <v>126121616</v>
      </c>
      <c r="D20" s="256">
        <v>155541371</v>
      </c>
      <c r="E20" s="105">
        <v>173110984</v>
      </c>
    </row>
    <row r="21" spans="1:5" s="53" customFormat="1" ht="12" customHeight="1" thickBot="1">
      <c r="A21" s="200" t="s">
        <v>80</v>
      </c>
      <c r="B21" s="183" t="s">
        <v>170</v>
      </c>
      <c r="C21" s="171"/>
      <c r="D21" s="257">
        <v>34001502</v>
      </c>
      <c r="E21" s="107">
        <v>34001502</v>
      </c>
    </row>
    <row r="22" spans="1:5" s="53" customFormat="1" ht="12" customHeight="1" thickBot="1">
      <c r="A22" s="25" t="s">
        <v>8</v>
      </c>
      <c r="B22" s="19" t="s">
        <v>171</v>
      </c>
      <c r="C22" s="168">
        <f>+C23+C24+C25+C26+C27</f>
        <v>0</v>
      </c>
      <c r="D22" s="254">
        <f>+D23+D24+D25+D26+D27</f>
        <v>122200885</v>
      </c>
      <c r="E22" s="104">
        <f>+E23+E24+E25+E26+E27</f>
        <v>161074272</v>
      </c>
    </row>
    <row r="23" spans="1:5" s="53" customFormat="1" ht="12" customHeight="1">
      <c r="A23" s="198" t="s">
        <v>52</v>
      </c>
      <c r="B23" s="181" t="s">
        <v>172</v>
      </c>
      <c r="C23" s="170"/>
      <c r="D23" s="255">
        <v>106200046</v>
      </c>
      <c r="E23" s="106">
        <v>80334000</v>
      </c>
    </row>
    <row r="24" spans="1:5" s="52" customFormat="1" ht="12" customHeight="1">
      <c r="A24" s="199" t="s">
        <v>53</v>
      </c>
      <c r="B24" s="182" t="s">
        <v>173</v>
      </c>
      <c r="C24" s="169"/>
      <c r="D24" s="256"/>
      <c r="E24" s="105"/>
    </row>
    <row r="25" spans="1:5" s="53" customFormat="1" ht="12" customHeight="1">
      <c r="A25" s="199" t="s">
        <v>54</v>
      </c>
      <c r="B25" s="182" t="s">
        <v>327</v>
      </c>
      <c r="C25" s="169"/>
      <c r="D25" s="256"/>
      <c r="E25" s="105"/>
    </row>
    <row r="26" spans="1:5" s="53" customFormat="1" ht="12" customHeight="1">
      <c r="A26" s="199" t="s">
        <v>55</v>
      </c>
      <c r="B26" s="182" t="s">
        <v>328</v>
      </c>
      <c r="C26" s="169"/>
      <c r="D26" s="256"/>
      <c r="E26" s="105"/>
    </row>
    <row r="27" spans="1:5" s="53" customFormat="1" ht="12" customHeight="1">
      <c r="A27" s="199" t="s">
        <v>110</v>
      </c>
      <c r="B27" s="182" t="s">
        <v>174</v>
      </c>
      <c r="C27" s="169"/>
      <c r="D27" s="256">
        <v>16000839</v>
      </c>
      <c r="E27" s="105">
        <v>80740272</v>
      </c>
    </row>
    <row r="28" spans="1:5" s="53" customFormat="1" ht="12" customHeight="1" thickBot="1">
      <c r="A28" s="200" t="s">
        <v>111</v>
      </c>
      <c r="B28" s="183" t="s">
        <v>175</v>
      </c>
      <c r="C28" s="171"/>
      <c r="D28" s="257">
        <v>16000839</v>
      </c>
      <c r="E28" s="107">
        <v>70071082</v>
      </c>
    </row>
    <row r="29" spans="1:5" s="53" customFormat="1" ht="12" customHeight="1" thickBot="1">
      <c r="A29" s="25" t="s">
        <v>112</v>
      </c>
      <c r="B29" s="19" t="s">
        <v>476</v>
      </c>
      <c r="C29" s="174">
        <f>SUM(C30:C36)</f>
        <v>52630600</v>
      </c>
      <c r="D29" s="174">
        <f>SUM(D30:D36)</f>
        <v>55768175</v>
      </c>
      <c r="E29" s="210">
        <f>SUM(E30:E36)</f>
        <v>63469415</v>
      </c>
    </row>
    <row r="30" spans="1:5" s="53" customFormat="1" ht="12" customHeight="1">
      <c r="A30" s="198" t="s">
        <v>176</v>
      </c>
      <c r="B30" s="181" t="str">
        <f>'Z_1.1.sz.mell.'!B33</f>
        <v>Építményadó</v>
      </c>
      <c r="C30" s="170"/>
      <c r="D30" s="170"/>
      <c r="E30" s="106"/>
    </row>
    <row r="31" spans="1:5" s="53" customFormat="1" ht="12" customHeight="1">
      <c r="A31" s="199" t="s">
        <v>177</v>
      </c>
      <c r="B31" s="181" t="str">
        <f>'Z_1.1.sz.mell.'!B34</f>
        <v>Idegenforgalmi adó </v>
      </c>
      <c r="C31" s="169"/>
      <c r="D31" s="169"/>
      <c r="E31" s="105"/>
    </row>
    <row r="32" spans="1:5" s="53" customFormat="1" ht="12" customHeight="1">
      <c r="A32" s="199" t="s">
        <v>178</v>
      </c>
      <c r="B32" s="181" t="str">
        <f>'Z_1.1.sz.mell.'!B35</f>
        <v>Iparűzési adó</v>
      </c>
      <c r="C32" s="169">
        <v>30000000</v>
      </c>
      <c r="D32" s="169">
        <v>33137575</v>
      </c>
      <c r="E32" s="105">
        <v>40715898</v>
      </c>
    </row>
    <row r="33" spans="1:5" s="53" customFormat="1" ht="12" customHeight="1">
      <c r="A33" s="199" t="s">
        <v>179</v>
      </c>
      <c r="B33" s="181" t="str">
        <f>'Z_1.1.sz.mell.'!B36</f>
        <v>Talajterhelési díj</v>
      </c>
      <c r="C33" s="169">
        <v>600000</v>
      </c>
      <c r="D33" s="169">
        <v>600000</v>
      </c>
      <c r="E33" s="105">
        <v>527750</v>
      </c>
    </row>
    <row r="34" spans="1:5" s="53" customFormat="1" ht="12" customHeight="1">
      <c r="A34" s="199" t="s">
        <v>480</v>
      </c>
      <c r="B34" s="181" t="str">
        <f>'Z_1.1.sz.mell.'!B37</f>
        <v>Gépjárműadó</v>
      </c>
      <c r="C34" s="169">
        <v>7800000</v>
      </c>
      <c r="D34" s="169">
        <v>7800000</v>
      </c>
      <c r="E34" s="105">
        <v>9884105</v>
      </c>
    </row>
    <row r="35" spans="1:5" s="53" customFormat="1" ht="12" customHeight="1">
      <c r="A35" s="199" t="s">
        <v>481</v>
      </c>
      <c r="B35" s="181" t="str">
        <f>'Z_1.1.sz.mell.'!B38</f>
        <v>Egyéb közhatalmi bevételek</v>
      </c>
      <c r="C35" s="169">
        <v>730600</v>
      </c>
      <c r="D35" s="169">
        <v>730600</v>
      </c>
      <c r="E35" s="105">
        <v>714345</v>
      </c>
    </row>
    <row r="36" spans="1:5" s="53" customFormat="1" ht="12" customHeight="1" thickBot="1">
      <c r="A36" s="200" t="s">
        <v>482</v>
      </c>
      <c r="B36" s="181" t="str">
        <f>'Z_1.1.sz.mell.'!B39</f>
        <v>Kommunális adó</v>
      </c>
      <c r="C36" s="171">
        <v>13500000</v>
      </c>
      <c r="D36" s="171">
        <v>13500000</v>
      </c>
      <c r="E36" s="107">
        <v>11627317</v>
      </c>
    </row>
    <row r="37" spans="1:5" s="53" customFormat="1" ht="12" customHeight="1" thickBot="1">
      <c r="A37" s="25" t="s">
        <v>10</v>
      </c>
      <c r="B37" s="19" t="s">
        <v>335</v>
      </c>
      <c r="C37" s="168">
        <f>SUM(C38:C48)</f>
        <v>48473454</v>
      </c>
      <c r="D37" s="254">
        <f>SUM(D38:D48)</f>
        <v>69073499</v>
      </c>
      <c r="E37" s="104">
        <f>SUM(E38:E48)</f>
        <v>83064740</v>
      </c>
    </row>
    <row r="38" spans="1:5" s="53" customFormat="1" ht="12" customHeight="1">
      <c r="A38" s="198" t="s">
        <v>56</v>
      </c>
      <c r="B38" s="181" t="s">
        <v>183</v>
      </c>
      <c r="C38" s="170">
        <v>50000</v>
      </c>
      <c r="D38" s="255">
        <v>6952756</v>
      </c>
      <c r="E38" s="106">
        <v>6614835</v>
      </c>
    </row>
    <row r="39" spans="1:5" s="53" customFormat="1" ht="12" customHeight="1">
      <c r="A39" s="199" t="s">
        <v>57</v>
      </c>
      <c r="B39" s="182" t="s">
        <v>184</v>
      </c>
      <c r="C39" s="169">
        <v>8844760</v>
      </c>
      <c r="D39" s="256">
        <v>13450203</v>
      </c>
      <c r="E39" s="105">
        <v>22303913</v>
      </c>
    </row>
    <row r="40" spans="1:5" s="53" customFormat="1" ht="12" customHeight="1">
      <c r="A40" s="199" t="s">
        <v>58</v>
      </c>
      <c r="B40" s="182" t="s">
        <v>185</v>
      </c>
      <c r="C40" s="169"/>
      <c r="D40" s="256">
        <v>1071157</v>
      </c>
      <c r="E40" s="105">
        <v>1056169</v>
      </c>
    </row>
    <row r="41" spans="1:5" s="53" customFormat="1" ht="12" customHeight="1">
      <c r="A41" s="199" t="s">
        <v>114</v>
      </c>
      <c r="B41" s="182" t="s">
        <v>186</v>
      </c>
      <c r="C41" s="169"/>
      <c r="D41" s="256"/>
      <c r="E41" s="105"/>
    </row>
    <row r="42" spans="1:5" s="53" customFormat="1" ht="12" customHeight="1">
      <c r="A42" s="199" t="s">
        <v>115</v>
      </c>
      <c r="B42" s="182" t="s">
        <v>187</v>
      </c>
      <c r="C42" s="169">
        <v>29301932</v>
      </c>
      <c r="D42" s="256">
        <v>29366074</v>
      </c>
      <c r="E42" s="105">
        <v>22870037</v>
      </c>
    </row>
    <row r="43" spans="1:5" s="53" customFormat="1" ht="12" customHeight="1">
      <c r="A43" s="199" t="s">
        <v>116</v>
      </c>
      <c r="B43" s="182" t="s">
        <v>188</v>
      </c>
      <c r="C43" s="169">
        <v>10276762</v>
      </c>
      <c r="D43" s="256">
        <v>12977528</v>
      </c>
      <c r="E43" s="105">
        <v>16343977</v>
      </c>
    </row>
    <row r="44" spans="1:5" s="53" customFormat="1" ht="12" customHeight="1">
      <c r="A44" s="199" t="s">
        <v>117</v>
      </c>
      <c r="B44" s="182" t="s">
        <v>189</v>
      </c>
      <c r="C44" s="169"/>
      <c r="D44" s="256"/>
      <c r="E44" s="105"/>
    </row>
    <row r="45" spans="1:5" s="53" customFormat="1" ht="12" customHeight="1">
      <c r="A45" s="199" t="s">
        <v>118</v>
      </c>
      <c r="B45" s="182" t="s">
        <v>483</v>
      </c>
      <c r="C45" s="169"/>
      <c r="D45" s="256">
        <v>68107</v>
      </c>
      <c r="E45" s="105">
        <v>59335</v>
      </c>
    </row>
    <row r="46" spans="1:5" s="53" customFormat="1" ht="12" customHeight="1">
      <c r="A46" s="199" t="s">
        <v>181</v>
      </c>
      <c r="B46" s="182" t="s">
        <v>191</v>
      </c>
      <c r="C46" s="172"/>
      <c r="D46" s="288"/>
      <c r="E46" s="108"/>
    </row>
    <row r="47" spans="1:5" s="53" customFormat="1" ht="12" customHeight="1">
      <c r="A47" s="200" t="s">
        <v>182</v>
      </c>
      <c r="B47" s="183" t="s">
        <v>337</v>
      </c>
      <c r="C47" s="173"/>
      <c r="D47" s="289"/>
      <c r="E47" s="109"/>
    </row>
    <row r="48" spans="1:5" s="53" customFormat="1" ht="12" customHeight="1" thickBot="1">
      <c r="A48" s="200" t="s">
        <v>336</v>
      </c>
      <c r="B48" s="183" t="s">
        <v>192</v>
      </c>
      <c r="C48" s="173"/>
      <c r="D48" s="289">
        <v>5187674</v>
      </c>
      <c r="E48" s="109">
        <v>13816474</v>
      </c>
    </row>
    <row r="49" spans="1:5" s="53" customFormat="1" ht="12" customHeight="1" thickBot="1">
      <c r="A49" s="25" t="s">
        <v>11</v>
      </c>
      <c r="B49" s="19" t="s">
        <v>193</v>
      </c>
      <c r="C49" s="168">
        <f>SUM(C50:C54)</f>
        <v>20011156</v>
      </c>
      <c r="D49" s="254">
        <f>SUM(D50:D54)</f>
        <v>20011156</v>
      </c>
      <c r="E49" s="104">
        <f>SUM(E50:E54)</f>
        <v>0</v>
      </c>
    </row>
    <row r="50" spans="1:5" s="53" customFormat="1" ht="12" customHeight="1">
      <c r="A50" s="198" t="s">
        <v>59</v>
      </c>
      <c r="B50" s="181" t="s">
        <v>197</v>
      </c>
      <c r="C50" s="221"/>
      <c r="D50" s="290"/>
      <c r="E50" s="110"/>
    </row>
    <row r="51" spans="1:5" s="53" customFormat="1" ht="12" customHeight="1">
      <c r="A51" s="199" t="s">
        <v>60</v>
      </c>
      <c r="B51" s="182" t="s">
        <v>198</v>
      </c>
      <c r="C51" s="172">
        <v>20011156</v>
      </c>
      <c r="D51" s="288">
        <v>20011156</v>
      </c>
      <c r="E51" s="108"/>
    </row>
    <row r="52" spans="1:5" s="53" customFormat="1" ht="12" customHeight="1">
      <c r="A52" s="199" t="s">
        <v>194</v>
      </c>
      <c r="B52" s="182" t="s">
        <v>199</v>
      </c>
      <c r="C52" s="172"/>
      <c r="D52" s="288"/>
      <c r="E52" s="108"/>
    </row>
    <row r="53" spans="1:5" s="53" customFormat="1" ht="12" customHeight="1">
      <c r="A53" s="199" t="s">
        <v>195</v>
      </c>
      <c r="B53" s="182" t="s">
        <v>200</v>
      </c>
      <c r="C53" s="172"/>
      <c r="D53" s="288"/>
      <c r="E53" s="108"/>
    </row>
    <row r="54" spans="1:5" s="53" customFormat="1" ht="12" customHeight="1" thickBot="1">
      <c r="A54" s="200" t="s">
        <v>196</v>
      </c>
      <c r="B54" s="183" t="s">
        <v>201</v>
      </c>
      <c r="C54" s="173"/>
      <c r="D54" s="289"/>
      <c r="E54" s="109"/>
    </row>
    <row r="55" spans="1:5" s="53" customFormat="1" ht="12" customHeight="1" thickBot="1">
      <c r="A55" s="25" t="s">
        <v>119</v>
      </c>
      <c r="B55" s="19" t="s">
        <v>202</v>
      </c>
      <c r="C55" s="168">
        <f>SUM(C56:C58)</f>
        <v>0</v>
      </c>
      <c r="D55" s="254">
        <f>SUM(D56:D58)</f>
        <v>1714506</v>
      </c>
      <c r="E55" s="104">
        <f>SUM(E56:E58)</f>
        <v>1776006</v>
      </c>
    </row>
    <row r="56" spans="1:5" s="53" customFormat="1" ht="12" customHeight="1">
      <c r="A56" s="198" t="s">
        <v>61</v>
      </c>
      <c r="B56" s="181" t="s">
        <v>203</v>
      </c>
      <c r="C56" s="170"/>
      <c r="D56" s="255"/>
      <c r="E56" s="106"/>
    </row>
    <row r="57" spans="1:5" s="53" customFormat="1" ht="12" customHeight="1">
      <c r="A57" s="199" t="s">
        <v>62</v>
      </c>
      <c r="B57" s="182" t="s">
        <v>329</v>
      </c>
      <c r="C57" s="169"/>
      <c r="D57" s="256">
        <v>1591955</v>
      </c>
      <c r="E57" s="105">
        <v>1645275</v>
      </c>
    </row>
    <row r="58" spans="1:5" s="53" customFormat="1" ht="12" customHeight="1">
      <c r="A58" s="199" t="s">
        <v>206</v>
      </c>
      <c r="B58" s="182" t="s">
        <v>204</v>
      </c>
      <c r="C58" s="169"/>
      <c r="D58" s="256">
        <v>122551</v>
      </c>
      <c r="E58" s="105">
        <v>130731</v>
      </c>
    </row>
    <row r="59" spans="1:5" s="53" customFormat="1" ht="12" customHeight="1" thickBot="1">
      <c r="A59" s="200" t="s">
        <v>207</v>
      </c>
      <c r="B59" s="183" t="s">
        <v>205</v>
      </c>
      <c r="C59" s="171"/>
      <c r="D59" s="257"/>
      <c r="E59" s="107"/>
    </row>
    <row r="60" spans="1:5" s="53" customFormat="1" ht="12" customHeight="1" thickBot="1">
      <c r="A60" s="25" t="s">
        <v>13</v>
      </c>
      <c r="B60" s="111" t="s">
        <v>208</v>
      </c>
      <c r="C60" s="168">
        <f>SUM(C61:C63)</f>
        <v>0</v>
      </c>
      <c r="D60" s="254">
        <f>SUM(D61:D63)</f>
        <v>523800</v>
      </c>
      <c r="E60" s="104">
        <f>SUM(E61:E63)</f>
        <v>1110200</v>
      </c>
    </row>
    <row r="61" spans="1:5" s="53" customFormat="1" ht="12" customHeight="1">
      <c r="A61" s="198" t="s">
        <v>120</v>
      </c>
      <c r="B61" s="181" t="s">
        <v>210</v>
      </c>
      <c r="C61" s="172"/>
      <c r="D61" s="288"/>
      <c r="E61" s="108"/>
    </row>
    <row r="62" spans="1:5" s="53" customFormat="1" ht="12" customHeight="1">
      <c r="A62" s="199" t="s">
        <v>121</v>
      </c>
      <c r="B62" s="182" t="s">
        <v>330</v>
      </c>
      <c r="C62" s="172"/>
      <c r="D62" s="288"/>
      <c r="E62" s="108"/>
    </row>
    <row r="63" spans="1:5" s="53" customFormat="1" ht="12" customHeight="1">
      <c r="A63" s="199" t="s">
        <v>144</v>
      </c>
      <c r="B63" s="182" t="s">
        <v>211</v>
      </c>
      <c r="C63" s="172"/>
      <c r="D63" s="288">
        <v>523800</v>
      </c>
      <c r="E63" s="108">
        <v>1110200</v>
      </c>
    </row>
    <row r="64" spans="1:5" s="53" customFormat="1" ht="12" customHeight="1" thickBot="1">
      <c r="A64" s="200" t="s">
        <v>209</v>
      </c>
      <c r="B64" s="183" t="s">
        <v>212</v>
      </c>
      <c r="C64" s="172"/>
      <c r="D64" s="288"/>
      <c r="E64" s="108"/>
    </row>
    <row r="65" spans="1:5" s="53" customFormat="1" ht="12" customHeight="1" thickBot="1">
      <c r="A65" s="25" t="s">
        <v>14</v>
      </c>
      <c r="B65" s="19" t="s">
        <v>213</v>
      </c>
      <c r="C65" s="174">
        <f>+C8+C15+C22+C29+C37+C49+C55+C60</f>
        <v>553322794</v>
      </c>
      <c r="D65" s="258">
        <f>+D8+D15+D22+D29+D37+D49+D55+D60</f>
        <v>732050883</v>
      </c>
      <c r="E65" s="210">
        <f>+E8+E15+E22+E29+E37+E49+E55+E60</f>
        <v>775989956</v>
      </c>
    </row>
    <row r="66" spans="1:5" s="53" customFormat="1" ht="12" customHeight="1" thickBot="1">
      <c r="A66" s="201" t="s">
        <v>298</v>
      </c>
      <c r="B66" s="111" t="s">
        <v>215</v>
      </c>
      <c r="C66" s="168">
        <f>SUM(C67:C69)</f>
        <v>0</v>
      </c>
      <c r="D66" s="254">
        <f>SUM(D67:D69)</f>
        <v>0</v>
      </c>
      <c r="E66" s="104">
        <f>SUM(E67:E69)</f>
        <v>0</v>
      </c>
    </row>
    <row r="67" spans="1:5" s="53" customFormat="1" ht="12" customHeight="1">
      <c r="A67" s="198" t="s">
        <v>243</v>
      </c>
      <c r="B67" s="181" t="s">
        <v>216</v>
      </c>
      <c r="C67" s="172"/>
      <c r="D67" s="288"/>
      <c r="E67" s="108"/>
    </row>
    <row r="68" spans="1:5" s="53" customFormat="1" ht="12" customHeight="1">
      <c r="A68" s="199" t="s">
        <v>252</v>
      </c>
      <c r="B68" s="182" t="s">
        <v>217</v>
      </c>
      <c r="C68" s="172"/>
      <c r="D68" s="288"/>
      <c r="E68" s="108"/>
    </row>
    <row r="69" spans="1:5" s="53" customFormat="1" ht="12" customHeight="1" thickBot="1">
      <c r="A69" s="208" t="s">
        <v>253</v>
      </c>
      <c r="B69" s="322" t="s">
        <v>362</v>
      </c>
      <c r="C69" s="323"/>
      <c r="D69" s="291"/>
      <c r="E69" s="324"/>
    </row>
    <row r="70" spans="1:5" s="53" customFormat="1" ht="12" customHeight="1" thickBot="1">
      <c r="A70" s="201" t="s">
        <v>219</v>
      </c>
      <c r="B70" s="111" t="s">
        <v>220</v>
      </c>
      <c r="C70" s="168">
        <f>SUM(C71:C74)</f>
        <v>0</v>
      </c>
      <c r="D70" s="168">
        <f>SUM(D71:D74)</f>
        <v>0</v>
      </c>
      <c r="E70" s="104">
        <f>SUM(E71:E74)</f>
        <v>0</v>
      </c>
    </row>
    <row r="71" spans="1:5" s="53" customFormat="1" ht="12" customHeight="1">
      <c r="A71" s="198" t="s">
        <v>98</v>
      </c>
      <c r="B71" s="309" t="s">
        <v>221</v>
      </c>
      <c r="C71" s="172"/>
      <c r="D71" s="172"/>
      <c r="E71" s="108"/>
    </row>
    <row r="72" spans="1:5" s="53" customFormat="1" ht="12" customHeight="1">
      <c r="A72" s="199" t="s">
        <v>99</v>
      </c>
      <c r="B72" s="309" t="s">
        <v>490</v>
      </c>
      <c r="C72" s="172"/>
      <c r="D72" s="172"/>
      <c r="E72" s="108"/>
    </row>
    <row r="73" spans="1:5" s="53" customFormat="1" ht="12" customHeight="1">
      <c r="A73" s="199" t="s">
        <v>244</v>
      </c>
      <c r="B73" s="309" t="s">
        <v>222</v>
      </c>
      <c r="C73" s="172"/>
      <c r="D73" s="172"/>
      <c r="E73" s="108"/>
    </row>
    <row r="74" spans="1:5" s="53" customFormat="1" ht="12" customHeight="1" thickBot="1">
      <c r="A74" s="200" t="s">
        <v>245</v>
      </c>
      <c r="B74" s="310" t="s">
        <v>491</v>
      </c>
      <c r="C74" s="172"/>
      <c r="D74" s="172"/>
      <c r="E74" s="108"/>
    </row>
    <row r="75" spans="1:5" s="53" customFormat="1" ht="12" customHeight="1" thickBot="1">
      <c r="A75" s="201" t="s">
        <v>223</v>
      </c>
      <c r="B75" s="111" t="s">
        <v>224</v>
      </c>
      <c r="C75" s="168">
        <f>SUM(C76:C77)</f>
        <v>0</v>
      </c>
      <c r="D75" s="168">
        <f>SUM(D76:D77)</f>
        <v>91574849</v>
      </c>
      <c r="E75" s="104">
        <f>SUM(E76:E77)</f>
        <v>386269925</v>
      </c>
    </row>
    <row r="76" spans="1:5" s="53" customFormat="1" ht="12" customHeight="1">
      <c r="A76" s="198" t="s">
        <v>246</v>
      </c>
      <c r="B76" s="181" t="s">
        <v>225</v>
      </c>
      <c r="C76" s="172"/>
      <c r="D76" s="172">
        <v>91574849</v>
      </c>
      <c r="E76" s="108">
        <v>386269925</v>
      </c>
    </row>
    <row r="77" spans="1:5" s="53" customFormat="1" ht="12" customHeight="1" thickBot="1">
      <c r="A77" s="200" t="s">
        <v>247</v>
      </c>
      <c r="B77" s="183" t="s">
        <v>226</v>
      </c>
      <c r="C77" s="172"/>
      <c r="D77" s="172"/>
      <c r="E77" s="108"/>
    </row>
    <row r="78" spans="1:5" s="52" customFormat="1" ht="12" customHeight="1" thickBot="1">
      <c r="A78" s="201" t="s">
        <v>227</v>
      </c>
      <c r="B78" s="111" t="s">
        <v>228</v>
      </c>
      <c r="C78" s="168">
        <f>SUM(C79:C81)</f>
        <v>190268579</v>
      </c>
      <c r="D78" s="168">
        <f>SUM(D79:D81)</f>
        <v>191032088</v>
      </c>
      <c r="E78" s="104">
        <f>SUM(E79:E81)</f>
        <v>189811807</v>
      </c>
    </row>
    <row r="79" spans="1:5" s="53" customFormat="1" ht="12" customHeight="1">
      <c r="A79" s="198" t="s">
        <v>248</v>
      </c>
      <c r="B79" s="181" t="s">
        <v>229</v>
      </c>
      <c r="C79" s="172"/>
      <c r="D79" s="172">
        <v>763509</v>
      </c>
      <c r="E79" s="108">
        <v>14081659</v>
      </c>
    </row>
    <row r="80" spans="1:5" s="53" customFormat="1" ht="12" customHeight="1">
      <c r="A80" s="199" t="s">
        <v>249</v>
      </c>
      <c r="B80" s="182" t="s">
        <v>230</v>
      </c>
      <c r="C80" s="172"/>
      <c r="D80" s="172"/>
      <c r="E80" s="108"/>
    </row>
    <row r="81" spans="1:5" s="53" customFormat="1" ht="12" customHeight="1" thickBot="1">
      <c r="A81" s="200" t="s">
        <v>250</v>
      </c>
      <c r="B81" s="183" t="s">
        <v>873</v>
      </c>
      <c r="C81" s="172">
        <v>190268579</v>
      </c>
      <c r="D81" s="172">
        <v>190268579</v>
      </c>
      <c r="E81" s="108">
        <v>175730148</v>
      </c>
    </row>
    <row r="82" spans="1:5" s="53" customFormat="1" ht="12" customHeight="1" thickBot="1">
      <c r="A82" s="201" t="s">
        <v>231</v>
      </c>
      <c r="B82" s="111" t="s">
        <v>251</v>
      </c>
      <c r="C82" s="168">
        <f>SUM(C83:C86)</f>
        <v>0</v>
      </c>
      <c r="D82" s="168">
        <f>SUM(D83:D86)</f>
        <v>0</v>
      </c>
      <c r="E82" s="104">
        <f>SUM(E83:E86)</f>
        <v>0</v>
      </c>
    </row>
    <row r="83" spans="1:5" s="53" customFormat="1" ht="12" customHeight="1">
      <c r="A83" s="202" t="s">
        <v>232</v>
      </c>
      <c r="B83" s="181" t="s">
        <v>233</v>
      </c>
      <c r="C83" s="172"/>
      <c r="D83" s="172"/>
      <c r="E83" s="108"/>
    </row>
    <row r="84" spans="1:5" s="53" customFormat="1" ht="12" customHeight="1">
      <c r="A84" s="203" t="s">
        <v>234</v>
      </c>
      <c r="B84" s="182" t="s">
        <v>235</v>
      </c>
      <c r="C84" s="172"/>
      <c r="D84" s="172"/>
      <c r="E84" s="108"/>
    </row>
    <row r="85" spans="1:5" s="53" customFormat="1" ht="12" customHeight="1">
      <c r="A85" s="203" t="s">
        <v>236</v>
      </c>
      <c r="B85" s="182" t="s">
        <v>237</v>
      </c>
      <c r="C85" s="172"/>
      <c r="D85" s="172"/>
      <c r="E85" s="108"/>
    </row>
    <row r="86" spans="1:5" s="52" customFormat="1" ht="12" customHeight="1" thickBot="1">
      <c r="A86" s="204" t="s">
        <v>238</v>
      </c>
      <c r="B86" s="183" t="s">
        <v>239</v>
      </c>
      <c r="C86" s="172"/>
      <c r="D86" s="172"/>
      <c r="E86" s="108"/>
    </row>
    <row r="87" spans="1:5" s="52" customFormat="1" ht="12" customHeight="1" thickBot="1">
      <c r="A87" s="201" t="s">
        <v>240</v>
      </c>
      <c r="B87" s="111" t="s">
        <v>376</v>
      </c>
      <c r="C87" s="224"/>
      <c r="D87" s="224"/>
      <c r="E87" s="225"/>
    </row>
    <row r="88" spans="1:5" s="52" customFormat="1" ht="12" customHeight="1" thickBot="1">
      <c r="A88" s="201" t="s">
        <v>394</v>
      </c>
      <c r="B88" s="111" t="s">
        <v>241</v>
      </c>
      <c r="C88" s="224"/>
      <c r="D88" s="224"/>
      <c r="E88" s="225"/>
    </row>
    <row r="89" spans="1:5" s="52" customFormat="1" ht="12" customHeight="1" thickBot="1">
      <c r="A89" s="201" t="s">
        <v>395</v>
      </c>
      <c r="B89" s="188" t="s">
        <v>379</v>
      </c>
      <c r="C89" s="174">
        <f>+C66+C70+C75+C78+C82+C88+C87</f>
        <v>190268579</v>
      </c>
      <c r="D89" s="174">
        <f>+D66+D70+D75+D78+D82+D88+D87</f>
        <v>282606937</v>
      </c>
      <c r="E89" s="210">
        <f>+E66+E70+E75+E78+E82+E88+E87</f>
        <v>576081732</v>
      </c>
    </row>
    <row r="90" spans="1:5" s="52" customFormat="1" ht="12" customHeight="1" thickBot="1">
      <c r="A90" s="205" t="s">
        <v>396</v>
      </c>
      <c r="B90" s="189" t="s">
        <v>397</v>
      </c>
      <c r="C90" s="174">
        <f>+C65+C89</f>
        <v>743591373</v>
      </c>
      <c r="D90" s="174">
        <f>+D65+D89</f>
        <v>1014657820</v>
      </c>
      <c r="E90" s="210">
        <f>+E65+E89</f>
        <v>1352071688</v>
      </c>
    </row>
    <row r="91" spans="1:3" s="53" customFormat="1" ht="15" customHeight="1" thickBot="1">
      <c r="A91" s="88"/>
      <c r="B91" s="89"/>
      <c r="C91" s="150"/>
    </row>
    <row r="92" spans="1:5" s="46" customFormat="1" ht="16.5" customHeight="1" thickBot="1">
      <c r="A92" s="856" t="s">
        <v>40</v>
      </c>
      <c r="B92" s="857"/>
      <c r="C92" s="857"/>
      <c r="D92" s="857"/>
      <c r="E92" s="858"/>
    </row>
    <row r="93" spans="1:5" s="54" customFormat="1" ht="12" customHeight="1" thickBot="1">
      <c r="A93" s="175" t="s">
        <v>6</v>
      </c>
      <c r="B93" s="24" t="s">
        <v>401</v>
      </c>
      <c r="C93" s="167">
        <f>+C94+C95+C96+C97+C98+C111</f>
        <v>533311638</v>
      </c>
      <c r="D93" s="167">
        <f>+D94+D95+D96+D97+D98+D111</f>
        <v>660390065</v>
      </c>
      <c r="E93" s="237">
        <f>+E94+E95+E96+E97+E98+E111</f>
        <v>599815348</v>
      </c>
    </row>
    <row r="94" spans="1:5" ht="12" customHeight="1">
      <c r="A94" s="206" t="s">
        <v>63</v>
      </c>
      <c r="B94" s="8" t="s">
        <v>35</v>
      </c>
      <c r="C94" s="244">
        <v>244540205</v>
      </c>
      <c r="D94" s="244">
        <v>285631186</v>
      </c>
      <c r="E94" s="238">
        <v>281444334</v>
      </c>
    </row>
    <row r="95" spans="1:5" ht="12" customHeight="1">
      <c r="A95" s="199" t="s">
        <v>64</v>
      </c>
      <c r="B95" s="6" t="s">
        <v>122</v>
      </c>
      <c r="C95" s="169">
        <v>40619168</v>
      </c>
      <c r="D95" s="169">
        <v>48167685</v>
      </c>
      <c r="E95" s="105">
        <v>45846571</v>
      </c>
    </row>
    <row r="96" spans="1:5" ht="12" customHeight="1">
      <c r="A96" s="199" t="s">
        <v>65</v>
      </c>
      <c r="B96" s="6" t="s">
        <v>90</v>
      </c>
      <c r="C96" s="171">
        <v>187382749</v>
      </c>
      <c r="D96" s="169">
        <v>259234721</v>
      </c>
      <c r="E96" s="107">
        <v>215638080</v>
      </c>
    </row>
    <row r="97" spans="1:5" ht="12" customHeight="1">
      <c r="A97" s="199" t="s">
        <v>66</v>
      </c>
      <c r="B97" s="9" t="s">
        <v>123</v>
      </c>
      <c r="C97" s="171">
        <v>35847000</v>
      </c>
      <c r="D97" s="257">
        <v>39174500</v>
      </c>
      <c r="E97" s="107">
        <v>30394699</v>
      </c>
    </row>
    <row r="98" spans="1:5" ht="12" customHeight="1">
      <c r="A98" s="199" t="s">
        <v>75</v>
      </c>
      <c r="B98" s="17" t="s">
        <v>124</v>
      </c>
      <c r="C98" s="171">
        <f>SUM(C99:C111)</f>
        <v>24922516</v>
      </c>
      <c r="D98" s="171">
        <f>SUM(D99:D111)</f>
        <v>28181973</v>
      </c>
      <c r="E98" s="171">
        <f>SUM(E99:E111)</f>
        <v>26491664</v>
      </c>
    </row>
    <row r="99" spans="1:5" ht="12" customHeight="1">
      <c r="A99" s="199" t="s">
        <v>67</v>
      </c>
      <c r="B99" s="6" t="s">
        <v>398</v>
      </c>
      <c r="C99" s="171"/>
      <c r="D99" s="257">
        <v>307888</v>
      </c>
      <c r="E99" s="107">
        <v>307888</v>
      </c>
    </row>
    <row r="100" spans="1:5" ht="12" customHeight="1">
      <c r="A100" s="199" t="s">
        <v>68</v>
      </c>
      <c r="B100" s="64" t="s">
        <v>342</v>
      </c>
      <c r="C100" s="171"/>
      <c r="D100" s="257"/>
      <c r="E100" s="107"/>
    </row>
    <row r="101" spans="1:5" ht="12" customHeight="1">
      <c r="A101" s="199" t="s">
        <v>76</v>
      </c>
      <c r="B101" s="64" t="s">
        <v>341</v>
      </c>
      <c r="C101" s="171"/>
      <c r="D101" s="257"/>
      <c r="E101" s="107"/>
    </row>
    <row r="102" spans="1:5" ht="12" customHeight="1">
      <c r="A102" s="199" t="s">
        <v>77</v>
      </c>
      <c r="B102" s="64" t="s">
        <v>257</v>
      </c>
      <c r="C102" s="171"/>
      <c r="D102" s="257"/>
      <c r="E102" s="107"/>
    </row>
    <row r="103" spans="1:5" ht="12" customHeight="1">
      <c r="A103" s="199" t="s">
        <v>78</v>
      </c>
      <c r="B103" s="65" t="s">
        <v>258</v>
      </c>
      <c r="C103" s="171"/>
      <c r="D103" s="257"/>
      <c r="E103" s="107"/>
    </row>
    <row r="104" spans="1:5" ht="12" customHeight="1">
      <c r="A104" s="199" t="s">
        <v>79</v>
      </c>
      <c r="B104" s="65" t="s">
        <v>259</v>
      </c>
      <c r="C104" s="171"/>
      <c r="D104" s="257"/>
      <c r="E104" s="107"/>
    </row>
    <row r="105" spans="1:5" ht="12" customHeight="1">
      <c r="A105" s="199" t="s">
        <v>81</v>
      </c>
      <c r="B105" s="64" t="s">
        <v>260</v>
      </c>
      <c r="C105" s="171">
        <v>4190309</v>
      </c>
      <c r="D105" s="257">
        <v>4190309</v>
      </c>
      <c r="E105" s="107">
        <v>2500000</v>
      </c>
    </row>
    <row r="106" spans="1:5" ht="12" customHeight="1">
      <c r="A106" s="199" t="s">
        <v>125</v>
      </c>
      <c r="B106" s="64" t="s">
        <v>261</v>
      </c>
      <c r="C106" s="171"/>
      <c r="D106" s="257"/>
      <c r="E106" s="107"/>
    </row>
    <row r="107" spans="1:5" ht="12" customHeight="1">
      <c r="A107" s="199" t="s">
        <v>255</v>
      </c>
      <c r="B107" s="65" t="s">
        <v>262</v>
      </c>
      <c r="C107" s="169"/>
      <c r="D107" s="257">
        <v>2445000</v>
      </c>
      <c r="E107" s="107">
        <v>2445000</v>
      </c>
    </row>
    <row r="108" spans="1:5" ht="12" customHeight="1">
      <c r="A108" s="207" t="s">
        <v>256</v>
      </c>
      <c r="B108" s="66" t="s">
        <v>263</v>
      </c>
      <c r="C108" s="171"/>
      <c r="D108" s="257"/>
      <c r="E108" s="107"/>
    </row>
    <row r="109" spans="1:5" ht="12" customHeight="1">
      <c r="A109" s="199" t="s">
        <v>339</v>
      </c>
      <c r="B109" s="66" t="s">
        <v>264</v>
      </c>
      <c r="C109" s="171"/>
      <c r="D109" s="257"/>
      <c r="E109" s="107"/>
    </row>
    <row r="110" spans="1:5" ht="12" customHeight="1">
      <c r="A110" s="199" t="s">
        <v>340</v>
      </c>
      <c r="B110" s="65" t="s">
        <v>265</v>
      </c>
      <c r="C110" s="169">
        <v>20732207</v>
      </c>
      <c r="D110" s="256">
        <v>21238776</v>
      </c>
      <c r="E110" s="105">
        <v>21238776</v>
      </c>
    </row>
    <row r="111" spans="1:5" ht="12" customHeight="1">
      <c r="A111" s="199" t="s">
        <v>344</v>
      </c>
      <c r="B111" s="9" t="s">
        <v>36</v>
      </c>
      <c r="C111" s="169"/>
      <c r="D111" s="256"/>
      <c r="E111" s="105"/>
    </row>
    <row r="112" spans="1:5" ht="12" customHeight="1">
      <c r="A112" s="200" t="s">
        <v>345</v>
      </c>
      <c r="B112" s="6" t="s">
        <v>399</v>
      </c>
      <c r="C112" s="171"/>
      <c r="D112" s="257"/>
      <c r="E112" s="107"/>
    </row>
    <row r="113" spans="1:5" ht="12" customHeight="1" thickBot="1">
      <c r="A113" s="208" t="s">
        <v>346</v>
      </c>
      <c r="B113" s="67" t="s">
        <v>400</v>
      </c>
      <c r="C113" s="245"/>
      <c r="D113" s="294"/>
      <c r="E113" s="239"/>
    </row>
    <row r="114" spans="1:5" ht="12" customHeight="1" thickBot="1">
      <c r="A114" s="25" t="s">
        <v>7</v>
      </c>
      <c r="B114" s="23" t="s">
        <v>266</v>
      </c>
      <c r="C114" s="168">
        <f>+C115+C117+C119</f>
        <v>20011156</v>
      </c>
      <c r="D114" s="254">
        <f>+D115+D117+D119</f>
        <v>150700619</v>
      </c>
      <c r="E114" s="104">
        <f>+E115+E117+E119</f>
        <v>140244473</v>
      </c>
    </row>
    <row r="115" spans="1:5" ht="12" customHeight="1">
      <c r="A115" s="198" t="s">
        <v>69</v>
      </c>
      <c r="B115" s="6" t="s">
        <v>143</v>
      </c>
      <c r="C115" s="170">
        <v>9131377</v>
      </c>
      <c r="D115" s="255">
        <v>139820840</v>
      </c>
      <c r="E115" s="106">
        <v>137534852</v>
      </c>
    </row>
    <row r="116" spans="1:5" ht="12" customHeight="1">
      <c r="A116" s="198" t="s">
        <v>70</v>
      </c>
      <c r="B116" s="10" t="s">
        <v>270</v>
      </c>
      <c r="C116" s="170"/>
      <c r="D116" s="255">
        <v>56617728</v>
      </c>
      <c r="E116" s="106">
        <v>56617728</v>
      </c>
    </row>
    <row r="117" spans="1:5" ht="12" customHeight="1">
      <c r="A117" s="198" t="s">
        <v>71</v>
      </c>
      <c r="B117" s="10" t="s">
        <v>126</v>
      </c>
      <c r="C117" s="169">
        <v>10879779</v>
      </c>
      <c r="D117" s="256">
        <v>10879779</v>
      </c>
      <c r="E117" s="105">
        <v>2709621</v>
      </c>
    </row>
    <row r="118" spans="1:5" ht="12" customHeight="1">
      <c r="A118" s="198" t="s">
        <v>72</v>
      </c>
      <c r="B118" s="10" t="s">
        <v>271</v>
      </c>
      <c r="C118" s="169"/>
      <c r="D118" s="256"/>
      <c r="E118" s="105"/>
    </row>
    <row r="119" spans="1:5" ht="12" customHeight="1">
      <c r="A119" s="198" t="s">
        <v>73</v>
      </c>
      <c r="B119" s="113" t="s">
        <v>145</v>
      </c>
      <c r="C119" s="169"/>
      <c r="D119" s="256"/>
      <c r="E119" s="105"/>
    </row>
    <row r="120" spans="1:5" ht="12" customHeight="1">
      <c r="A120" s="198" t="s">
        <v>80</v>
      </c>
      <c r="B120" s="112" t="s">
        <v>331</v>
      </c>
      <c r="C120" s="169"/>
      <c r="D120" s="256"/>
      <c r="E120" s="105"/>
    </row>
    <row r="121" spans="1:5" ht="12" customHeight="1">
      <c r="A121" s="198" t="s">
        <v>82</v>
      </c>
      <c r="B121" s="177" t="s">
        <v>276</v>
      </c>
      <c r="C121" s="169"/>
      <c r="D121" s="256"/>
      <c r="E121" s="105"/>
    </row>
    <row r="122" spans="1:5" ht="12" customHeight="1">
      <c r="A122" s="198" t="s">
        <v>127</v>
      </c>
      <c r="B122" s="65" t="s">
        <v>259</v>
      </c>
      <c r="C122" s="169"/>
      <c r="D122" s="256"/>
      <c r="E122" s="105"/>
    </row>
    <row r="123" spans="1:5" ht="12" customHeight="1">
      <c r="A123" s="198" t="s">
        <v>128</v>
      </c>
      <c r="B123" s="65" t="s">
        <v>275</v>
      </c>
      <c r="C123" s="169"/>
      <c r="D123" s="256"/>
      <c r="E123" s="105"/>
    </row>
    <row r="124" spans="1:5" ht="12" customHeight="1">
      <c r="A124" s="198" t="s">
        <v>129</v>
      </c>
      <c r="B124" s="65" t="s">
        <v>274</v>
      </c>
      <c r="C124" s="169"/>
      <c r="D124" s="256"/>
      <c r="E124" s="105"/>
    </row>
    <row r="125" spans="1:5" ht="12" customHeight="1">
      <c r="A125" s="198" t="s">
        <v>267</v>
      </c>
      <c r="B125" s="65" t="s">
        <v>262</v>
      </c>
      <c r="C125" s="169"/>
      <c r="D125" s="256"/>
      <c r="E125" s="105"/>
    </row>
    <row r="126" spans="1:5" ht="12" customHeight="1">
      <c r="A126" s="198" t="s">
        <v>268</v>
      </c>
      <c r="B126" s="65" t="s">
        <v>273</v>
      </c>
      <c r="C126" s="169"/>
      <c r="D126" s="256"/>
      <c r="E126" s="105"/>
    </row>
    <row r="127" spans="1:5" ht="12" customHeight="1" thickBot="1">
      <c r="A127" s="207" t="s">
        <v>269</v>
      </c>
      <c r="B127" s="65" t="s">
        <v>272</v>
      </c>
      <c r="C127" s="171"/>
      <c r="D127" s="257"/>
      <c r="E127" s="107"/>
    </row>
    <row r="128" spans="1:5" ht="12" customHeight="1" thickBot="1">
      <c r="A128" s="25" t="s">
        <v>8</v>
      </c>
      <c r="B128" s="58" t="s">
        <v>349</v>
      </c>
      <c r="C128" s="168">
        <f>+C93+C114</f>
        <v>553322794</v>
      </c>
      <c r="D128" s="254">
        <f>+D93+D114</f>
        <v>811090684</v>
      </c>
      <c r="E128" s="104">
        <f>+E93+E114</f>
        <v>740059821</v>
      </c>
    </row>
    <row r="129" spans="1:5" ht="12" customHeight="1" thickBot="1">
      <c r="A129" s="25" t="s">
        <v>9</v>
      </c>
      <c r="B129" s="58" t="s">
        <v>350</v>
      </c>
      <c r="C129" s="168">
        <f>+C130+C131+C132</f>
        <v>0</v>
      </c>
      <c r="D129" s="254">
        <f>+D130+D131+D132</f>
        <v>0</v>
      </c>
      <c r="E129" s="104">
        <f>+E130+E131+E132</f>
        <v>0</v>
      </c>
    </row>
    <row r="130" spans="1:5" s="54" customFormat="1" ht="12" customHeight="1">
      <c r="A130" s="198" t="s">
        <v>176</v>
      </c>
      <c r="B130" s="7" t="s">
        <v>404</v>
      </c>
      <c r="C130" s="169"/>
      <c r="D130" s="256"/>
      <c r="E130" s="105"/>
    </row>
    <row r="131" spans="1:5" ht="12" customHeight="1">
      <c r="A131" s="198" t="s">
        <v>177</v>
      </c>
      <c r="B131" s="7" t="s">
        <v>358</v>
      </c>
      <c r="C131" s="169"/>
      <c r="D131" s="256"/>
      <c r="E131" s="105"/>
    </row>
    <row r="132" spans="1:5" ht="12" customHeight="1" thickBot="1">
      <c r="A132" s="207" t="s">
        <v>178</v>
      </c>
      <c r="B132" s="5" t="s">
        <v>403</v>
      </c>
      <c r="C132" s="169"/>
      <c r="D132" s="256"/>
      <c r="E132" s="105"/>
    </row>
    <row r="133" spans="1:5" ht="12" customHeight="1" thickBot="1">
      <c r="A133" s="25" t="s">
        <v>10</v>
      </c>
      <c r="B133" s="58" t="s">
        <v>351</v>
      </c>
      <c r="C133" s="168">
        <f>+C134+C135+C136+C137+C138+C139</f>
        <v>0</v>
      </c>
      <c r="D133" s="254">
        <f>+D134+D135+D136+D137+D138+D139</f>
        <v>0</v>
      </c>
      <c r="E133" s="104">
        <f>+E134+E135+E136+E137+E138+E139</f>
        <v>0</v>
      </c>
    </row>
    <row r="134" spans="1:5" ht="12" customHeight="1">
      <c r="A134" s="198" t="s">
        <v>56</v>
      </c>
      <c r="B134" s="7" t="s">
        <v>360</v>
      </c>
      <c r="C134" s="169"/>
      <c r="D134" s="256"/>
      <c r="E134" s="105"/>
    </row>
    <row r="135" spans="1:5" ht="12" customHeight="1">
      <c r="A135" s="198" t="s">
        <v>57</v>
      </c>
      <c r="B135" s="7" t="s">
        <v>352</v>
      </c>
      <c r="C135" s="169"/>
      <c r="D135" s="256"/>
      <c r="E135" s="105"/>
    </row>
    <row r="136" spans="1:5" ht="12" customHeight="1">
      <c r="A136" s="198" t="s">
        <v>58</v>
      </c>
      <c r="B136" s="7" t="s">
        <v>353</v>
      </c>
      <c r="C136" s="169"/>
      <c r="D136" s="256"/>
      <c r="E136" s="105"/>
    </row>
    <row r="137" spans="1:5" ht="12" customHeight="1">
      <c r="A137" s="198" t="s">
        <v>114</v>
      </c>
      <c r="B137" s="7" t="s">
        <v>402</v>
      </c>
      <c r="C137" s="169"/>
      <c r="D137" s="256"/>
      <c r="E137" s="105"/>
    </row>
    <row r="138" spans="1:5" ht="12" customHeight="1">
      <c r="A138" s="198" t="s">
        <v>115</v>
      </c>
      <c r="B138" s="7" t="s">
        <v>355</v>
      </c>
      <c r="C138" s="169"/>
      <c r="D138" s="256"/>
      <c r="E138" s="105"/>
    </row>
    <row r="139" spans="1:5" s="54" customFormat="1" ht="12" customHeight="1" thickBot="1">
      <c r="A139" s="207" t="s">
        <v>116</v>
      </c>
      <c r="B139" s="5" t="s">
        <v>356</v>
      </c>
      <c r="C139" s="169"/>
      <c r="D139" s="256"/>
      <c r="E139" s="105"/>
    </row>
    <row r="140" spans="1:11" ht="12" customHeight="1" thickBot="1">
      <c r="A140" s="25" t="s">
        <v>11</v>
      </c>
      <c r="B140" s="58" t="s">
        <v>417</v>
      </c>
      <c r="C140" s="174">
        <f>+C141+C142+C144+C145+C143</f>
        <v>190268579</v>
      </c>
      <c r="D140" s="258">
        <f>+D141+D142+D144+D145+D143</f>
        <v>203567136</v>
      </c>
      <c r="E140" s="210">
        <f>+E141+E142+E144+E145+E143</f>
        <v>188880331</v>
      </c>
      <c r="K140" s="97"/>
    </row>
    <row r="141" spans="1:5" ht="12.75">
      <c r="A141" s="198" t="s">
        <v>59</v>
      </c>
      <c r="B141" s="7" t="s">
        <v>277</v>
      </c>
      <c r="C141" s="169"/>
      <c r="D141" s="256"/>
      <c r="E141" s="105"/>
    </row>
    <row r="142" spans="1:5" ht="12" customHeight="1">
      <c r="A142" s="198" t="s">
        <v>60</v>
      </c>
      <c r="B142" s="7" t="s">
        <v>278</v>
      </c>
      <c r="C142" s="169"/>
      <c r="D142" s="256">
        <v>13298557</v>
      </c>
      <c r="E142" s="105">
        <v>13150183</v>
      </c>
    </row>
    <row r="143" spans="1:5" ht="12" customHeight="1">
      <c r="A143" s="198" t="s">
        <v>194</v>
      </c>
      <c r="B143" s="7" t="s">
        <v>416</v>
      </c>
      <c r="C143" s="169">
        <v>190268579</v>
      </c>
      <c r="D143" s="256">
        <v>190268579</v>
      </c>
      <c r="E143" s="105">
        <v>175730148</v>
      </c>
    </row>
    <row r="144" spans="1:5" s="54" customFormat="1" ht="12" customHeight="1">
      <c r="A144" s="198" t="s">
        <v>195</v>
      </c>
      <c r="B144" s="7" t="s">
        <v>365</v>
      </c>
      <c r="C144" s="169"/>
      <c r="D144" s="256"/>
      <c r="E144" s="105"/>
    </row>
    <row r="145" spans="1:5" s="54" customFormat="1" ht="12" customHeight="1" thickBot="1">
      <c r="A145" s="207" t="s">
        <v>196</v>
      </c>
      <c r="B145" s="5" t="s">
        <v>294</v>
      </c>
      <c r="C145" s="169"/>
      <c r="D145" s="256"/>
      <c r="E145" s="105"/>
    </row>
    <row r="146" spans="1:5" s="54" customFormat="1" ht="12" customHeight="1" thickBot="1">
      <c r="A146" s="25" t="s">
        <v>12</v>
      </c>
      <c r="B146" s="58" t="s">
        <v>366</v>
      </c>
      <c r="C146" s="247">
        <f>+C147+C148+C149+C150+C151</f>
        <v>0</v>
      </c>
      <c r="D146" s="259">
        <f>+D147+D148+D149+D150+D151</f>
        <v>0</v>
      </c>
      <c r="E146" s="241">
        <f>+E147+E148+E149+E150+E151</f>
        <v>0</v>
      </c>
    </row>
    <row r="147" spans="1:5" s="54" customFormat="1" ht="12" customHeight="1">
      <c r="A147" s="198" t="s">
        <v>61</v>
      </c>
      <c r="B147" s="7" t="s">
        <v>361</v>
      </c>
      <c r="C147" s="169"/>
      <c r="D147" s="256"/>
      <c r="E147" s="105"/>
    </row>
    <row r="148" spans="1:5" s="54" customFormat="1" ht="12" customHeight="1">
      <c r="A148" s="198" t="s">
        <v>62</v>
      </c>
      <c r="B148" s="7" t="s">
        <v>368</v>
      </c>
      <c r="C148" s="169"/>
      <c r="D148" s="256"/>
      <c r="E148" s="105"/>
    </row>
    <row r="149" spans="1:5" s="54" customFormat="1" ht="12" customHeight="1">
      <c r="A149" s="198" t="s">
        <v>206</v>
      </c>
      <c r="B149" s="7" t="s">
        <v>363</v>
      </c>
      <c r="C149" s="169"/>
      <c r="D149" s="256"/>
      <c r="E149" s="105"/>
    </row>
    <row r="150" spans="1:5" s="54" customFormat="1" ht="12" customHeight="1">
      <c r="A150" s="198" t="s">
        <v>207</v>
      </c>
      <c r="B150" s="7" t="s">
        <v>405</v>
      </c>
      <c r="C150" s="169"/>
      <c r="D150" s="256"/>
      <c r="E150" s="105"/>
    </row>
    <row r="151" spans="1:5" ht="12.75" customHeight="1" thickBot="1">
      <c r="A151" s="207" t="s">
        <v>367</v>
      </c>
      <c r="B151" s="5" t="s">
        <v>370</v>
      </c>
      <c r="C151" s="171"/>
      <c r="D151" s="257"/>
      <c r="E151" s="107"/>
    </row>
    <row r="152" spans="1:5" ht="12.75" customHeight="1" thickBot="1">
      <c r="A152" s="236" t="s">
        <v>13</v>
      </c>
      <c r="B152" s="58" t="s">
        <v>371</v>
      </c>
      <c r="C152" s="247"/>
      <c r="D152" s="259"/>
      <c r="E152" s="241"/>
    </row>
    <row r="153" spans="1:5" ht="12.75" customHeight="1" thickBot="1">
      <c r="A153" s="236" t="s">
        <v>14</v>
      </c>
      <c r="B153" s="58" t="s">
        <v>372</v>
      </c>
      <c r="C153" s="247"/>
      <c r="D153" s="259"/>
      <c r="E153" s="241"/>
    </row>
    <row r="154" spans="1:5" ht="12" customHeight="1" thickBot="1">
      <c r="A154" s="25" t="s">
        <v>15</v>
      </c>
      <c r="B154" s="58" t="s">
        <v>374</v>
      </c>
      <c r="C154" s="249">
        <f>+C129+C133+C140+C146+C152+C153</f>
        <v>190268579</v>
      </c>
      <c r="D154" s="261">
        <f>+D129+D133+D140+D146+D152+D153</f>
        <v>203567136</v>
      </c>
      <c r="E154" s="243">
        <f>+E129+E133+E140+E146+E152+E153</f>
        <v>188880331</v>
      </c>
    </row>
    <row r="155" spans="1:5" ht="15" customHeight="1" thickBot="1">
      <c r="A155" s="209" t="s">
        <v>16</v>
      </c>
      <c r="B155" s="155" t="s">
        <v>373</v>
      </c>
      <c r="C155" s="249">
        <f>+C128+C154</f>
        <v>743591373</v>
      </c>
      <c r="D155" s="261">
        <f>+D128+D154</f>
        <v>1014657820</v>
      </c>
      <c r="E155" s="243">
        <f>+E128+E154</f>
        <v>928940152</v>
      </c>
    </row>
    <row r="156" spans="1:5" ht="13.5" thickBot="1">
      <c r="A156" s="158"/>
      <c r="B156" s="159"/>
      <c r="C156" s="662">
        <f>C90-C155</f>
        <v>0</v>
      </c>
      <c r="D156" s="662">
        <f>D90-D155</f>
        <v>0</v>
      </c>
      <c r="E156" s="160"/>
    </row>
    <row r="157" spans="1:5" ht="15" customHeight="1" thickBot="1">
      <c r="A157" s="95" t="s">
        <v>485</v>
      </c>
      <c r="B157" s="96"/>
      <c r="C157" s="293">
        <v>145</v>
      </c>
      <c r="D157" s="293">
        <v>145</v>
      </c>
      <c r="E157" s="292">
        <v>155</v>
      </c>
    </row>
    <row r="158" spans="1:5" ht="14.25" customHeight="1" thickBot="1">
      <c r="A158" s="95" t="s">
        <v>486</v>
      </c>
      <c r="B158" s="96"/>
      <c r="C158" s="293">
        <v>95</v>
      </c>
      <c r="D158" s="293">
        <v>95</v>
      </c>
      <c r="E158" s="292">
        <v>85</v>
      </c>
    </row>
  </sheetData>
  <sheetProtection formatCells="0"/>
  <mergeCells count="5">
    <mergeCell ref="A7:E7"/>
    <mergeCell ref="B2:D2"/>
    <mergeCell ref="B3:D3"/>
    <mergeCell ref="A92:E92"/>
    <mergeCell ref="B1:E1"/>
  </mergeCells>
  <printOptions horizontalCentered="1"/>
  <pageMargins left="0.7874015748031497" right="0.7874015748031497" top="0.984251968503937" bottom="0.984251968503937" header="0.7874015748031497" footer="0.7874015748031497"/>
  <pageSetup orientation="portrait" paperSize="9" scale="73" r:id="rId1"/>
  <rowBreaks count="2" manualBreakCount="2">
    <brk id="69" max="255" man="1"/>
    <brk id="90" max="255" man="1"/>
  </rowBreaks>
</worksheet>
</file>

<file path=xl/worksheets/sheet15.xml><?xml version="1.0" encoding="utf-8"?>
<worksheet xmlns="http://schemas.openxmlformats.org/spreadsheetml/2006/main" xmlns:r="http://schemas.openxmlformats.org/officeDocument/2006/relationships">
  <sheetPr>
    <tabColor rgb="FF92D050"/>
  </sheetPr>
  <dimension ref="A1:K158"/>
  <sheetViews>
    <sheetView zoomScale="120" zoomScaleNormal="120" zoomScaleSheetLayoutView="100" workbookViewId="0" topLeftCell="A1">
      <selection activeCell="E158" sqref="E158"/>
    </sheetView>
  </sheetViews>
  <sheetFormatPr defaultColWidth="9.00390625" defaultRowHeight="12.75"/>
  <cols>
    <col min="1" max="1" width="16.125" style="161" customWidth="1"/>
    <col min="2" max="2" width="62.00390625" style="162" customWidth="1"/>
    <col min="3" max="3" width="14.125" style="163" customWidth="1"/>
    <col min="4" max="5" width="14.125" style="2" customWidth="1"/>
    <col min="6" max="16384" width="9.375" style="2" customWidth="1"/>
  </cols>
  <sheetData>
    <row r="1" spans="1:5" s="1" customFormat="1" ht="16.5" customHeight="1" thickBot="1">
      <c r="A1" s="325"/>
      <c r="B1" s="860" t="str">
        <f>CONCATENATE("6.1.1. melléklet ",Z_ALAPADATOK!A7," ",Z_ALAPADATOK!B7," ",Z_ALAPADATOK!C7," ",Z_ALAPADATOK!D7," ",Z_ALAPADATOK!E7," ",Z_ALAPADATOK!F7," ",Z_ALAPADATOK!G7," ",Z_ALAPADATOK!H7)</f>
        <v>6.1.1. melléklet a 4 / 2020. ( VII.17. ) önkormányzati rendelethez</v>
      </c>
      <c r="C1" s="861"/>
      <c r="D1" s="861"/>
      <c r="E1" s="861"/>
    </row>
    <row r="2" spans="1:5" s="50" customFormat="1" ht="21" customHeight="1" thickBot="1">
      <c r="A2" s="334" t="s">
        <v>44</v>
      </c>
      <c r="B2" s="859" t="str">
        <f>CONCATENATE(Z_ALAPADATOK!A3)</f>
        <v>Kállósemjén Nagyközség Önkormányzata</v>
      </c>
      <c r="C2" s="859"/>
      <c r="D2" s="859"/>
      <c r="E2" s="335" t="s">
        <v>38</v>
      </c>
    </row>
    <row r="3" spans="1:5" s="50" customFormat="1" ht="24.75" thickBot="1">
      <c r="A3" s="334" t="s">
        <v>135</v>
      </c>
      <c r="B3" s="859" t="s">
        <v>322</v>
      </c>
      <c r="C3" s="859"/>
      <c r="D3" s="859"/>
      <c r="E3" s="336" t="s">
        <v>42</v>
      </c>
    </row>
    <row r="4" spans="1:5" s="51" customFormat="1" ht="15.75" customHeight="1" thickBot="1">
      <c r="A4" s="328"/>
      <c r="B4" s="328"/>
      <c r="C4" s="329"/>
      <c r="D4" s="330"/>
      <c r="E4" s="329" t="str">
        <f>'Z_6.1.sz.mell'!E4</f>
        <v> Forintban!</v>
      </c>
    </row>
    <row r="5" spans="1:5" ht="24.75" thickBot="1">
      <c r="A5" s="331" t="s">
        <v>136</v>
      </c>
      <c r="B5" s="332" t="s">
        <v>484</v>
      </c>
      <c r="C5" s="332" t="s">
        <v>449</v>
      </c>
      <c r="D5" s="333" t="s">
        <v>450</v>
      </c>
      <c r="E5" s="316" t="str">
        <f>CONCATENATE('Z_6.1.sz.mell'!E5)</f>
        <v>Teljesítés
2019. XII. 31.</v>
      </c>
    </row>
    <row r="6" spans="1:5" s="46" customFormat="1" ht="12.75" customHeight="1" thickBot="1">
      <c r="A6" s="76" t="s">
        <v>385</v>
      </c>
      <c r="B6" s="77" t="s">
        <v>386</v>
      </c>
      <c r="C6" s="77" t="s">
        <v>387</v>
      </c>
      <c r="D6" s="287" t="s">
        <v>389</v>
      </c>
      <c r="E6" s="78" t="s">
        <v>388</v>
      </c>
    </row>
    <row r="7" spans="1:5" s="46" customFormat="1" ht="15.75" customHeight="1" thickBot="1">
      <c r="A7" s="856" t="s">
        <v>39</v>
      </c>
      <c r="B7" s="857"/>
      <c r="C7" s="857"/>
      <c r="D7" s="857"/>
      <c r="E7" s="858"/>
    </row>
    <row r="8" spans="1:5" s="46" customFormat="1" ht="12" customHeight="1" thickBot="1">
      <c r="A8" s="25" t="s">
        <v>6</v>
      </c>
      <c r="B8" s="19" t="s">
        <v>161</v>
      </c>
      <c r="C8" s="168">
        <f>+C9+C10+C11+C12+C13+C14</f>
        <v>306085968</v>
      </c>
      <c r="D8" s="168">
        <f>+D9+D10+D11+D12+D13+D14</f>
        <v>307217491</v>
      </c>
      <c r="E8" s="104">
        <f>+E9+E10+E11+E12+E13+E14</f>
        <v>292384339</v>
      </c>
    </row>
    <row r="9" spans="1:5" s="52" customFormat="1" ht="12" customHeight="1">
      <c r="A9" s="198" t="s">
        <v>63</v>
      </c>
      <c r="B9" s="181" t="s">
        <v>162</v>
      </c>
      <c r="C9" s="170">
        <v>127996975</v>
      </c>
      <c r="D9" s="170">
        <v>127996975</v>
      </c>
      <c r="E9" s="106">
        <v>130701805</v>
      </c>
    </row>
    <row r="10" spans="1:5" s="53" customFormat="1" ht="12" customHeight="1">
      <c r="A10" s="199" t="s">
        <v>64</v>
      </c>
      <c r="B10" s="182" t="s">
        <v>163</v>
      </c>
      <c r="C10" s="169">
        <v>57524400</v>
      </c>
      <c r="D10" s="169">
        <v>57524400</v>
      </c>
      <c r="E10" s="105">
        <v>59874484</v>
      </c>
    </row>
    <row r="11" spans="1:5" s="53" customFormat="1" ht="12" customHeight="1">
      <c r="A11" s="199" t="s">
        <v>65</v>
      </c>
      <c r="B11" s="182" t="s">
        <v>164</v>
      </c>
      <c r="C11" s="169">
        <v>77966400</v>
      </c>
      <c r="D11" s="169">
        <v>77966400</v>
      </c>
      <c r="E11" s="105">
        <v>79081659</v>
      </c>
    </row>
    <row r="12" spans="1:5" s="53" customFormat="1" ht="12" customHeight="1">
      <c r="A12" s="199" t="s">
        <v>66</v>
      </c>
      <c r="B12" s="182" t="s">
        <v>165</v>
      </c>
      <c r="C12" s="169">
        <v>4515720</v>
      </c>
      <c r="D12" s="169">
        <v>5647243</v>
      </c>
      <c r="E12" s="105">
        <v>6093331</v>
      </c>
    </row>
    <row r="13" spans="1:5" s="53" customFormat="1" ht="12" customHeight="1">
      <c r="A13" s="199" t="s">
        <v>97</v>
      </c>
      <c r="B13" s="112" t="s">
        <v>333</v>
      </c>
      <c r="C13" s="169">
        <v>38082473</v>
      </c>
      <c r="D13" s="169">
        <v>38082473</v>
      </c>
      <c r="E13" s="105">
        <v>16633060</v>
      </c>
    </row>
    <row r="14" spans="1:5" s="52" customFormat="1" ht="12" customHeight="1" thickBot="1">
      <c r="A14" s="200" t="s">
        <v>67</v>
      </c>
      <c r="B14" s="113" t="s">
        <v>334</v>
      </c>
      <c r="C14" s="169"/>
      <c r="D14" s="169"/>
      <c r="E14" s="105"/>
    </row>
    <row r="15" spans="1:5" s="52" customFormat="1" ht="12" customHeight="1" thickBot="1">
      <c r="A15" s="25" t="s">
        <v>7</v>
      </c>
      <c r="B15" s="111" t="s">
        <v>166</v>
      </c>
      <c r="C15" s="168">
        <f>+C16+C17+C18+C19+C20</f>
        <v>126121616</v>
      </c>
      <c r="D15" s="168">
        <f>+D16+D17+D18+D19+D20</f>
        <v>151865719</v>
      </c>
      <c r="E15" s="104">
        <f>+E16+E17+E18+E19+E20</f>
        <v>155737022</v>
      </c>
    </row>
    <row r="16" spans="1:5" s="52" customFormat="1" ht="12" customHeight="1">
      <c r="A16" s="198" t="s">
        <v>69</v>
      </c>
      <c r="B16" s="181" t="s">
        <v>167</v>
      </c>
      <c r="C16" s="170"/>
      <c r="D16" s="170"/>
      <c r="E16" s="106"/>
    </row>
    <row r="17" spans="1:5" s="52" customFormat="1" ht="12" customHeight="1">
      <c r="A17" s="199" t="s">
        <v>70</v>
      </c>
      <c r="B17" s="182" t="s">
        <v>168</v>
      </c>
      <c r="C17" s="169"/>
      <c r="D17" s="169"/>
      <c r="E17" s="105"/>
    </row>
    <row r="18" spans="1:5" s="52" customFormat="1" ht="12" customHeight="1">
      <c r="A18" s="199" t="s">
        <v>71</v>
      </c>
      <c r="B18" s="182" t="s">
        <v>325</v>
      </c>
      <c r="C18" s="169"/>
      <c r="D18" s="169"/>
      <c r="E18" s="105"/>
    </row>
    <row r="19" spans="1:5" s="52" customFormat="1" ht="12" customHeight="1">
      <c r="A19" s="199" t="s">
        <v>72</v>
      </c>
      <c r="B19" s="182" t="s">
        <v>326</v>
      </c>
      <c r="C19" s="169"/>
      <c r="D19" s="169"/>
      <c r="E19" s="105"/>
    </row>
    <row r="20" spans="1:5" s="52" customFormat="1" ht="12" customHeight="1">
      <c r="A20" s="199" t="s">
        <v>73</v>
      </c>
      <c r="B20" s="182" t="s">
        <v>169</v>
      </c>
      <c r="C20" s="169">
        <v>126121616</v>
      </c>
      <c r="D20" s="169">
        <v>151865719</v>
      </c>
      <c r="E20" s="105">
        <v>155737022</v>
      </c>
    </row>
    <row r="21" spans="1:5" s="53" customFormat="1" ht="12" customHeight="1" thickBot="1">
      <c r="A21" s="200" t="s">
        <v>80</v>
      </c>
      <c r="B21" s="113" t="s">
        <v>170</v>
      </c>
      <c r="C21" s="171"/>
      <c r="D21" s="171"/>
      <c r="E21" s="107"/>
    </row>
    <row r="22" spans="1:5" s="53" customFormat="1" ht="12" customHeight="1" thickBot="1">
      <c r="A22" s="25" t="s">
        <v>8</v>
      </c>
      <c r="B22" s="19" t="s">
        <v>171</v>
      </c>
      <c r="C22" s="168">
        <f>+C23+C24+C25+C26+C27</f>
        <v>0</v>
      </c>
      <c r="D22" s="168">
        <f>+D23+D24+D25+D26+D27</f>
        <v>122200885</v>
      </c>
      <c r="E22" s="104">
        <f>+E23+E24+E25+E26+E27</f>
        <v>161074272</v>
      </c>
    </row>
    <row r="23" spans="1:5" s="53" customFormat="1" ht="12" customHeight="1">
      <c r="A23" s="198" t="s">
        <v>52</v>
      </c>
      <c r="B23" s="181" t="s">
        <v>172</v>
      </c>
      <c r="C23" s="170"/>
      <c r="D23" s="170">
        <v>106200046</v>
      </c>
      <c r="E23" s="106">
        <v>80334000</v>
      </c>
    </row>
    <row r="24" spans="1:5" s="52" customFormat="1" ht="12" customHeight="1">
      <c r="A24" s="199" t="s">
        <v>53</v>
      </c>
      <c r="B24" s="182" t="s">
        <v>173</v>
      </c>
      <c r="C24" s="169"/>
      <c r="D24" s="169"/>
      <c r="E24" s="105"/>
    </row>
    <row r="25" spans="1:5" s="53" customFormat="1" ht="12" customHeight="1">
      <c r="A25" s="199" t="s">
        <v>54</v>
      </c>
      <c r="B25" s="182" t="s">
        <v>327</v>
      </c>
      <c r="C25" s="169"/>
      <c r="D25" s="169"/>
      <c r="E25" s="105"/>
    </row>
    <row r="26" spans="1:5" s="53" customFormat="1" ht="12" customHeight="1">
      <c r="A26" s="199" t="s">
        <v>55</v>
      </c>
      <c r="B26" s="182" t="s">
        <v>328</v>
      </c>
      <c r="C26" s="169"/>
      <c r="D26" s="169"/>
      <c r="E26" s="105"/>
    </row>
    <row r="27" spans="1:5" s="53" customFormat="1" ht="12" customHeight="1">
      <c r="A27" s="199" t="s">
        <v>110</v>
      </c>
      <c r="B27" s="182" t="s">
        <v>174</v>
      </c>
      <c r="C27" s="169"/>
      <c r="D27" s="169">
        <v>16000839</v>
      </c>
      <c r="E27" s="105">
        <v>80740272</v>
      </c>
    </row>
    <row r="28" spans="1:5" s="53" customFormat="1" ht="12" customHeight="1" thickBot="1">
      <c r="A28" s="200" t="s">
        <v>111</v>
      </c>
      <c r="B28" s="183" t="s">
        <v>175</v>
      </c>
      <c r="C28" s="171"/>
      <c r="D28" s="171"/>
      <c r="E28" s="107"/>
    </row>
    <row r="29" spans="1:5" s="53" customFormat="1" ht="12" customHeight="1" thickBot="1">
      <c r="A29" s="25" t="s">
        <v>112</v>
      </c>
      <c r="B29" s="19" t="s">
        <v>476</v>
      </c>
      <c r="C29" s="174">
        <f>SUM(C30:C36)</f>
        <v>52630600</v>
      </c>
      <c r="D29" s="174">
        <f>SUM(D30:D36)</f>
        <v>55768175</v>
      </c>
      <c r="E29" s="210">
        <f>SUM(E30:E36)</f>
        <v>63469415</v>
      </c>
    </row>
    <row r="30" spans="1:5" s="53" customFormat="1" ht="12" customHeight="1">
      <c r="A30" s="198" t="s">
        <v>176</v>
      </c>
      <c r="B30" s="181" t="str">
        <f>'Z_1.1.sz.mell.'!B30</f>
        <v>Egyéb felhalmozási célú támogatások bevételei</v>
      </c>
      <c r="C30" s="170"/>
      <c r="D30" s="170"/>
      <c r="E30" s="106"/>
    </row>
    <row r="31" spans="1:5" s="53" customFormat="1" ht="12" customHeight="1">
      <c r="A31" s="199" t="s">
        <v>177</v>
      </c>
      <c r="B31" s="181" t="str">
        <f>'Z_1.1.sz.mell.'!B31</f>
        <v>3.5.-ből EU-s támogatás</v>
      </c>
      <c r="C31" s="169"/>
      <c r="D31" s="169"/>
      <c r="E31" s="105"/>
    </row>
    <row r="32" spans="1:5" s="53" customFormat="1" ht="12" customHeight="1">
      <c r="A32" s="199" t="s">
        <v>178</v>
      </c>
      <c r="B32" s="181" t="str">
        <f>'Z_1.1.sz.mell.'!B32</f>
        <v>Közhatalmi bevételek (4.1.+…+4.7.)</v>
      </c>
      <c r="C32" s="169">
        <v>30000000</v>
      </c>
      <c r="D32" s="169">
        <v>33137575</v>
      </c>
      <c r="E32" s="105">
        <v>40715898</v>
      </c>
    </row>
    <row r="33" spans="1:5" s="53" customFormat="1" ht="12" customHeight="1">
      <c r="A33" s="199" t="s">
        <v>179</v>
      </c>
      <c r="B33" s="181" t="str">
        <f>'Z_1.1.sz.mell.'!B33</f>
        <v>Építményadó</v>
      </c>
      <c r="C33" s="169">
        <v>600000</v>
      </c>
      <c r="D33" s="169">
        <v>600000</v>
      </c>
      <c r="E33" s="105">
        <v>527750</v>
      </c>
    </row>
    <row r="34" spans="1:5" s="53" customFormat="1" ht="12" customHeight="1">
      <c r="A34" s="199" t="s">
        <v>480</v>
      </c>
      <c r="B34" s="181" t="str">
        <f>'Z_1.1.sz.mell.'!B34</f>
        <v>Idegenforgalmi adó </v>
      </c>
      <c r="C34" s="169">
        <v>7800000</v>
      </c>
      <c r="D34" s="169">
        <v>7800000</v>
      </c>
      <c r="E34" s="105">
        <v>9884105</v>
      </c>
    </row>
    <row r="35" spans="1:5" s="53" customFormat="1" ht="12" customHeight="1">
      <c r="A35" s="199" t="s">
        <v>481</v>
      </c>
      <c r="B35" s="181" t="str">
        <f>'Z_1.1.sz.mell.'!B35</f>
        <v>Iparűzési adó</v>
      </c>
      <c r="C35" s="169">
        <v>730600</v>
      </c>
      <c r="D35" s="169">
        <v>730600</v>
      </c>
      <c r="E35" s="105">
        <v>714345</v>
      </c>
    </row>
    <row r="36" spans="1:5" s="53" customFormat="1" ht="12" customHeight="1" thickBot="1">
      <c r="A36" s="200" t="s">
        <v>482</v>
      </c>
      <c r="B36" s="181" t="str">
        <f>'Z_1.1.sz.mell.'!B36</f>
        <v>Talajterhelési díj</v>
      </c>
      <c r="C36" s="171">
        <v>13500000</v>
      </c>
      <c r="D36" s="171">
        <v>13500000</v>
      </c>
      <c r="E36" s="107">
        <v>11627317</v>
      </c>
    </row>
    <row r="37" spans="1:5" s="53" customFormat="1" ht="12" customHeight="1" thickBot="1">
      <c r="A37" s="25" t="s">
        <v>10</v>
      </c>
      <c r="B37" s="19" t="s">
        <v>335</v>
      </c>
      <c r="C37" s="168">
        <f>SUM(C38:C48)</f>
        <v>48293454</v>
      </c>
      <c r="D37" s="168">
        <f>SUM(D38:D48)</f>
        <v>68709470</v>
      </c>
      <c r="E37" s="104">
        <f>SUM(E38:E48)</f>
        <v>82673994</v>
      </c>
    </row>
    <row r="38" spans="1:5" s="53" customFormat="1" ht="12" customHeight="1">
      <c r="A38" s="198" t="s">
        <v>56</v>
      </c>
      <c r="B38" s="181" t="s">
        <v>183</v>
      </c>
      <c r="C38" s="170">
        <v>50000</v>
      </c>
      <c r="D38" s="170">
        <v>6952756</v>
      </c>
      <c r="E38" s="106">
        <v>6614835</v>
      </c>
    </row>
    <row r="39" spans="1:5" s="53" customFormat="1" ht="12" customHeight="1">
      <c r="A39" s="199" t="s">
        <v>57</v>
      </c>
      <c r="B39" s="182" t="s">
        <v>184</v>
      </c>
      <c r="C39" s="169">
        <v>8664760</v>
      </c>
      <c r="D39" s="169">
        <v>13270203</v>
      </c>
      <c r="E39" s="105">
        <v>22118913</v>
      </c>
    </row>
    <row r="40" spans="1:5" s="53" customFormat="1" ht="12" customHeight="1">
      <c r="A40" s="199" t="s">
        <v>58</v>
      </c>
      <c r="B40" s="182" t="s">
        <v>185</v>
      </c>
      <c r="C40" s="169"/>
      <c r="D40" s="169">
        <v>1071157</v>
      </c>
      <c r="E40" s="105">
        <v>1056169</v>
      </c>
    </row>
    <row r="41" spans="1:5" s="53" customFormat="1" ht="12" customHeight="1">
      <c r="A41" s="199" t="s">
        <v>114</v>
      </c>
      <c r="B41" s="182" t="s">
        <v>186</v>
      </c>
      <c r="C41" s="169"/>
      <c r="D41" s="169"/>
      <c r="E41" s="105"/>
    </row>
    <row r="42" spans="1:5" s="53" customFormat="1" ht="12" customHeight="1">
      <c r="A42" s="199" t="s">
        <v>115</v>
      </c>
      <c r="B42" s="182" t="s">
        <v>187</v>
      </c>
      <c r="C42" s="169">
        <v>29301932</v>
      </c>
      <c r="D42" s="169">
        <v>29366074</v>
      </c>
      <c r="E42" s="105">
        <v>22870037</v>
      </c>
    </row>
    <row r="43" spans="1:5" s="53" customFormat="1" ht="12" customHeight="1">
      <c r="A43" s="199" t="s">
        <v>116</v>
      </c>
      <c r="B43" s="182" t="s">
        <v>188</v>
      </c>
      <c r="C43" s="169">
        <v>10276762</v>
      </c>
      <c r="D43" s="169">
        <v>12963011</v>
      </c>
      <c r="E43" s="105">
        <v>16326046</v>
      </c>
    </row>
    <row r="44" spans="1:5" s="53" customFormat="1" ht="12" customHeight="1">
      <c r="A44" s="199" t="s">
        <v>117</v>
      </c>
      <c r="B44" s="182" t="s">
        <v>189</v>
      </c>
      <c r="C44" s="169"/>
      <c r="D44" s="169"/>
      <c r="E44" s="105"/>
    </row>
    <row r="45" spans="1:5" s="53" customFormat="1" ht="12" customHeight="1">
      <c r="A45" s="199" t="s">
        <v>118</v>
      </c>
      <c r="B45" s="182" t="s">
        <v>483</v>
      </c>
      <c r="C45" s="169"/>
      <c r="D45" s="169">
        <v>63257</v>
      </c>
      <c r="E45" s="105">
        <v>50439</v>
      </c>
    </row>
    <row r="46" spans="1:5" s="53" customFormat="1" ht="12" customHeight="1">
      <c r="A46" s="199" t="s">
        <v>181</v>
      </c>
      <c r="B46" s="182" t="s">
        <v>191</v>
      </c>
      <c r="C46" s="172"/>
      <c r="D46" s="172"/>
      <c r="E46" s="108"/>
    </row>
    <row r="47" spans="1:5" s="53" customFormat="1" ht="12" customHeight="1">
      <c r="A47" s="200" t="s">
        <v>182</v>
      </c>
      <c r="B47" s="183" t="s">
        <v>337</v>
      </c>
      <c r="C47" s="173"/>
      <c r="D47" s="173"/>
      <c r="E47" s="109"/>
    </row>
    <row r="48" spans="1:5" s="53" customFormat="1" ht="12" customHeight="1" thickBot="1">
      <c r="A48" s="200" t="s">
        <v>336</v>
      </c>
      <c r="B48" s="113" t="s">
        <v>192</v>
      </c>
      <c r="C48" s="173"/>
      <c r="D48" s="173">
        <v>5023012</v>
      </c>
      <c r="E48" s="109">
        <v>13637555</v>
      </c>
    </row>
    <row r="49" spans="1:5" s="53" customFormat="1" ht="12" customHeight="1" thickBot="1">
      <c r="A49" s="25" t="s">
        <v>11</v>
      </c>
      <c r="B49" s="19" t="s">
        <v>193</v>
      </c>
      <c r="C49" s="168">
        <f>SUM(C50:C54)</f>
        <v>20011156</v>
      </c>
      <c r="D49" s="168">
        <f>SUM(D50:D54)</f>
        <v>20011156</v>
      </c>
      <c r="E49" s="104">
        <f>SUM(E50:E54)</f>
        <v>0</v>
      </c>
    </row>
    <row r="50" spans="1:5" s="53" customFormat="1" ht="12" customHeight="1">
      <c r="A50" s="198" t="s">
        <v>59</v>
      </c>
      <c r="B50" s="181" t="s">
        <v>197</v>
      </c>
      <c r="C50" s="221"/>
      <c r="D50" s="221"/>
      <c r="E50" s="110"/>
    </row>
    <row r="51" spans="1:5" s="53" customFormat="1" ht="12" customHeight="1">
      <c r="A51" s="199" t="s">
        <v>60</v>
      </c>
      <c r="B51" s="182" t="s">
        <v>198</v>
      </c>
      <c r="C51" s="172">
        <v>20011156</v>
      </c>
      <c r="D51" s="172">
        <v>20011156</v>
      </c>
      <c r="E51" s="108"/>
    </row>
    <row r="52" spans="1:5" s="53" customFormat="1" ht="12" customHeight="1">
      <c r="A52" s="199" t="s">
        <v>194</v>
      </c>
      <c r="B52" s="182" t="s">
        <v>199</v>
      </c>
      <c r="C52" s="172"/>
      <c r="D52" s="172"/>
      <c r="E52" s="108"/>
    </row>
    <row r="53" spans="1:5" s="53" customFormat="1" ht="12" customHeight="1">
      <c r="A53" s="199" t="s">
        <v>195</v>
      </c>
      <c r="B53" s="182" t="s">
        <v>200</v>
      </c>
      <c r="C53" s="172"/>
      <c r="D53" s="172"/>
      <c r="E53" s="108"/>
    </row>
    <row r="54" spans="1:5" s="53" customFormat="1" ht="12" customHeight="1" thickBot="1">
      <c r="A54" s="200" t="s">
        <v>196</v>
      </c>
      <c r="B54" s="113" t="s">
        <v>201</v>
      </c>
      <c r="C54" s="173"/>
      <c r="D54" s="173"/>
      <c r="E54" s="109"/>
    </row>
    <row r="55" spans="1:5" s="53" customFormat="1" ht="12" customHeight="1" thickBot="1">
      <c r="A55" s="25" t="s">
        <v>119</v>
      </c>
      <c r="B55" s="19" t="s">
        <v>202</v>
      </c>
      <c r="C55" s="168">
        <f>SUM(C56:C58)</f>
        <v>0</v>
      </c>
      <c r="D55" s="168">
        <f>SUM(D56:D58)</f>
        <v>1714506</v>
      </c>
      <c r="E55" s="104">
        <f>SUM(E56:E58)</f>
        <v>1776006</v>
      </c>
    </row>
    <row r="56" spans="1:5" s="53" customFormat="1" ht="12" customHeight="1">
      <c r="A56" s="198" t="s">
        <v>61</v>
      </c>
      <c r="B56" s="181" t="s">
        <v>203</v>
      </c>
      <c r="C56" s="170"/>
      <c r="D56" s="170"/>
      <c r="E56" s="106"/>
    </row>
    <row r="57" spans="1:5" s="53" customFormat="1" ht="12" customHeight="1">
      <c r="A57" s="199" t="s">
        <v>62</v>
      </c>
      <c r="B57" s="182" t="s">
        <v>329</v>
      </c>
      <c r="C57" s="169"/>
      <c r="D57" s="169">
        <v>1591955</v>
      </c>
      <c r="E57" s="105"/>
    </row>
    <row r="58" spans="1:5" s="53" customFormat="1" ht="12" customHeight="1">
      <c r="A58" s="199" t="s">
        <v>206</v>
      </c>
      <c r="B58" s="182" t="s">
        <v>204</v>
      </c>
      <c r="C58" s="169"/>
      <c r="D58" s="169">
        <v>122551</v>
      </c>
      <c r="E58" s="105">
        <v>1776006</v>
      </c>
    </row>
    <row r="59" spans="1:5" s="53" customFormat="1" ht="12" customHeight="1" thickBot="1">
      <c r="A59" s="200" t="s">
        <v>207</v>
      </c>
      <c r="B59" s="113" t="s">
        <v>205</v>
      </c>
      <c r="C59" s="171"/>
      <c r="D59" s="171"/>
      <c r="E59" s="107"/>
    </row>
    <row r="60" spans="1:5" s="53" customFormat="1" ht="12" customHeight="1" thickBot="1">
      <c r="A60" s="25" t="s">
        <v>13</v>
      </c>
      <c r="B60" s="111" t="s">
        <v>208</v>
      </c>
      <c r="C60" s="168">
        <f>SUM(C61:C63)</f>
        <v>0</v>
      </c>
      <c r="D60" s="168">
        <f>SUM(D61:D63)</f>
        <v>523800</v>
      </c>
      <c r="E60" s="104">
        <f>SUM(E61:E63)</f>
        <v>1110200</v>
      </c>
    </row>
    <row r="61" spans="1:5" s="53" customFormat="1" ht="12" customHeight="1">
      <c r="A61" s="198" t="s">
        <v>120</v>
      </c>
      <c r="B61" s="181" t="s">
        <v>210</v>
      </c>
      <c r="C61" s="172"/>
      <c r="D61" s="172"/>
      <c r="E61" s="108"/>
    </row>
    <row r="62" spans="1:5" s="53" customFormat="1" ht="12" customHeight="1">
      <c r="A62" s="199" t="s">
        <v>121</v>
      </c>
      <c r="B62" s="182" t="s">
        <v>330</v>
      </c>
      <c r="C62" s="172"/>
      <c r="D62" s="172"/>
      <c r="E62" s="108"/>
    </row>
    <row r="63" spans="1:5" s="53" customFormat="1" ht="12" customHeight="1">
      <c r="A63" s="199" t="s">
        <v>144</v>
      </c>
      <c r="B63" s="182" t="s">
        <v>211</v>
      </c>
      <c r="C63" s="172"/>
      <c r="D63" s="172">
        <v>523800</v>
      </c>
      <c r="E63" s="108">
        <v>1110200</v>
      </c>
    </row>
    <row r="64" spans="1:5" s="53" customFormat="1" ht="12" customHeight="1" thickBot="1">
      <c r="A64" s="200" t="s">
        <v>209</v>
      </c>
      <c r="B64" s="113" t="s">
        <v>212</v>
      </c>
      <c r="C64" s="172"/>
      <c r="D64" s="172"/>
      <c r="E64" s="108"/>
    </row>
    <row r="65" spans="1:5" s="53" customFormat="1" ht="12" customHeight="1" thickBot="1">
      <c r="A65" s="25" t="s">
        <v>14</v>
      </c>
      <c r="B65" s="19" t="s">
        <v>213</v>
      </c>
      <c r="C65" s="174">
        <f>+C8+C15+C22+C29+C37+C49+C55+C60</f>
        <v>553142794</v>
      </c>
      <c r="D65" s="174">
        <f>+D8+D15+D22+D29+D37+D49+D55+D60</f>
        <v>728011202</v>
      </c>
      <c r="E65" s="210">
        <f>+E8+E15+E22+E29+E37+E49+E55+E60</f>
        <v>758225248</v>
      </c>
    </row>
    <row r="66" spans="1:5" s="53" customFormat="1" ht="12" customHeight="1" thickBot="1">
      <c r="A66" s="201" t="s">
        <v>298</v>
      </c>
      <c r="B66" s="111" t="s">
        <v>215</v>
      </c>
      <c r="C66" s="168">
        <f>SUM(C67:C69)</f>
        <v>0</v>
      </c>
      <c r="D66" s="168">
        <f>SUM(D67:D69)</f>
        <v>0</v>
      </c>
      <c r="E66" s="104">
        <f>SUM(E67:E69)</f>
        <v>0</v>
      </c>
    </row>
    <row r="67" spans="1:5" s="53" customFormat="1" ht="12" customHeight="1">
      <c r="A67" s="198" t="s">
        <v>243</v>
      </c>
      <c r="B67" s="181" t="s">
        <v>216</v>
      </c>
      <c r="C67" s="172"/>
      <c r="D67" s="172"/>
      <c r="E67" s="108"/>
    </row>
    <row r="68" spans="1:5" s="53" customFormat="1" ht="12" customHeight="1">
      <c r="A68" s="199" t="s">
        <v>252</v>
      </c>
      <c r="B68" s="182" t="s">
        <v>217</v>
      </c>
      <c r="C68" s="172"/>
      <c r="D68" s="172"/>
      <c r="E68" s="108"/>
    </row>
    <row r="69" spans="1:5" s="53" customFormat="1" ht="12" customHeight="1" thickBot="1">
      <c r="A69" s="208" t="s">
        <v>253</v>
      </c>
      <c r="B69" s="230" t="s">
        <v>362</v>
      </c>
      <c r="C69" s="172"/>
      <c r="D69" s="172"/>
      <c r="E69" s="108"/>
    </row>
    <row r="70" spans="1:5" s="53" customFormat="1" ht="12" customHeight="1" thickBot="1">
      <c r="A70" s="201" t="s">
        <v>219</v>
      </c>
      <c r="B70" s="111" t="s">
        <v>220</v>
      </c>
      <c r="C70" s="168">
        <f>SUM(C71:C74)</f>
        <v>0</v>
      </c>
      <c r="D70" s="168">
        <f>SUM(D71:D74)</f>
        <v>0</v>
      </c>
      <c r="E70" s="104">
        <f>SUM(E71:E74)</f>
        <v>0</v>
      </c>
    </row>
    <row r="71" spans="1:5" s="53" customFormat="1" ht="12" customHeight="1">
      <c r="A71" s="198" t="s">
        <v>98</v>
      </c>
      <c r="B71" s="309" t="s">
        <v>221</v>
      </c>
      <c r="C71" s="172"/>
      <c r="D71" s="172"/>
      <c r="E71" s="108"/>
    </row>
    <row r="72" spans="1:5" s="53" customFormat="1" ht="12" customHeight="1">
      <c r="A72" s="199" t="s">
        <v>99</v>
      </c>
      <c r="B72" s="309" t="s">
        <v>490</v>
      </c>
      <c r="C72" s="172"/>
      <c r="D72" s="172"/>
      <c r="E72" s="108"/>
    </row>
    <row r="73" spans="1:5" s="53" customFormat="1" ht="12" customHeight="1">
      <c r="A73" s="199" t="s">
        <v>244</v>
      </c>
      <c r="B73" s="309" t="s">
        <v>222</v>
      </c>
      <c r="C73" s="172"/>
      <c r="D73" s="172"/>
      <c r="E73" s="108"/>
    </row>
    <row r="74" spans="1:5" s="53" customFormat="1" ht="12" customHeight="1" thickBot="1">
      <c r="A74" s="200" t="s">
        <v>245</v>
      </c>
      <c r="B74" s="310" t="s">
        <v>491</v>
      </c>
      <c r="C74" s="172"/>
      <c r="D74" s="172"/>
      <c r="E74" s="108"/>
    </row>
    <row r="75" spans="1:5" s="53" customFormat="1" ht="12" customHeight="1" thickBot="1">
      <c r="A75" s="201" t="s">
        <v>223</v>
      </c>
      <c r="B75" s="111" t="s">
        <v>224</v>
      </c>
      <c r="C75" s="168">
        <f>SUM(C76:C77)</f>
        <v>0</v>
      </c>
      <c r="D75" s="168">
        <f>SUM(D76:D77)</f>
        <v>83584665</v>
      </c>
      <c r="E75" s="104">
        <f>SUM(E76:E77)</f>
        <v>348875820</v>
      </c>
    </row>
    <row r="76" spans="1:5" s="53" customFormat="1" ht="12" customHeight="1">
      <c r="A76" s="198" t="s">
        <v>246</v>
      </c>
      <c r="B76" s="181" t="s">
        <v>225</v>
      </c>
      <c r="C76" s="172"/>
      <c r="D76" s="172">
        <v>83584665</v>
      </c>
      <c r="E76" s="108">
        <v>348875820</v>
      </c>
    </row>
    <row r="77" spans="1:5" s="53" customFormat="1" ht="12" customHeight="1" thickBot="1">
      <c r="A77" s="200" t="s">
        <v>247</v>
      </c>
      <c r="B77" s="113" t="s">
        <v>226</v>
      </c>
      <c r="C77" s="172"/>
      <c r="D77" s="172"/>
      <c r="E77" s="108"/>
    </row>
    <row r="78" spans="1:5" s="52" customFormat="1" ht="12" customHeight="1" thickBot="1">
      <c r="A78" s="201" t="s">
        <v>227</v>
      </c>
      <c r="B78" s="111" t="s">
        <v>228</v>
      </c>
      <c r="C78" s="168">
        <f>SUM(C79:C81)</f>
        <v>120278376</v>
      </c>
      <c r="D78" s="168">
        <f>SUM(D79:D81)</f>
        <v>121041885</v>
      </c>
      <c r="E78" s="104">
        <f>SUM(E79:E81)</f>
        <v>118639911</v>
      </c>
    </row>
    <row r="79" spans="1:5" s="53" customFormat="1" ht="12" customHeight="1">
      <c r="A79" s="198" t="s">
        <v>248</v>
      </c>
      <c r="B79" s="181" t="s">
        <v>229</v>
      </c>
      <c r="C79" s="172"/>
      <c r="D79" s="172">
        <v>763509</v>
      </c>
      <c r="E79" s="108">
        <v>14081659</v>
      </c>
    </row>
    <row r="80" spans="1:5" s="53" customFormat="1" ht="12" customHeight="1">
      <c r="A80" s="199" t="s">
        <v>249</v>
      </c>
      <c r="B80" s="182" t="s">
        <v>230</v>
      </c>
      <c r="C80" s="172"/>
      <c r="D80" s="172"/>
      <c r="E80" s="108"/>
    </row>
    <row r="81" spans="1:5" s="53" customFormat="1" ht="12" customHeight="1" thickBot="1">
      <c r="A81" s="200" t="s">
        <v>250</v>
      </c>
      <c r="B81" s="113" t="s">
        <v>873</v>
      </c>
      <c r="C81" s="172">
        <v>120278376</v>
      </c>
      <c r="D81" s="172">
        <v>120278376</v>
      </c>
      <c r="E81" s="108">
        <v>104558252</v>
      </c>
    </row>
    <row r="82" spans="1:5" s="53" customFormat="1" ht="12" customHeight="1" thickBot="1">
      <c r="A82" s="201" t="s">
        <v>231</v>
      </c>
      <c r="B82" s="111" t="s">
        <v>251</v>
      </c>
      <c r="C82" s="168">
        <f>SUM(C83:C86)</f>
        <v>0</v>
      </c>
      <c r="D82" s="168">
        <f>SUM(D83:D86)</f>
        <v>0</v>
      </c>
      <c r="E82" s="104">
        <f>SUM(E83:E86)</f>
        <v>0</v>
      </c>
    </row>
    <row r="83" spans="1:5" s="53" customFormat="1" ht="12" customHeight="1">
      <c r="A83" s="202" t="s">
        <v>232</v>
      </c>
      <c r="B83" s="181" t="s">
        <v>233</v>
      </c>
      <c r="C83" s="172"/>
      <c r="D83" s="172"/>
      <c r="E83" s="108"/>
    </row>
    <row r="84" spans="1:5" s="53" customFormat="1" ht="12" customHeight="1">
      <c r="A84" s="203" t="s">
        <v>234</v>
      </c>
      <c r="B84" s="182" t="s">
        <v>235</v>
      </c>
      <c r="C84" s="172"/>
      <c r="D84" s="172"/>
      <c r="E84" s="108"/>
    </row>
    <row r="85" spans="1:5" s="53" customFormat="1" ht="12" customHeight="1">
      <c r="A85" s="203" t="s">
        <v>236</v>
      </c>
      <c r="B85" s="182" t="s">
        <v>237</v>
      </c>
      <c r="C85" s="172"/>
      <c r="D85" s="172"/>
      <c r="E85" s="108"/>
    </row>
    <row r="86" spans="1:5" s="52" customFormat="1" ht="12" customHeight="1" thickBot="1">
      <c r="A86" s="204" t="s">
        <v>238</v>
      </c>
      <c r="B86" s="113" t="s">
        <v>239</v>
      </c>
      <c r="C86" s="172"/>
      <c r="D86" s="172"/>
      <c r="E86" s="108"/>
    </row>
    <row r="87" spans="1:5" s="52" customFormat="1" ht="12" customHeight="1" thickBot="1">
      <c r="A87" s="201" t="s">
        <v>240</v>
      </c>
      <c r="B87" s="111" t="s">
        <v>376</v>
      </c>
      <c r="C87" s="224"/>
      <c r="D87" s="224"/>
      <c r="E87" s="225"/>
    </row>
    <row r="88" spans="1:5" s="52" customFormat="1" ht="12" customHeight="1" thickBot="1">
      <c r="A88" s="201" t="s">
        <v>394</v>
      </c>
      <c r="B88" s="111" t="s">
        <v>241</v>
      </c>
      <c r="C88" s="224"/>
      <c r="D88" s="224"/>
      <c r="E88" s="225"/>
    </row>
    <row r="89" spans="1:5" s="52" customFormat="1" ht="12" customHeight="1" thickBot="1">
      <c r="A89" s="201" t="s">
        <v>395</v>
      </c>
      <c r="B89" s="188" t="s">
        <v>379</v>
      </c>
      <c r="C89" s="174">
        <f>+C66+C70+C75+C78+C82+C88+C87</f>
        <v>120278376</v>
      </c>
      <c r="D89" s="174">
        <f>+D66+D70+D75+D78+D82+D88+D87</f>
        <v>204626550</v>
      </c>
      <c r="E89" s="210">
        <f>+E66+E70+E75+E78+E82+E88+E87</f>
        <v>467515731</v>
      </c>
    </row>
    <row r="90" spans="1:5" s="52" customFormat="1" ht="12" customHeight="1" thickBot="1">
      <c r="A90" s="205" t="s">
        <v>396</v>
      </c>
      <c r="B90" s="189" t="s">
        <v>380</v>
      </c>
      <c r="C90" s="174">
        <f>+C65+C89</f>
        <v>673421170</v>
      </c>
      <c r="D90" s="174">
        <f>+D65+D89</f>
        <v>932637752</v>
      </c>
      <c r="E90" s="210">
        <f>+E65+E89</f>
        <v>1225740979</v>
      </c>
    </row>
    <row r="91" spans="1:3" s="53" customFormat="1" ht="15" customHeight="1" thickBot="1">
      <c r="A91" s="88"/>
      <c r="B91" s="89"/>
      <c r="C91" s="150"/>
    </row>
    <row r="92" spans="1:5" s="46" customFormat="1" ht="16.5" customHeight="1" thickBot="1">
      <c r="A92" s="856" t="s">
        <v>40</v>
      </c>
      <c r="B92" s="857"/>
      <c r="C92" s="857"/>
      <c r="D92" s="857"/>
      <c r="E92" s="858"/>
    </row>
    <row r="93" spans="1:5" s="54" customFormat="1" ht="12" customHeight="1" thickBot="1">
      <c r="A93" s="175" t="s">
        <v>6</v>
      </c>
      <c r="B93" s="24" t="s">
        <v>338</v>
      </c>
      <c r="C93" s="167">
        <f>C94+C95+C96+C97+C98+C111</f>
        <v>463141435</v>
      </c>
      <c r="D93" s="167">
        <f>D94+D95+D96+D97+D98+D111</f>
        <v>578975987</v>
      </c>
      <c r="E93" s="237">
        <f>E94+E95+E96+E97+E98+E111</f>
        <v>523597044</v>
      </c>
    </row>
    <row r="94" spans="1:5" ht="12" customHeight="1">
      <c r="A94" s="206" t="s">
        <v>63</v>
      </c>
      <c r="B94" s="8" t="s">
        <v>35</v>
      </c>
      <c r="C94" s="244">
        <v>193445845</v>
      </c>
      <c r="D94" s="244">
        <v>226416296</v>
      </c>
      <c r="E94" s="238">
        <v>224929786</v>
      </c>
    </row>
    <row r="95" spans="1:5" ht="12" customHeight="1">
      <c r="A95" s="199" t="s">
        <v>64</v>
      </c>
      <c r="B95" s="6" t="s">
        <v>122</v>
      </c>
      <c r="C95" s="169">
        <v>30503910</v>
      </c>
      <c r="D95" s="169">
        <v>37052585</v>
      </c>
      <c r="E95" s="105">
        <v>34731471</v>
      </c>
    </row>
    <row r="96" spans="1:5" ht="12" customHeight="1">
      <c r="A96" s="199" t="s">
        <v>65</v>
      </c>
      <c r="B96" s="6" t="s">
        <v>90</v>
      </c>
      <c r="C96" s="171">
        <v>178422164</v>
      </c>
      <c r="D96" s="171">
        <v>248150633</v>
      </c>
      <c r="E96" s="107">
        <v>207049424</v>
      </c>
    </row>
    <row r="97" spans="1:5" ht="12" customHeight="1">
      <c r="A97" s="199" t="s">
        <v>66</v>
      </c>
      <c r="B97" s="9" t="s">
        <v>123</v>
      </c>
      <c r="C97" s="171">
        <v>35847000</v>
      </c>
      <c r="D97" s="171">
        <v>39174500</v>
      </c>
      <c r="E97" s="107">
        <v>30394699</v>
      </c>
    </row>
    <row r="98" spans="1:5" ht="12" customHeight="1">
      <c r="A98" s="199" t="s">
        <v>75</v>
      </c>
      <c r="B98" s="17" t="s">
        <v>124</v>
      </c>
      <c r="C98" s="171">
        <f>SUM(C99:C111)</f>
        <v>24922516</v>
      </c>
      <c r="D98" s="171">
        <f>SUM(D99:D111)</f>
        <v>28181973</v>
      </c>
      <c r="E98" s="171">
        <f>SUM(E99:E111)</f>
        <v>26491664</v>
      </c>
    </row>
    <row r="99" spans="1:5" ht="12" customHeight="1">
      <c r="A99" s="199" t="s">
        <v>67</v>
      </c>
      <c r="B99" s="6" t="s">
        <v>343</v>
      </c>
      <c r="C99" s="171"/>
      <c r="D99" s="171">
        <v>307888</v>
      </c>
      <c r="E99" s="107">
        <v>307888</v>
      </c>
    </row>
    <row r="100" spans="1:5" ht="12" customHeight="1">
      <c r="A100" s="199" t="s">
        <v>68</v>
      </c>
      <c r="B100" s="66" t="s">
        <v>342</v>
      </c>
      <c r="C100" s="171"/>
      <c r="D100" s="171"/>
      <c r="E100" s="107"/>
    </row>
    <row r="101" spans="1:5" ht="12" customHeight="1">
      <c r="A101" s="199" t="s">
        <v>76</v>
      </c>
      <c r="B101" s="66" t="s">
        <v>341</v>
      </c>
      <c r="C101" s="171"/>
      <c r="D101" s="171"/>
      <c r="E101" s="107"/>
    </row>
    <row r="102" spans="1:5" ht="12" customHeight="1">
      <c r="A102" s="199" t="s">
        <v>77</v>
      </c>
      <c r="B102" s="64" t="s">
        <v>257</v>
      </c>
      <c r="C102" s="171"/>
      <c r="D102" s="171"/>
      <c r="E102" s="107"/>
    </row>
    <row r="103" spans="1:5" ht="12" customHeight="1">
      <c r="A103" s="199" t="s">
        <v>78</v>
      </c>
      <c r="B103" s="65" t="s">
        <v>258</v>
      </c>
      <c r="C103" s="171"/>
      <c r="D103" s="171"/>
      <c r="E103" s="107"/>
    </row>
    <row r="104" spans="1:5" ht="12" customHeight="1">
      <c r="A104" s="199" t="s">
        <v>79</v>
      </c>
      <c r="B104" s="65" t="s">
        <v>259</v>
      </c>
      <c r="C104" s="171"/>
      <c r="D104" s="171"/>
      <c r="E104" s="107"/>
    </row>
    <row r="105" spans="1:5" ht="12" customHeight="1">
      <c r="A105" s="199" t="s">
        <v>81</v>
      </c>
      <c r="B105" s="64" t="s">
        <v>260</v>
      </c>
      <c r="C105" s="171">
        <v>4190309</v>
      </c>
      <c r="D105" s="171">
        <v>4190309</v>
      </c>
      <c r="E105" s="107">
        <v>2500000</v>
      </c>
    </row>
    <row r="106" spans="1:5" ht="12" customHeight="1">
      <c r="A106" s="199" t="s">
        <v>125</v>
      </c>
      <c r="B106" s="64" t="s">
        <v>261</v>
      </c>
      <c r="C106" s="171"/>
      <c r="D106" s="171"/>
      <c r="E106" s="107"/>
    </row>
    <row r="107" spans="1:5" ht="12" customHeight="1">
      <c r="A107" s="199" t="s">
        <v>255</v>
      </c>
      <c r="B107" s="65" t="s">
        <v>262</v>
      </c>
      <c r="C107" s="171"/>
      <c r="D107" s="171">
        <v>2445000</v>
      </c>
      <c r="E107" s="107">
        <v>2445000</v>
      </c>
    </row>
    <row r="108" spans="1:5" ht="12" customHeight="1">
      <c r="A108" s="207" t="s">
        <v>256</v>
      </c>
      <c r="B108" s="66" t="s">
        <v>263</v>
      </c>
      <c r="C108" s="171"/>
      <c r="D108" s="171"/>
      <c r="E108" s="107"/>
    </row>
    <row r="109" spans="1:5" ht="12" customHeight="1">
      <c r="A109" s="199" t="s">
        <v>339</v>
      </c>
      <c r="B109" s="66" t="s">
        <v>264</v>
      </c>
      <c r="C109" s="171"/>
      <c r="D109" s="171"/>
      <c r="E109" s="107"/>
    </row>
    <row r="110" spans="1:5" ht="12" customHeight="1">
      <c r="A110" s="199" t="s">
        <v>340</v>
      </c>
      <c r="B110" s="66" t="s">
        <v>265</v>
      </c>
      <c r="C110" s="171">
        <v>20732207</v>
      </c>
      <c r="D110" s="171">
        <v>21238776</v>
      </c>
      <c r="E110" s="107">
        <v>21238776</v>
      </c>
    </row>
    <row r="111" spans="1:5" ht="12" customHeight="1">
      <c r="A111" s="199" t="s">
        <v>344</v>
      </c>
      <c r="B111" s="9" t="s">
        <v>36</v>
      </c>
      <c r="C111" s="169"/>
      <c r="D111" s="169"/>
      <c r="E111" s="105"/>
    </row>
    <row r="112" spans="1:5" ht="12" customHeight="1">
      <c r="A112" s="200" t="s">
        <v>345</v>
      </c>
      <c r="B112" s="6" t="s">
        <v>347</v>
      </c>
      <c r="C112" s="169"/>
      <c r="D112" s="169"/>
      <c r="E112" s="105"/>
    </row>
    <row r="113" spans="1:5" ht="12" customHeight="1" thickBot="1">
      <c r="A113" s="208" t="s">
        <v>346</v>
      </c>
      <c r="B113" s="233" t="s">
        <v>348</v>
      </c>
      <c r="C113" s="245"/>
      <c r="D113" s="245"/>
      <c r="E113" s="239"/>
    </row>
    <row r="114" spans="1:5" ht="12" customHeight="1" thickBot="1">
      <c r="A114" s="25" t="s">
        <v>7</v>
      </c>
      <c r="B114" s="232" t="s">
        <v>266</v>
      </c>
      <c r="C114" s="246">
        <f>+C115+C117+C119</f>
        <v>20011156</v>
      </c>
      <c r="D114" s="168">
        <f>+D115+D117+D119</f>
        <v>150094629</v>
      </c>
      <c r="E114" s="240">
        <f>+E115+E117+E119</f>
        <v>139638483</v>
      </c>
    </row>
    <row r="115" spans="1:5" ht="12" customHeight="1">
      <c r="A115" s="198" t="s">
        <v>69</v>
      </c>
      <c r="B115" s="6" t="s">
        <v>143</v>
      </c>
      <c r="C115" s="170">
        <v>9131377</v>
      </c>
      <c r="D115" s="255">
        <v>139214850</v>
      </c>
      <c r="E115" s="106">
        <v>136928862</v>
      </c>
    </row>
    <row r="116" spans="1:5" ht="12" customHeight="1">
      <c r="A116" s="198" t="s">
        <v>70</v>
      </c>
      <c r="B116" s="10" t="s">
        <v>270</v>
      </c>
      <c r="C116" s="170"/>
      <c r="D116" s="255"/>
      <c r="E116" s="106"/>
    </row>
    <row r="117" spans="1:5" ht="12" customHeight="1">
      <c r="A117" s="198" t="s">
        <v>71</v>
      </c>
      <c r="B117" s="10" t="s">
        <v>126</v>
      </c>
      <c r="C117" s="169">
        <v>10879779</v>
      </c>
      <c r="D117" s="256">
        <v>10879779</v>
      </c>
      <c r="E117" s="105">
        <v>2709621</v>
      </c>
    </row>
    <row r="118" spans="1:5" ht="12" customHeight="1">
      <c r="A118" s="198" t="s">
        <v>72</v>
      </c>
      <c r="B118" s="10" t="s">
        <v>271</v>
      </c>
      <c r="C118" s="169"/>
      <c r="D118" s="256"/>
      <c r="E118" s="105"/>
    </row>
    <row r="119" spans="1:5" ht="12" customHeight="1">
      <c r="A119" s="198" t="s">
        <v>73</v>
      </c>
      <c r="B119" s="113" t="s">
        <v>145</v>
      </c>
      <c r="C119" s="169"/>
      <c r="D119" s="256"/>
      <c r="E119" s="105"/>
    </row>
    <row r="120" spans="1:5" ht="12" customHeight="1">
      <c r="A120" s="198" t="s">
        <v>80</v>
      </c>
      <c r="B120" s="112" t="s">
        <v>331</v>
      </c>
      <c r="C120" s="169"/>
      <c r="D120" s="256"/>
      <c r="E120" s="105"/>
    </row>
    <row r="121" spans="1:5" ht="12" customHeight="1">
      <c r="A121" s="198" t="s">
        <v>82</v>
      </c>
      <c r="B121" s="177" t="s">
        <v>276</v>
      </c>
      <c r="C121" s="169"/>
      <c r="D121" s="256"/>
      <c r="E121" s="105"/>
    </row>
    <row r="122" spans="1:5" ht="12" customHeight="1">
      <c r="A122" s="198" t="s">
        <v>127</v>
      </c>
      <c r="B122" s="65" t="s">
        <v>259</v>
      </c>
      <c r="C122" s="169"/>
      <c r="D122" s="256"/>
      <c r="E122" s="105"/>
    </row>
    <row r="123" spans="1:5" ht="12" customHeight="1">
      <c r="A123" s="198" t="s">
        <v>128</v>
      </c>
      <c r="B123" s="65" t="s">
        <v>275</v>
      </c>
      <c r="C123" s="169"/>
      <c r="D123" s="256"/>
      <c r="E123" s="105"/>
    </row>
    <row r="124" spans="1:5" ht="12" customHeight="1">
      <c r="A124" s="198" t="s">
        <v>129</v>
      </c>
      <c r="B124" s="65" t="s">
        <v>274</v>
      </c>
      <c r="C124" s="169"/>
      <c r="D124" s="256"/>
      <c r="E124" s="105"/>
    </row>
    <row r="125" spans="1:5" ht="12" customHeight="1">
      <c r="A125" s="198" t="s">
        <v>267</v>
      </c>
      <c r="B125" s="65" t="s">
        <v>262</v>
      </c>
      <c r="C125" s="169"/>
      <c r="D125" s="256"/>
      <c r="E125" s="105"/>
    </row>
    <row r="126" spans="1:5" ht="12" customHeight="1">
      <c r="A126" s="198" t="s">
        <v>268</v>
      </c>
      <c r="B126" s="65" t="s">
        <v>273</v>
      </c>
      <c r="C126" s="169"/>
      <c r="D126" s="256"/>
      <c r="E126" s="105"/>
    </row>
    <row r="127" spans="1:5" ht="12" customHeight="1" thickBot="1">
      <c r="A127" s="207" t="s">
        <v>269</v>
      </c>
      <c r="B127" s="65" t="s">
        <v>272</v>
      </c>
      <c r="C127" s="171"/>
      <c r="D127" s="257"/>
      <c r="E127" s="107"/>
    </row>
    <row r="128" spans="1:5" ht="12" customHeight="1" thickBot="1">
      <c r="A128" s="25" t="s">
        <v>8</v>
      </c>
      <c r="B128" s="58" t="s">
        <v>349</v>
      </c>
      <c r="C128" s="168">
        <f>+C93+C114</f>
        <v>483152591</v>
      </c>
      <c r="D128" s="254">
        <f>+D93+D114</f>
        <v>729070616</v>
      </c>
      <c r="E128" s="104">
        <f>+E93+E114</f>
        <v>663235527</v>
      </c>
    </row>
    <row r="129" spans="1:5" ht="12" customHeight="1" thickBot="1">
      <c r="A129" s="25" t="s">
        <v>9</v>
      </c>
      <c r="B129" s="58" t="s">
        <v>421</v>
      </c>
      <c r="C129" s="168">
        <f>+C130+C131+C132</f>
        <v>0</v>
      </c>
      <c r="D129" s="254">
        <f>+D130+D131+D132</f>
        <v>0</v>
      </c>
      <c r="E129" s="104">
        <f>+E130+E131+E132</f>
        <v>0</v>
      </c>
    </row>
    <row r="130" spans="1:5" s="54" customFormat="1" ht="12" customHeight="1">
      <c r="A130" s="198" t="s">
        <v>176</v>
      </c>
      <c r="B130" s="10" t="s">
        <v>357</v>
      </c>
      <c r="C130" s="169"/>
      <c r="D130" s="256"/>
      <c r="E130" s="105"/>
    </row>
    <row r="131" spans="1:5" ht="12" customHeight="1">
      <c r="A131" s="198" t="s">
        <v>177</v>
      </c>
      <c r="B131" s="10" t="s">
        <v>358</v>
      </c>
      <c r="C131" s="169"/>
      <c r="D131" s="256"/>
      <c r="E131" s="105"/>
    </row>
    <row r="132" spans="1:5" ht="12" customHeight="1" thickBot="1">
      <c r="A132" s="207" t="s">
        <v>178</v>
      </c>
      <c r="B132" s="10" t="s">
        <v>359</v>
      </c>
      <c r="C132" s="169"/>
      <c r="D132" s="256"/>
      <c r="E132" s="105"/>
    </row>
    <row r="133" spans="1:5" ht="12" customHeight="1" thickBot="1">
      <c r="A133" s="25" t="s">
        <v>10</v>
      </c>
      <c r="B133" s="58" t="s">
        <v>351</v>
      </c>
      <c r="C133" s="168">
        <f>SUM(C134:C139)</f>
        <v>0</v>
      </c>
      <c r="D133" s="254">
        <f>SUM(D134:D139)</f>
        <v>0</v>
      </c>
      <c r="E133" s="104">
        <f>SUM(E134:E139)</f>
        <v>0</v>
      </c>
    </row>
    <row r="134" spans="1:5" ht="12" customHeight="1">
      <c r="A134" s="198" t="s">
        <v>56</v>
      </c>
      <c r="B134" s="7" t="s">
        <v>360</v>
      </c>
      <c r="C134" s="169"/>
      <c r="D134" s="256"/>
      <c r="E134" s="105"/>
    </row>
    <row r="135" spans="1:5" ht="12" customHeight="1">
      <c r="A135" s="198" t="s">
        <v>57</v>
      </c>
      <c r="B135" s="7" t="s">
        <v>352</v>
      </c>
      <c r="C135" s="169"/>
      <c r="D135" s="256"/>
      <c r="E135" s="105"/>
    </row>
    <row r="136" spans="1:5" ht="12" customHeight="1">
      <c r="A136" s="198" t="s">
        <v>58</v>
      </c>
      <c r="B136" s="7" t="s">
        <v>353</v>
      </c>
      <c r="C136" s="169"/>
      <c r="D136" s="256"/>
      <c r="E136" s="105"/>
    </row>
    <row r="137" spans="1:5" ht="12" customHeight="1">
      <c r="A137" s="198" t="s">
        <v>114</v>
      </c>
      <c r="B137" s="7" t="s">
        <v>354</v>
      </c>
      <c r="C137" s="169"/>
      <c r="D137" s="256"/>
      <c r="E137" s="105"/>
    </row>
    <row r="138" spans="1:5" ht="12" customHeight="1">
      <c r="A138" s="198" t="s">
        <v>115</v>
      </c>
      <c r="B138" s="7" t="s">
        <v>355</v>
      </c>
      <c r="C138" s="169"/>
      <c r="D138" s="256"/>
      <c r="E138" s="105"/>
    </row>
    <row r="139" spans="1:5" s="54" customFormat="1" ht="12" customHeight="1" thickBot="1">
      <c r="A139" s="207" t="s">
        <v>116</v>
      </c>
      <c r="B139" s="317" t="s">
        <v>356</v>
      </c>
      <c r="C139" s="245"/>
      <c r="D139" s="294"/>
      <c r="E139" s="239"/>
    </row>
    <row r="140" spans="1:11" ht="12" customHeight="1" thickBot="1">
      <c r="A140" s="25" t="s">
        <v>11</v>
      </c>
      <c r="B140" s="58" t="s">
        <v>364</v>
      </c>
      <c r="C140" s="174">
        <f>+C141+C142+C143+C144</f>
        <v>190268579</v>
      </c>
      <c r="D140" s="258">
        <f>+D141+D142+D143+D144</f>
        <v>203567136</v>
      </c>
      <c r="E140" s="210">
        <f>+E141+E142+E143+E144</f>
        <v>188880331</v>
      </c>
      <c r="K140" s="97"/>
    </row>
    <row r="141" spans="1:5" ht="12.75">
      <c r="A141" s="198" t="s">
        <v>59</v>
      </c>
      <c r="B141" s="7" t="s">
        <v>277</v>
      </c>
      <c r="C141" s="169"/>
      <c r="D141" s="256"/>
      <c r="E141" s="105"/>
    </row>
    <row r="142" spans="1:5" ht="12" customHeight="1">
      <c r="A142" s="198" t="s">
        <v>60</v>
      </c>
      <c r="B142" s="7" t="s">
        <v>278</v>
      </c>
      <c r="C142" s="169"/>
      <c r="D142" s="256">
        <v>13298557</v>
      </c>
      <c r="E142" s="105">
        <v>13150183</v>
      </c>
    </row>
    <row r="143" spans="1:5" ht="12" customHeight="1">
      <c r="A143" s="198" t="s">
        <v>194</v>
      </c>
      <c r="B143" s="7" t="s">
        <v>365</v>
      </c>
      <c r="C143" s="169"/>
      <c r="D143" s="256"/>
      <c r="E143" s="105"/>
    </row>
    <row r="144" spans="1:5" s="54" customFormat="1" ht="12" customHeight="1" thickBot="1">
      <c r="A144" s="198" t="s">
        <v>195</v>
      </c>
      <c r="B144" s="396" t="s">
        <v>875</v>
      </c>
      <c r="C144" s="169">
        <v>190268579</v>
      </c>
      <c r="D144" s="256">
        <v>190268579</v>
      </c>
      <c r="E144" s="105">
        <v>175730148</v>
      </c>
    </row>
    <row r="145" spans="1:5" s="54" customFormat="1" ht="12" customHeight="1" thickBot="1">
      <c r="A145" s="207" t="s">
        <v>196</v>
      </c>
      <c r="B145" s="58" t="s">
        <v>366</v>
      </c>
      <c r="C145" s="247">
        <f>SUM(C146:C150)</f>
        <v>0</v>
      </c>
      <c r="D145" s="259">
        <f>SUM(D146:D150)</f>
        <v>0</v>
      </c>
      <c r="E145" s="241">
        <f>SUM(E146:E150)</f>
        <v>0</v>
      </c>
    </row>
    <row r="146" spans="1:5" s="54" customFormat="1" ht="12" customHeight="1" thickBot="1">
      <c r="A146" s="25" t="s">
        <v>12</v>
      </c>
      <c r="B146" s="7" t="s">
        <v>361</v>
      </c>
      <c r="C146" s="169"/>
      <c r="D146" s="256"/>
      <c r="E146" s="105"/>
    </row>
    <row r="147" spans="1:5" s="54" customFormat="1" ht="12" customHeight="1">
      <c r="A147" s="198" t="s">
        <v>61</v>
      </c>
      <c r="B147" s="7" t="s">
        <v>368</v>
      </c>
      <c r="C147" s="169"/>
      <c r="D147" s="256"/>
      <c r="E147" s="105"/>
    </row>
    <row r="148" spans="1:5" s="54" customFormat="1" ht="12" customHeight="1">
      <c r="A148" s="198" t="s">
        <v>62</v>
      </c>
      <c r="B148" s="7" t="s">
        <v>363</v>
      </c>
      <c r="C148" s="169"/>
      <c r="D148" s="256"/>
      <c r="E148" s="105"/>
    </row>
    <row r="149" spans="1:5" s="54" customFormat="1" ht="12" customHeight="1">
      <c r="A149" s="198" t="s">
        <v>206</v>
      </c>
      <c r="B149" s="7" t="s">
        <v>369</v>
      </c>
      <c r="C149" s="169"/>
      <c r="D149" s="256"/>
      <c r="E149" s="105"/>
    </row>
    <row r="150" spans="1:5" s="54" customFormat="1" ht="12" customHeight="1" thickBot="1">
      <c r="A150" s="198" t="s">
        <v>207</v>
      </c>
      <c r="B150" s="7" t="s">
        <v>370</v>
      </c>
      <c r="C150" s="169"/>
      <c r="D150" s="256"/>
      <c r="E150" s="105"/>
    </row>
    <row r="151" spans="1:5" ht="12.75" customHeight="1" thickBot="1">
      <c r="A151" s="207" t="s">
        <v>367</v>
      </c>
      <c r="B151" s="58" t="s">
        <v>371</v>
      </c>
      <c r="C151" s="248"/>
      <c r="D151" s="260"/>
      <c r="E151" s="242"/>
    </row>
    <row r="152" spans="1:5" ht="12.75" customHeight="1" thickBot="1">
      <c r="A152" s="236" t="s">
        <v>13</v>
      </c>
      <c r="B152" s="58" t="s">
        <v>372</v>
      </c>
      <c r="C152" s="248"/>
      <c r="D152" s="260"/>
      <c r="E152" s="242"/>
    </row>
    <row r="153" spans="1:5" ht="12.75" customHeight="1" thickBot="1">
      <c r="A153" s="236" t="s">
        <v>14</v>
      </c>
      <c r="B153" s="58" t="s">
        <v>374</v>
      </c>
      <c r="C153" s="249">
        <f>+C129+C133+C140+C145+C151+C152</f>
        <v>190268579</v>
      </c>
      <c r="D153" s="261">
        <f>+D129+D133+D140+D145+D151+D152</f>
        <v>203567136</v>
      </c>
      <c r="E153" s="243">
        <f>+E129+E133+E140+E145+E151+E152</f>
        <v>188880331</v>
      </c>
    </row>
    <row r="154" spans="1:5" ht="12" customHeight="1" thickBot="1">
      <c r="A154" s="25" t="s">
        <v>15</v>
      </c>
      <c r="B154" s="155" t="s">
        <v>373</v>
      </c>
      <c r="C154" s="249">
        <f aca="true" t="shared" si="0" ref="C154:E155">+C128+C153</f>
        <v>673421170</v>
      </c>
      <c r="D154" s="261">
        <f t="shared" si="0"/>
        <v>932637752</v>
      </c>
      <c r="E154" s="243">
        <f t="shared" si="0"/>
        <v>852115858</v>
      </c>
    </row>
    <row r="155" spans="1:5" ht="15" customHeight="1" thickBot="1">
      <c r="A155" s="209" t="s">
        <v>16</v>
      </c>
      <c r="B155" s="155" t="s">
        <v>373</v>
      </c>
      <c r="C155" s="249">
        <f t="shared" si="0"/>
        <v>673421170</v>
      </c>
      <c r="D155" s="261">
        <f t="shared" si="0"/>
        <v>932637752</v>
      </c>
      <c r="E155" s="243">
        <f t="shared" si="0"/>
        <v>852115858</v>
      </c>
    </row>
    <row r="156" spans="1:5" ht="13.5" thickBot="1">
      <c r="A156" s="158"/>
      <c r="B156" s="159"/>
      <c r="C156" s="662">
        <f>C90-C155</f>
        <v>0</v>
      </c>
      <c r="D156" s="662">
        <f>D90-D155</f>
        <v>0</v>
      </c>
      <c r="E156" s="160"/>
    </row>
    <row r="157" spans="1:5" ht="15" customHeight="1" thickBot="1">
      <c r="A157" s="303" t="s">
        <v>485</v>
      </c>
      <c r="B157" s="304"/>
      <c r="C157" s="293">
        <v>131</v>
      </c>
      <c r="D157" s="293">
        <v>131</v>
      </c>
      <c r="E157" s="292">
        <v>139</v>
      </c>
    </row>
    <row r="158" spans="1:5" ht="14.25" customHeight="1" thickBot="1">
      <c r="A158" s="305" t="s">
        <v>486</v>
      </c>
      <c r="B158" s="306"/>
      <c r="C158" s="293">
        <v>95</v>
      </c>
      <c r="D158" s="293">
        <v>95</v>
      </c>
      <c r="E158" s="292">
        <v>85</v>
      </c>
    </row>
  </sheetData>
  <sheetProtection formatCells="0"/>
  <mergeCells count="5">
    <mergeCell ref="B2:D2"/>
    <mergeCell ref="B3:D3"/>
    <mergeCell ref="A7:E7"/>
    <mergeCell ref="A92:E92"/>
    <mergeCell ref="B1:E1"/>
  </mergeCells>
  <printOptions horizontalCentered="1"/>
  <pageMargins left="0.7874015748031497" right="0.7874015748031497" top="0.984251968503937" bottom="0.984251968503937" header="0.7874015748031497" footer="0.7874015748031497"/>
  <pageSetup orientation="portrait" paperSize="9" scale="73" r:id="rId1"/>
  <rowBreaks count="2" manualBreakCount="2">
    <brk id="69" max="255" man="1"/>
    <brk id="90" max="255" man="1"/>
  </rowBreaks>
</worksheet>
</file>

<file path=xl/worksheets/sheet16.xml><?xml version="1.0" encoding="utf-8"?>
<worksheet xmlns="http://schemas.openxmlformats.org/spreadsheetml/2006/main" xmlns:r="http://schemas.openxmlformats.org/officeDocument/2006/relationships">
  <sheetPr>
    <tabColor rgb="FF92D050"/>
  </sheetPr>
  <dimension ref="A1:K158"/>
  <sheetViews>
    <sheetView zoomScale="120" zoomScaleNormal="120" zoomScaleSheetLayoutView="100" workbookViewId="0" topLeftCell="A1">
      <selection activeCell="I27" sqref="I27"/>
    </sheetView>
  </sheetViews>
  <sheetFormatPr defaultColWidth="9.00390625" defaultRowHeight="12.75"/>
  <cols>
    <col min="1" max="1" width="16.125" style="161" customWidth="1"/>
    <col min="2" max="2" width="62.00390625" style="162" customWidth="1"/>
    <col min="3" max="3" width="14.125" style="163" customWidth="1"/>
    <col min="4" max="5" width="14.125" style="2" customWidth="1"/>
    <col min="6" max="16384" width="9.375" style="2" customWidth="1"/>
  </cols>
  <sheetData>
    <row r="1" spans="1:5" s="1" customFormat="1" ht="16.5" customHeight="1" thickBot="1">
      <c r="A1" s="325"/>
      <c r="B1" s="337"/>
      <c r="C1" s="338"/>
      <c r="D1" s="338"/>
      <c r="E1" s="665" t="str">
        <f>CONCATENATE("6.1.2. melléklet ",Z_ALAPADATOK!A7," ",Z_ALAPADATOK!B7," ",Z_ALAPADATOK!C7," ",Z_ALAPADATOK!D7," ",Z_ALAPADATOK!E7," ",Z_ALAPADATOK!F7," ",Z_ALAPADATOK!G7," ",Z_ALAPADATOK!H7)</f>
        <v>6.1.2. melléklet a 4 / 2020. ( VII.17. ) önkormányzati rendelethez</v>
      </c>
    </row>
    <row r="2" spans="1:5" s="50" customFormat="1" ht="21" customHeight="1" thickBot="1">
      <c r="A2" s="334" t="s">
        <v>44</v>
      </c>
      <c r="B2" s="859" t="str">
        <f>CONCATENATE(Z_ALAPADATOK!A3)</f>
        <v>Kállósemjén Nagyközség Önkormányzata</v>
      </c>
      <c r="C2" s="859"/>
      <c r="D2" s="859"/>
      <c r="E2" s="335" t="s">
        <v>38</v>
      </c>
    </row>
    <row r="3" spans="1:5" s="50" customFormat="1" ht="24.75" thickBot="1">
      <c r="A3" s="334" t="s">
        <v>135</v>
      </c>
      <c r="B3" s="859" t="s">
        <v>323</v>
      </c>
      <c r="C3" s="859"/>
      <c r="D3" s="859"/>
      <c r="E3" s="336" t="s">
        <v>42</v>
      </c>
    </row>
    <row r="4" spans="1:5" s="51" customFormat="1" ht="15.75" customHeight="1" thickBot="1">
      <c r="A4" s="328"/>
      <c r="B4" s="328"/>
      <c r="C4" s="329"/>
      <c r="D4" s="330"/>
      <c r="E4" s="329" t="str">
        <f>'Z_6.1.1.sz.mell'!E4</f>
        <v> Forintban!</v>
      </c>
    </row>
    <row r="5" spans="1:5" ht="24.75" thickBot="1">
      <c r="A5" s="331" t="s">
        <v>136</v>
      </c>
      <c r="B5" s="332" t="s">
        <v>484</v>
      </c>
      <c r="C5" s="332" t="s">
        <v>449</v>
      </c>
      <c r="D5" s="333" t="s">
        <v>450</v>
      </c>
      <c r="E5" s="316" t="str">
        <f>CONCATENATE('Z_6.1.1.sz.mell'!E5)</f>
        <v>Teljesítés
2019. XII. 31.</v>
      </c>
    </row>
    <row r="6" spans="1:5" s="46" customFormat="1" ht="12.75" customHeight="1" thickBot="1">
      <c r="A6" s="76" t="s">
        <v>385</v>
      </c>
      <c r="B6" s="77" t="s">
        <v>386</v>
      </c>
      <c r="C6" s="77" t="s">
        <v>387</v>
      </c>
      <c r="D6" s="287" t="s">
        <v>389</v>
      </c>
      <c r="E6" s="78" t="s">
        <v>388</v>
      </c>
    </row>
    <row r="7" spans="1:5" s="46" customFormat="1" ht="15.75" customHeight="1" thickBot="1">
      <c r="A7" s="856" t="s">
        <v>39</v>
      </c>
      <c r="B7" s="857"/>
      <c r="C7" s="857"/>
      <c r="D7" s="857"/>
      <c r="E7" s="858"/>
    </row>
    <row r="8" spans="1:5" s="46" customFormat="1" ht="12" customHeight="1" thickBot="1">
      <c r="A8" s="25" t="s">
        <v>6</v>
      </c>
      <c r="B8" s="19" t="s">
        <v>161</v>
      </c>
      <c r="C8" s="168">
        <f>+C9+C10+C11+C12+C13+C14</f>
        <v>0</v>
      </c>
      <c r="D8" s="254">
        <f>+D9+D10+D11+D12+D13+D14</f>
        <v>0</v>
      </c>
      <c r="E8" s="104">
        <f>+E9+E10+E11+E12+E13+E14</f>
        <v>0</v>
      </c>
    </row>
    <row r="9" spans="1:5" s="52" customFormat="1" ht="12" customHeight="1">
      <c r="A9" s="198" t="s">
        <v>63</v>
      </c>
      <c r="B9" s="181" t="s">
        <v>162</v>
      </c>
      <c r="C9" s="170"/>
      <c r="D9" s="255"/>
      <c r="E9" s="106"/>
    </row>
    <row r="10" spans="1:5" s="53" customFormat="1" ht="12" customHeight="1">
      <c r="A10" s="199" t="s">
        <v>64</v>
      </c>
      <c r="B10" s="182" t="s">
        <v>163</v>
      </c>
      <c r="C10" s="169"/>
      <c r="D10" s="256"/>
      <c r="E10" s="105"/>
    </row>
    <row r="11" spans="1:5" s="53" customFormat="1" ht="12" customHeight="1">
      <c r="A11" s="199" t="s">
        <v>65</v>
      </c>
      <c r="B11" s="182" t="s">
        <v>164</v>
      </c>
      <c r="C11" s="169"/>
      <c r="D11" s="256"/>
      <c r="E11" s="105"/>
    </row>
    <row r="12" spans="1:5" s="53" customFormat="1" ht="12" customHeight="1">
      <c r="A12" s="199" t="s">
        <v>66</v>
      </c>
      <c r="B12" s="182" t="s">
        <v>165</v>
      </c>
      <c r="C12" s="169"/>
      <c r="D12" s="256"/>
      <c r="E12" s="105"/>
    </row>
    <row r="13" spans="1:5" s="53" customFormat="1" ht="12" customHeight="1">
      <c r="A13" s="199" t="s">
        <v>97</v>
      </c>
      <c r="B13" s="182" t="s">
        <v>393</v>
      </c>
      <c r="C13" s="169"/>
      <c r="D13" s="256"/>
      <c r="E13" s="105"/>
    </row>
    <row r="14" spans="1:5" s="52" customFormat="1" ht="12" customHeight="1" thickBot="1">
      <c r="A14" s="200" t="s">
        <v>67</v>
      </c>
      <c r="B14" s="183" t="s">
        <v>334</v>
      </c>
      <c r="C14" s="169"/>
      <c r="D14" s="256"/>
      <c r="E14" s="105"/>
    </row>
    <row r="15" spans="1:5" s="52" customFormat="1" ht="12" customHeight="1" thickBot="1">
      <c r="A15" s="25" t="s">
        <v>7</v>
      </c>
      <c r="B15" s="111" t="s">
        <v>166</v>
      </c>
      <c r="C15" s="168">
        <f>+C16+C17+C18+C19+C20</f>
        <v>0</v>
      </c>
      <c r="D15" s="254">
        <f>+D16+D17+D18+D19+D20</f>
        <v>0</v>
      </c>
      <c r="E15" s="104">
        <f>+E16+E17+E18+E19+E20</f>
        <v>0</v>
      </c>
    </row>
    <row r="16" spans="1:5" s="52" customFormat="1" ht="12" customHeight="1">
      <c r="A16" s="198" t="s">
        <v>69</v>
      </c>
      <c r="B16" s="181" t="s">
        <v>167</v>
      </c>
      <c r="C16" s="170"/>
      <c r="D16" s="255"/>
      <c r="E16" s="106"/>
    </row>
    <row r="17" spans="1:5" s="52" customFormat="1" ht="12" customHeight="1">
      <c r="A17" s="199" t="s">
        <v>70</v>
      </c>
      <c r="B17" s="182" t="s">
        <v>168</v>
      </c>
      <c r="C17" s="169"/>
      <c r="D17" s="256"/>
      <c r="E17" s="105"/>
    </row>
    <row r="18" spans="1:5" s="52" customFormat="1" ht="12" customHeight="1">
      <c r="A18" s="199" t="s">
        <v>71</v>
      </c>
      <c r="B18" s="182" t="s">
        <v>325</v>
      </c>
      <c r="C18" s="169"/>
      <c r="D18" s="256"/>
      <c r="E18" s="105"/>
    </row>
    <row r="19" spans="1:5" s="52" customFormat="1" ht="12" customHeight="1">
      <c r="A19" s="199" t="s">
        <v>72</v>
      </c>
      <c r="B19" s="182" t="s">
        <v>326</v>
      </c>
      <c r="C19" s="169"/>
      <c r="D19" s="256"/>
      <c r="E19" s="105"/>
    </row>
    <row r="20" spans="1:5" s="52" customFormat="1" ht="12" customHeight="1">
      <c r="A20" s="199" t="s">
        <v>73</v>
      </c>
      <c r="B20" s="182" t="s">
        <v>169</v>
      </c>
      <c r="C20" s="169"/>
      <c r="D20" s="256"/>
      <c r="E20" s="105"/>
    </row>
    <row r="21" spans="1:5" s="53" customFormat="1" ht="12" customHeight="1" thickBot="1">
      <c r="A21" s="200" t="s">
        <v>80</v>
      </c>
      <c r="B21" s="183" t="s">
        <v>170</v>
      </c>
      <c r="C21" s="171"/>
      <c r="D21" s="257"/>
      <c r="E21" s="107"/>
    </row>
    <row r="22" spans="1:5" s="53" customFormat="1" ht="12" customHeight="1" thickBot="1">
      <c r="A22" s="25" t="s">
        <v>8</v>
      </c>
      <c r="B22" s="19" t="s">
        <v>171</v>
      </c>
      <c r="C22" s="168">
        <f>+C23+C24+C25+C26+C27</f>
        <v>0</v>
      </c>
      <c r="D22" s="254">
        <f>+D23+D24+D25+D26+D27</f>
        <v>0</v>
      </c>
      <c r="E22" s="104">
        <f>+E23+E24+E25+E26+E27</f>
        <v>0</v>
      </c>
    </row>
    <row r="23" spans="1:5" s="53" customFormat="1" ht="12" customHeight="1">
      <c r="A23" s="198" t="s">
        <v>52</v>
      </c>
      <c r="B23" s="181" t="s">
        <v>172</v>
      </c>
      <c r="C23" s="170"/>
      <c r="D23" s="255"/>
      <c r="E23" s="106"/>
    </row>
    <row r="24" spans="1:5" s="52" customFormat="1" ht="12" customHeight="1">
      <c r="A24" s="199" t="s">
        <v>53</v>
      </c>
      <c r="B24" s="182" t="s">
        <v>173</v>
      </c>
      <c r="C24" s="169"/>
      <c r="D24" s="256"/>
      <c r="E24" s="105"/>
    </row>
    <row r="25" spans="1:5" s="53" customFormat="1" ht="12" customHeight="1">
      <c r="A25" s="199" t="s">
        <v>54</v>
      </c>
      <c r="B25" s="182" t="s">
        <v>327</v>
      </c>
      <c r="C25" s="169"/>
      <c r="D25" s="256"/>
      <c r="E25" s="105"/>
    </row>
    <row r="26" spans="1:5" s="53" customFormat="1" ht="12" customHeight="1">
      <c r="A26" s="199" t="s">
        <v>55</v>
      </c>
      <c r="B26" s="182" t="s">
        <v>328</v>
      </c>
      <c r="C26" s="169"/>
      <c r="D26" s="256"/>
      <c r="E26" s="105"/>
    </row>
    <row r="27" spans="1:5" s="53" customFormat="1" ht="12" customHeight="1">
      <c r="A27" s="199" t="s">
        <v>110</v>
      </c>
      <c r="B27" s="182" t="s">
        <v>174</v>
      </c>
      <c r="C27" s="169"/>
      <c r="D27" s="256"/>
      <c r="E27" s="105"/>
    </row>
    <row r="28" spans="1:5" s="53" customFormat="1" ht="12" customHeight="1" thickBot="1">
      <c r="A28" s="200" t="s">
        <v>111</v>
      </c>
      <c r="B28" s="183" t="s">
        <v>175</v>
      </c>
      <c r="C28" s="171"/>
      <c r="D28" s="257"/>
      <c r="E28" s="107"/>
    </row>
    <row r="29" spans="1:5" s="53" customFormat="1" ht="12" customHeight="1" thickBot="1">
      <c r="A29" s="25" t="s">
        <v>112</v>
      </c>
      <c r="B29" s="19" t="s">
        <v>476</v>
      </c>
      <c r="C29" s="174">
        <f>SUM(C30:C36)</f>
        <v>0</v>
      </c>
      <c r="D29" s="174">
        <f>SUM(D30:D36)</f>
        <v>0</v>
      </c>
      <c r="E29" s="210">
        <f>SUM(E30:E36)</f>
        <v>0</v>
      </c>
    </row>
    <row r="30" spans="1:5" s="53" customFormat="1" ht="12" customHeight="1">
      <c r="A30" s="198" t="s">
        <v>176</v>
      </c>
      <c r="B30" s="181" t="str">
        <f>'Z_1.1.sz.mell.'!B33</f>
        <v>Építményadó</v>
      </c>
      <c r="C30" s="170"/>
      <c r="D30" s="170"/>
      <c r="E30" s="106"/>
    </row>
    <row r="31" spans="1:5" s="53" customFormat="1" ht="12" customHeight="1">
      <c r="A31" s="199" t="s">
        <v>177</v>
      </c>
      <c r="B31" s="181" t="str">
        <f>'Z_1.1.sz.mell.'!B34</f>
        <v>Idegenforgalmi adó </v>
      </c>
      <c r="C31" s="169"/>
      <c r="D31" s="169"/>
      <c r="E31" s="105"/>
    </row>
    <row r="32" spans="1:5" s="53" customFormat="1" ht="12" customHeight="1">
      <c r="A32" s="199" t="s">
        <v>178</v>
      </c>
      <c r="B32" s="181" t="str">
        <f>'Z_1.1.sz.mell.'!B35</f>
        <v>Iparűzési adó</v>
      </c>
      <c r="C32" s="169"/>
      <c r="D32" s="169"/>
      <c r="E32" s="105"/>
    </row>
    <row r="33" spans="1:5" s="53" customFormat="1" ht="12" customHeight="1">
      <c r="A33" s="199" t="s">
        <v>179</v>
      </c>
      <c r="B33" s="181" t="str">
        <f>'Z_1.1.sz.mell.'!B36</f>
        <v>Talajterhelési díj</v>
      </c>
      <c r="C33" s="169"/>
      <c r="D33" s="169"/>
      <c r="E33" s="105"/>
    </row>
    <row r="34" spans="1:5" s="53" customFormat="1" ht="12" customHeight="1">
      <c r="A34" s="199" t="s">
        <v>480</v>
      </c>
      <c r="B34" s="181" t="str">
        <f>'Z_1.1.sz.mell.'!B37</f>
        <v>Gépjárműadó</v>
      </c>
      <c r="C34" s="169"/>
      <c r="D34" s="169"/>
      <c r="E34" s="105"/>
    </row>
    <row r="35" spans="1:5" s="53" customFormat="1" ht="12" customHeight="1">
      <c r="A35" s="199" t="s">
        <v>481</v>
      </c>
      <c r="B35" s="181" t="str">
        <f>'Z_1.1.sz.mell.'!B38</f>
        <v>Egyéb közhatalmi bevételek</v>
      </c>
      <c r="C35" s="169"/>
      <c r="D35" s="169"/>
      <c r="E35" s="105"/>
    </row>
    <row r="36" spans="1:5" s="53" customFormat="1" ht="12" customHeight="1" thickBot="1">
      <c r="A36" s="200" t="s">
        <v>482</v>
      </c>
      <c r="B36" s="181" t="str">
        <f>'Z_1.1.sz.mell.'!B39</f>
        <v>Kommunális adó</v>
      </c>
      <c r="C36" s="171"/>
      <c r="D36" s="171"/>
      <c r="E36" s="107"/>
    </row>
    <row r="37" spans="1:5" s="53" customFormat="1" ht="12" customHeight="1" thickBot="1">
      <c r="A37" s="25" t="s">
        <v>10</v>
      </c>
      <c r="B37" s="19" t="s">
        <v>335</v>
      </c>
      <c r="C37" s="168">
        <f>SUM(C38:C48)</f>
        <v>0</v>
      </c>
      <c r="D37" s="254">
        <f>SUM(D38:D48)</f>
        <v>0</v>
      </c>
      <c r="E37" s="104">
        <f>SUM(E38:E48)</f>
        <v>0</v>
      </c>
    </row>
    <row r="38" spans="1:5" s="53" customFormat="1" ht="12" customHeight="1">
      <c r="A38" s="198" t="s">
        <v>56</v>
      </c>
      <c r="B38" s="181" t="s">
        <v>183</v>
      </c>
      <c r="C38" s="170"/>
      <c r="D38" s="255"/>
      <c r="E38" s="106"/>
    </row>
    <row r="39" spans="1:5" s="53" customFormat="1" ht="12" customHeight="1">
      <c r="A39" s="199" t="s">
        <v>57</v>
      </c>
      <c r="B39" s="182" t="s">
        <v>184</v>
      </c>
      <c r="C39" s="169"/>
      <c r="D39" s="256"/>
      <c r="E39" s="105"/>
    </row>
    <row r="40" spans="1:5" s="53" customFormat="1" ht="12" customHeight="1">
      <c r="A40" s="199" t="s">
        <v>58</v>
      </c>
      <c r="B40" s="182" t="s">
        <v>185</v>
      </c>
      <c r="C40" s="169"/>
      <c r="D40" s="256"/>
      <c r="E40" s="105"/>
    </row>
    <row r="41" spans="1:5" s="53" customFormat="1" ht="12" customHeight="1">
      <c r="A41" s="199" t="s">
        <v>114</v>
      </c>
      <c r="B41" s="182" t="s">
        <v>186</v>
      </c>
      <c r="C41" s="169"/>
      <c r="D41" s="256"/>
      <c r="E41" s="105"/>
    </row>
    <row r="42" spans="1:5" s="53" customFormat="1" ht="12" customHeight="1">
      <c r="A42" s="199" t="s">
        <v>115</v>
      </c>
      <c r="B42" s="182" t="s">
        <v>187</v>
      </c>
      <c r="C42" s="169"/>
      <c r="D42" s="256"/>
      <c r="E42" s="105"/>
    </row>
    <row r="43" spans="1:5" s="53" customFormat="1" ht="12" customHeight="1">
      <c r="A43" s="199" t="s">
        <v>116</v>
      </c>
      <c r="B43" s="182" t="s">
        <v>188</v>
      </c>
      <c r="C43" s="169"/>
      <c r="D43" s="256"/>
      <c r="E43" s="105"/>
    </row>
    <row r="44" spans="1:5" s="53" customFormat="1" ht="12" customHeight="1">
      <c r="A44" s="199" t="s">
        <v>117</v>
      </c>
      <c r="B44" s="182" t="s">
        <v>189</v>
      </c>
      <c r="C44" s="169"/>
      <c r="D44" s="256"/>
      <c r="E44" s="105"/>
    </row>
    <row r="45" spans="1:5" s="53" customFormat="1" ht="12" customHeight="1">
      <c r="A45" s="199" t="s">
        <v>118</v>
      </c>
      <c r="B45" s="182" t="s">
        <v>483</v>
      </c>
      <c r="C45" s="169"/>
      <c r="D45" s="256"/>
      <c r="E45" s="105"/>
    </row>
    <row r="46" spans="1:5" s="53" customFormat="1" ht="12" customHeight="1">
      <c r="A46" s="199" t="s">
        <v>181</v>
      </c>
      <c r="B46" s="182" t="s">
        <v>191</v>
      </c>
      <c r="C46" s="172"/>
      <c r="D46" s="288"/>
      <c r="E46" s="108"/>
    </row>
    <row r="47" spans="1:5" s="53" customFormat="1" ht="12" customHeight="1">
      <c r="A47" s="200" t="s">
        <v>182</v>
      </c>
      <c r="B47" s="183" t="s">
        <v>337</v>
      </c>
      <c r="C47" s="173"/>
      <c r="D47" s="289"/>
      <c r="E47" s="109"/>
    </row>
    <row r="48" spans="1:5" s="53" customFormat="1" ht="12" customHeight="1" thickBot="1">
      <c r="A48" s="200" t="s">
        <v>336</v>
      </c>
      <c r="B48" s="183" t="s">
        <v>192</v>
      </c>
      <c r="C48" s="173"/>
      <c r="D48" s="289"/>
      <c r="E48" s="109"/>
    </row>
    <row r="49" spans="1:5" s="53" customFormat="1" ht="12" customHeight="1" thickBot="1">
      <c r="A49" s="25" t="s">
        <v>11</v>
      </c>
      <c r="B49" s="19" t="s">
        <v>193</v>
      </c>
      <c r="C49" s="168">
        <f>SUM(C50:C54)</f>
        <v>0</v>
      </c>
      <c r="D49" s="254">
        <f>SUM(D50:D54)</f>
        <v>0</v>
      </c>
      <c r="E49" s="104">
        <f>SUM(E50:E54)</f>
        <v>0</v>
      </c>
    </row>
    <row r="50" spans="1:5" s="53" customFormat="1" ht="12" customHeight="1">
      <c r="A50" s="198" t="s">
        <v>59</v>
      </c>
      <c r="B50" s="181" t="s">
        <v>197</v>
      </c>
      <c r="C50" s="221"/>
      <c r="D50" s="290"/>
      <c r="E50" s="110"/>
    </row>
    <row r="51" spans="1:5" s="53" customFormat="1" ht="12" customHeight="1">
      <c r="A51" s="199" t="s">
        <v>60</v>
      </c>
      <c r="B51" s="182" t="s">
        <v>198</v>
      </c>
      <c r="C51" s="172"/>
      <c r="D51" s="288"/>
      <c r="E51" s="108"/>
    </row>
    <row r="52" spans="1:5" s="53" customFormat="1" ht="12" customHeight="1">
      <c r="A52" s="199" t="s">
        <v>194</v>
      </c>
      <c r="B52" s="182" t="s">
        <v>199</v>
      </c>
      <c r="C52" s="172"/>
      <c r="D52" s="288"/>
      <c r="E52" s="108"/>
    </row>
    <row r="53" spans="1:5" s="53" customFormat="1" ht="12" customHeight="1">
      <c r="A53" s="199" t="s">
        <v>195</v>
      </c>
      <c r="B53" s="182" t="s">
        <v>200</v>
      </c>
      <c r="C53" s="172"/>
      <c r="D53" s="288"/>
      <c r="E53" s="108"/>
    </row>
    <row r="54" spans="1:5" s="53" customFormat="1" ht="12" customHeight="1" thickBot="1">
      <c r="A54" s="200" t="s">
        <v>196</v>
      </c>
      <c r="B54" s="183" t="s">
        <v>201</v>
      </c>
      <c r="C54" s="173"/>
      <c r="D54" s="289"/>
      <c r="E54" s="109"/>
    </row>
    <row r="55" spans="1:5" s="53" customFormat="1" ht="12" customHeight="1" thickBot="1">
      <c r="A55" s="25" t="s">
        <v>119</v>
      </c>
      <c r="B55" s="19" t="s">
        <v>202</v>
      </c>
      <c r="C55" s="168">
        <f>SUM(C56:C58)</f>
        <v>0</v>
      </c>
      <c r="D55" s="254">
        <f>SUM(D56:D58)</f>
        <v>0</v>
      </c>
      <c r="E55" s="104">
        <f>SUM(E56:E58)</f>
        <v>0</v>
      </c>
    </row>
    <row r="56" spans="1:5" s="53" customFormat="1" ht="12" customHeight="1">
      <c r="A56" s="198" t="s">
        <v>61</v>
      </c>
      <c r="B56" s="181" t="s">
        <v>203</v>
      </c>
      <c r="C56" s="170"/>
      <c r="D56" s="255"/>
      <c r="E56" s="106"/>
    </row>
    <row r="57" spans="1:5" s="53" customFormat="1" ht="12" customHeight="1">
      <c r="A57" s="199" t="s">
        <v>62</v>
      </c>
      <c r="B57" s="182" t="s">
        <v>329</v>
      </c>
      <c r="C57" s="169"/>
      <c r="D57" s="256"/>
      <c r="E57" s="105"/>
    </row>
    <row r="58" spans="1:5" s="53" customFormat="1" ht="12" customHeight="1">
      <c r="A58" s="199" t="s">
        <v>206</v>
      </c>
      <c r="B58" s="182" t="s">
        <v>204</v>
      </c>
      <c r="C58" s="169"/>
      <c r="D58" s="256"/>
      <c r="E58" s="105"/>
    </row>
    <row r="59" spans="1:5" s="53" customFormat="1" ht="12" customHeight="1" thickBot="1">
      <c r="A59" s="200" t="s">
        <v>207</v>
      </c>
      <c r="B59" s="183" t="s">
        <v>205</v>
      </c>
      <c r="C59" s="171"/>
      <c r="D59" s="257"/>
      <c r="E59" s="107"/>
    </row>
    <row r="60" spans="1:5" s="53" customFormat="1" ht="12" customHeight="1" thickBot="1">
      <c r="A60" s="25" t="s">
        <v>13</v>
      </c>
      <c r="B60" s="111" t="s">
        <v>208</v>
      </c>
      <c r="C60" s="168">
        <f>SUM(C61:C63)</f>
        <v>0</v>
      </c>
      <c r="D60" s="254">
        <f>SUM(D61:D63)</f>
        <v>0</v>
      </c>
      <c r="E60" s="104">
        <f>SUM(E61:E63)</f>
        <v>0</v>
      </c>
    </row>
    <row r="61" spans="1:5" s="53" customFormat="1" ht="12" customHeight="1">
      <c r="A61" s="198" t="s">
        <v>120</v>
      </c>
      <c r="B61" s="181" t="s">
        <v>210</v>
      </c>
      <c r="C61" s="172"/>
      <c r="D61" s="288"/>
      <c r="E61" s="108"/>
    </row>
    <row r="62" spans="1:5" s="53" customFormat="1" ht="12" customHeight="1">
      <c r="A62" s="199" t="s">
        <v>121</v>
      </c>
      <c r="B62" s="182" t="s">
        <v>330</v>
      </c>
      <c r="C62" s="172"/>
      <c r="D62" s="288"/>
      <c r="E62" s="108"/>
    </row>
    <row r="63" spans="1:5" s="53" customFormat="1" ht="12" customHeight="1">
      <c r="A63" s="199" t="s">
        <v>144</v>
      </c>
      <c r="B63" s="182" t="s">
        <v>211</v>
      </c>
      <c r="C63" s="172"/>
      <c r="D63" s="288"/>
      <c r="E63" s="108"/>
    </row>
    <row r="64" spans="1:5" s="53" customFormat="1" ht="12" customHeight="1" thickBot="1">
      <c r="A64" s="200" t="s">
        <v>209</v>
      </c>
      <c r="B64" s="183" t="s">
        <v>212</v>
      </c>
      <c r="C64" s="172"/>
      <c r="D64" s="288"/>
      <c r="E64" s="108"/>
    </row>
    <row r="65" spans="1:5" s="53" customFormat="1" ht="12" customHeight="1" thickBot="1">
      <c r="A65" s="25" t="s">
        <v>14</v>
      </c>
      <c r="B65" s="19" t="s">
        <v>213</v>
      </c>
      <c r="C65" s="174">
        <f>+C8+C15+C22+C29+C37+C49+C55+C60</f>
        <v>0</v>
      </c>
      <c r="D65" s="258">
        <f>+D8+D15+D22+D29+D37+D49+D55+D60</f>
        <v>0</v>
      </c>
      <c r="E65" s="210">
        <f>+E8+E15+E22+E29+E37+E49+E55+E60</f>
        <v>0</v>
      </c>
    </row>
    <row r="66" spans="1:5" s="53" customFormat="1" ht="12" customHeight="1" thickBot="1">
      <c r="A66" s="201" t="s">
        <v>298</v>
      </c>
      <c r="B66" s="111" t="s">
        <v>215</v>
      </c>
      <c r="C66" s="168">
        <f>SUM(C67:C69)</f>
        <v>0</v>
      </c>
      <c r="D66" s="254">
        <f>SUM(D67:D69)</f>
        <v>0</v>
      </c>
      <c r="E66" s="104">
        <f>SUM(E67:E69)</f>
        <v>0</v>
      </c>
    </row>
    <row r="67" spans="1:5" s="53" customFormat="1" ht="12" customHeight="1">
      <c r="A67" s="198" t="s">
        <v>243</v>
      </c>
      <c r="B67" s="181" t="s">
        <v>216</v>
      </c>
      <c r="C67" s="172"/>
      <c r="D67" s="288"/>
      <c r="E67" s="108"/>
    </row>
    <row r="68" spans="1:5" s="53" customFormat="1" ht="12" customHeight="1">
      <c r="A68" s="199" t="s">
        <v>252</v>
      </c>
      <c r="B68" s="182" t="s">
        <v>217</v>
      </c>
      <c r="C68" s="172"/>
      <c r="D68" s="288"/>
      <c r="E68" s="108"/>
    </row>
    <row r="69" spans="1:5" s="53" customFormat="1" ht="12" customHeight="1" thickBot="1">
      <c r="A69" s="200" t="s">
        <v>253</v>
      </c>
      <c r="B69" s="184" t="s">
        <v>218</v>
      </c>
      <c r="C69" s="172"/>
      <c r="D69" s="291"/>
      <c r="E69" s="108"/>
    </row>
    <row r="70" spans="1:5" s="53" customFormat="1" ht="12" customHeight="1" thickBot="1">
      <c r="A70" s="201" t="s">
        <v>219</v>
      </c>
      <c r="B70" s="111" t="s">
        <v>220</v>
      </c>
      <c r="C70" s="168">
        <f>SUM(C71:C74)</f>
        <v>0</v>
      </c>
      <c r="D70" s="168">
        <f>SUM(D71:D74)</f>
        <v>0</v>
      </c>
      <c r="E70" s="104">
        <f>SUM(E71:E74)</f>
        <v>0</v>
      </c>
    </row>
    <row r="71" spans="1:5" s="53" customFormat="1" ht="12" customHeight="1">
      <c r="A71" s="198" t="s">
        <v>98</v>
      </c>
      <c r="B71" s="309" t="s">
        <v>221</v>
      </c>
      <c r="C71" s="172"/>
      <c r="D71" s="172"/>
      <c r="E71" s="108"/>
    </row>
    <row r="72" spans="1:5" s="53" customFormat="1" ht="12" customHeight="1">
      <c r="A72" s="199" t="s">
        <v>99</v>
      </c>
      <c r="B72" s="309" t="s">
        <v>490</v>
      </c>
      <c r="C72" s="172"/>
      <c r="D72" s="172"/>
      <c r="E72" s="108"/>
    </row>
    <row r="73" spans="1:5" s="53" customFormat="1" ht="12" customHeight="1">
      <c r="A73" s="199" t="s">
        <v>244</v>
      </c>
      <c r="B73" s="309" t="s">
        <v>222</v>
      </c>
      <c r="C73" s="172"/>
      <c r="D73" s="172"/>
      <c r="E73" s="108"/>
    </row>
    <row r="74" spans="1:5" s="53" customFormat="1" ht="12" customHeight="1" thickBot="1">
      <c r="A74" s="200" t="s">
        <v>245</v>
      </c>
      <c r="B74" s="310" t="s">
        <v>491</v>
      </c>
      <c r="C74" s="172"/>
      <c r="D74" s="172"/>
      <c r="E74" s="108"/>
    </row>
    <row r="75" spans="1:5" s="53" customFormat="1" ht="12" customHeight="1" thickBot="1">
      <c r="A75" s="201" t="s">
        <v>223</v>
      </c>
      <c r="B75" s="111" t="s">
        <v>224</v>
      </c>
      <c r="C75" s="168">
        <f>SUM(C76:C77)</f>
        <v>0</v>
      </c>
      <c r="D75" s="168">
        <f>SUM(D76:D77)</f>
        <v>0</v>
      </c>
      <c r="E75" s="104">
        <f>SUM(E76:E77)</f>
        <v>0</v>
      </c>
    </row>
    <row r="76" spans="1:5" s="53" customFormat="1" ht="12" customHeight="1">
      <c r="A76" s="198" t="s">
        <v>246</v>
      </c>
      <c r="B76" s="181" t="s">
        <v>225</v>
      </c>
      <c r="C76" s="172"/>
      <c r="D76" s="172"/>
      <c r="E76" s="108"/>
    </row>
    <row r="77" spans="1:5" s="53" customFormat="1" ht="12" customHeight="1" thickBot="1">
      <c r="A77" s="200" t="s">
        <v>247</v>
      </c>
      <c r="B77" s="183" t="s">
        <v>226</v>
      </c>
      <c r="C77" s="172"/>
      <c r="D77" s="172"/>
      <c r="E77" s="108"/>
    </row>
    <row r="78" spans="1:5" s="52" customFormat="1" ht="12" customHeight="1" thickBot="1">
      <c r="A78" s="201" t="s">
        <v>227</v>
      </c>
      <c r="B78" s="111" t="s">
        <v>228</v>
      </c>
      <c r="C78" s="168">
        <f>SUM(C79:C81)</f>
        <v>0</v>
      </c>
      <c r="D78" s="168">
        <f>SUM(D79:D81)</f>
        <v>0</v>
      </c>
      <c r="E78" s="104">
        <f>SUM(E79:E81)</f>
        <v>0</v>
      </c>
    </row>
    <row r="79" spans="1:5" s="53" customFormat="1" ht="12" customHeight="1">
      <c r="A79" s="198" t="s">
        <v>248</v>
      </c>
      <c r="B79" s="181" t="s">
        <v>229</v>
      </c>
      <c r="C79" s="172"/>
      <c r="D79" s="172"/>
      <c r="E79" s="108"/>
    </row>
    <row r="80" spans="1:5" s="53" customFormat="1" ht="12" customHeight="1">
      <c r="A80" s="199" t="s">
        <v>249</v>
      </c>
      <c r="B80" s="182" t="s">
        <v>230</v>
      </c>
      <c r="C80" s="172"/>
      <c r="D80" s="172"/>
      <c r="E80" s="108"/>
    </row>
    <row r="81" spans="1:5" s="53" customFormat="1" ht="12" customHeight="1" thickBot="1">
      <c r="A81" s="200" t="s">
        <v>250</v>
      </c>
      <c r="B81" s="183" t="s">
        <v>492</v>
      </c>
      <c r="C81" s="172"/>
      <c r="D81" s="172"/>
      <c r="E81" s="108"/>
    </row>
    <row r="82" spans="1:5" s="53" customFormat="1" ht="12" customHeight="1" thickBot="1">
      <c r="A82" s="201" t="s">
        <v>231</v>
      </c>
      <c r="B82" s="111" t="s">
        <v>251</v>
      </c>
      <c r="C82" s="168">
        <f>SUM(C83:C86)</f>
        <v>0</v>
      </c>
      <c r="D82" s="168">
        <f>SUM(D83:D86)</f>
        <v>0</v>
      </c>
      <c r="E82" s="104">
        <f>SUM(E83:E86)</f>
        <v>0</v>
      </c>
    </row>
    <row r="83" spans="1:5" s="53" customFormat="1" ht="12" customHeight="1">
      <c r="A83" s="202" t="s">
        <v>232</v>
      </c>
      <c r="B83" s="181" t="s">
        <v>233</v>
      </c>
      <c r="C83" s="172"/>
      <c r="D83" s="172"/>
      <c r="E83" s="108"/>
    </row>
    <row r="84" spans="1:5" s="53" customFormat="1" ht="12" customHeight="1">
      <c r="A84" s="203" t="s">
        <v>234</v>
      </c>
      <c r="B84" s="182" t="s">
        <v>235</v>
      </c>
      <c r="C84" s="172"/>
      <c r="D84" s="172"/>
      <c r="E84" s="108"/>
    </row>
    <row r="85" spans="1:5" s="53" customFormat="1" ht="12" customHeight="1">
      <c r="A85" s="203" t="s">
        <v>236</v>
      </c>
      <c r="B85" s="182" t="s">
        <v>237</v>
      </c>
      <c r="C85" s="172"/>
      <c r="D85" s="172"/>
      <c r="E85" s="108"/>
    </row>
    <row r="86" spans="1:5" s="52" customFormat="1" ht="12" customHeight="1" thickBot="1">
      <c r="A86" s="204" t="s">
        <v>238</v>
      </c>
      <c r="B86" s="183" t="s">
        <v>239</v>
      </c>
      <c r="C86" s="172"/>
      <c r="D86" s="172"/>
      <c r="E86" s="108"/>
    </row>
    <row r="87" spans="1:5" s="52" customFormat="1" ht="12" customHeight="1" thickBot="1">
      <c r="A87" s="201" t="s">
        <v>240</v>
      </c>
      <c r="B87" s="111" t="s">
        <v>376</v>
      </c>
      <c r="C87" s="224"/>
      <c r="D87" s="224"/>
      <c r="E87" s="225"/>
    </row>
    <row r="88" spans="1:5" s="52" customFormat="1" ht="12" customHeight="1" thickBot="1">
      <c r="A88" s="201" t="s">
        <v>394</v>
      </c>
      <c r="B88" s="111" t="s">
        <v>241</v>
      </c>
      <c r="C88" s="224"/>
      <c r="D88" s="224"/>
      <c r="E88" s="225"/>
    </row>
    <row r="89" spans="1:5" s="52" customFormat="1" ht="12" customHeight="1" thickBot="1">
      <c r="A89" s="201" t="s">
        <v>395</v>
      </c>
      <c r="B89" s="188" t="s">
        <v>379</v>
      </c>
      <c r="C89" s="174">
        <f>+C66+C70+C75+C78+C82+C88+C87</f>
        <v>0</v>
      </c>
      <c r="D89" s="174">
        <f>+D66+D70+D75+D78+D82+D88+D87</f>
        <v>0</v>
      </c>
      <c r="E89" s="210">
        <f>+E66+E70+E75+E78+E82+E88+E87</f>
        <v>0</v>
      </c>
    </row>
    <row r="90" spans="1:5" s="52" customFormat="1" ht="12" customHeight="1" thickBot="1">
      <c r="A90" s="205" t="s">
        <v>396</v>
      </c>
      <c r="B90" s="189" t="s">
        <v>397</v>
      </c>
      <c r="C90" s="174">
        <f>+C65+C89</f>
        <v>0</v>
      </c>
      <c r="D90" s="174">
        <f>+D65+D89</f>
        <v>0</v>
      </c>
      <c r="E90" s="210">
        <f>+E65+E89</f>
        <v>0</v>
      </c>
    </row>
    <row r="91" spans="1:3" s="53" customFormat="1" ht="15" customHeight="1" thickBot="1">
      <c r="A91" s="88"/>
      <c r="B91" s="89"/>
      <c r="C91" s="150"/>
    </row>
    <row r="92" spans="1:5" s="46" customFormat="1" ht="16.5" customHeight="1" thickBot="1">
      <c r="A92" s="856" t="s">
        <v>40</v>
      </c>
      <c r="B92" s="857"/>
      <c r="C92" s="857"/>
      <c r="D92" s="857"/>
      <c r="E92" s="858"/>
    </row>
    <row r="93" spans="1:5" s="54" customFormat="1" ht="12" customHeight="1" thickBot="1">
      <c r="A93" s="175" t="s">
        <v>6</v>
      </c>
      <c r="B93" s="24" t="s">
        <v>401</v>
      </c>
      <c r="C93" s="167">
        <f>+C94+C95+C96+C97+C98+C111</f>
        <v>0</v>
      </c>
      <c r="D93" s="167">
        <f>+D94+D95+D96+D97+D98+D111</f>
        <v>0</v>
      </c>
      <c r="E93" s="237">
        <f>+E94+E95+E96+E97+E98+E111</f>
        <v>0</v>
      </c>
    </row>
    <row r="94" spans="1:5" ht="12" customHeight="1">
      <c r="A94" s="206" t="s">
        <v>63</v>
      </c>
      <c r="B94" s="8" t="s">
        <v>35</v>
      </c>
      <c r="C94" s="244"/>
      <c r="D94" s="244"/>
      <c r="E94" s="238"/>
    </row>
    <row r="95" spans="1:5" ht="12" customHeight="1">
      <c r="A95" s="199" t="s">
        <v>64</v>
      </c>
      <c r="B95" s="6" t="s">
        <v>122</v>
      </c>
      <c r="C95" s="169"/>
      <c r="D95" s="169"/>
      <c r="E95" s="105"/>
    </row>
    <row r="96" spans="1:5" ht="12" customHeight="1">
      <c r="A96" s="199" t="s">
        <v>65</v>
      </c>
      <c r="B96" s="6" t="s">
        <v>90</v>
      </c>
      <c r="C96" s="171"/>
      <c r="D96" s="169"/>
      <c r="E96" s="107"/>
    </row>
    <row r="97" spans="1:5" ht="12" customHeight="1">
      <c r="A97" s="199" t="s">
        <v>66</v>
      </c>
      <c r="B97" s="9" t="s">
        <v>123</v>
      </c>
      <c r="C97" s="171"/>
      <c r="D97" s="257"/>
      <c r="E97" s="107"/>
    </row>
    <row r="98" spans="1:5" ht="12" customHeight="1">
      <c r="A98" s="199" t="s">
        <v>75</v>
      </c>
      <c r="B98" s="17" t="s">
        <v>124</v>
      </c>
      <c r="C98" s="171"/>
      <c r="D98" s="257"/>
      <c r="E98" s="107"/>
    </row>
    <row r="99" spans="1:5" ht="12" customHeight="1">
      <c r="A99" s="199" t="s">
        <v>67</v>
      </c>
      <c r="B99" s="6" t="s">
        <v>398</v>
      </c>
      <c r="C99" s="171"/>
      <c r="D99" s="257"/>
      <c r="E99" s="107"/>
    </row>
    <row r="100" spans="1:5" ht="12" customHeight="1">
      <c r="A100" s="199" t="s">
        <v>68</v>
      </c>
      <c r="B100" s="64" t="s">
        <v>342</v>
      </c>
      <c r="C100" s="171"/>
      <c r="D100" s="257"/>
      <c r="E100" s="107"/>
    </row>
    <row r="101" spans="1:5" ht="12" customHeight="1">
      <c r="A101" s="199" t="s">
        <v>76</v>
      </c>
      <c r="B101" s="64" t="s">
        <v>341</v>
      </c>
      <c r="C101" s="171"/>
      <c r="D101" s="257"/>
      <c r="E101" s="107"/>
    </row>
    <row r="102" spans="1:5" ht="12" customHeight="1">
      <c r="A102" s="199" t="s">
        <v>77</v>
      </c>
      <c r="B102" s="64" t="s">
        <v>257</v>
      </c>
      <c r="C102" s="171"/>
      <c r="D102" s="257"/>
      <c r="E102" s="107"/>
    </row>
    <row r="103" spans="1:5" ht="12" customHeight="1">
      <c r="A103" s="199" t="s">
        <v>78</v>
      </c>
      <c r="B103" s="65" t="s">
        <v>258</v>
      </c>
      <c r="C103" s="171"/>
      <c r="D103" s="257"/>
      <c r="E103" s="107"/>
    </row>
    <row r="104" spans="1:5" ht="12" customHeight="1">
      <c r="A104" s="199" t="s">
        <v>79</v>
      </c>
      <c r="B104" s="65" t="s">
        <v>259</v>
      </c>
      <c r="C104" s="171"/>
      <c r="D104" s="257"/>
      <c r="E104" s="107"/>
    </row>
    <row r="105" spans="1:5" ht="12" customHeight="1">
      <c r="A105" s="199" t="s">
        <v>81</v>
      </c>
      <c r="B105" s="64" t="s">
        <v>260</v>
      </c>
      <c r="C105" s="171"/>
      <c r="D105" s="257"/>
      <c r="E105" s="107"/>
    </row>
    <row r="106" spans="1:5" ht="12" customHeight="1">
      <c r="A106" s="199" t="s">
        <v>125</v>
      </c>
      <c r="B106" s="64" t="s">
        <v>261</v>
      </c>
      <c r="C106" s="171"/>
      <c r="D106" s="257"/>
      <c r="E106" s="107"/>
    </row>
    <row r="107" spans="1:5" ht="12" customHeight="1">
      <c r="A107" s="199" t="s">
        <v>255</v>
      </c>
      <c r="B107" s="65" t="s">
        <v>262</v>
      </c>
      <c r="C107" s="169"/>
      <c r="D107" s="257"/>
      <c r="E107" s="107"/>
    </row>
    <row r="108" spans="1:5" ht="12" customHeight="1">
      <c r="A108" s="207" t="s">
        <v>256</v>
      </c>
      <c r="B108" s="66" t="s">
        <v>263</v>
      </c>
      <c r="C108" s="171"/>
      <c r="D108" s="257"/>
      <c r="E108" s="107"/>
    </row>
    <row r="109" spans="1:5" ht="12" customHeight="1">
      <c r="A109" s="199" t="s">
        <v>339</v>
      </c>
      <c r="B109" s="66" t="s">
        <v>264</v>
      </c>
      <c r="C109" s="171"/>
      <c r="D109" s="257"/>
      <c r="E109" s="107"/>
    </row>
    <row r="110" spans="1:5" ht="12" customHeight="1">
      <c r="A110" s="199" t="s">
        <v>340</v>
      </c>
      <c r="B110" s="65" t="s">
        <v>265</v>
      </c>
      <c r="C110" s="169"/>
      <c r="D110" s="256"/>
      <c r="E110" s="105"/>
    </row>
    <row r="111" spans="1:5" ht="12" customHeight="1">
      <c r="A111" s="199" t="s">
        <v>344</v>
      </c>
      <c r="B111" s="9" t="s">
        <v>36</v>
      </c>
      <c r="C111" s="169"/>
      <c r="D111" s="256"/>
      <c r="E111" s="105"/>
    </row>
    <row r="112" spans="1:5" ht="12" customHeight="1">
      <c r="A112" s="200" t="s">
        <v>345</v>
      </c>
      <c r="B112" s="6" t="s">
        <v>399</v>
      </c>
      <c r="C112" s="171"/>
      <c r="D112" s="257"/>
      <c r="E112" s="107"/>
    </row>
    <row r="113" spans="1:5" ht="12" customHeight="1" thickBot="1">
      <c r="A113" s="208" t="s">
        <v>346</v>
      </c>
      <c r="B113" s="67" t="s">
        <v>400</v>
      </c>
      <c r="C113" s="245"/>
      <c r="D113" s="294"/>
      <c r="E113" s="239"/>
    </row>
    <row r="114" spans="1:5" ht="12" customHeight="1" thickBot="1">
      <c r="A114" s="25" t="s">
        <v>7</v>
      </c>
      <c r="B114" s="23" t="s">
        <v>266</v>
      </c>
      <c r="C114" s="168">
        <f>+C115+C117+C119</f>
        <v>0</v>
      </c>
      <c r="D114" s="254">
        <f>+D115+D117+D119</f>
        <v>0</v>
      </c>
      <c r="E114" s="104">
        <f>+E115+E117+E119</f>
        <v>0</v>
      </c>
    </row>
    <row r="115" spans="1:5" ht="12" customHeight="1">
      <c r="A115" s="198" t="s">
        <v>69</v>
      </c>
      <c r="B115" s="6" t="s">
        <v>143</v>
      </c>
      <c r="C115" s="170"/>
      <c r="D115" s="255"/>
      <c r="E115" s="106"/>
    </row>
    <row r="116" spans="1:5" ht="12" customHeight="1">
      <c r="A116" s="198" t="s">
        <v>70</v>
      </c>
      <c r="B116" s="10" t="s">
        <v>270</v>
      </c>
      <c r="C116" s="170"/>
      <c r="D116" s="255"/>
      <c r="E116" s="106"/>
    </row>
    <row r="117" spans="1:5" ht="12" customHeight="1">
      <c r="A117" s="198" t="s">
        <v>71</v>
      </c>
      <c r="B117" s="10" t="s">
        <v>126</v>
      </c>
      <c r="C117" s="169"/>
      <c r="D117" s="256"/>
      <c r="E117" s="105"/>
    </row>
    <row r="118" spans="1:5" ht="12" customHeight="1">
      <c r="A118" s="198" t="s">
        <v>72</v>
      </c>
      <c r="B118" s="10" t="s">
        <v>271</v>
      </c>
      <c r="C118" s="169"/>
      <c r="D118" s="256"/>
      <c r="E118" s="105"/>
    </row>
    <row r="119" spans="1:5" ht="12" customHeight="1">
      <c r="A119" s="198" t="s">
        <v>73</v>
      </c>
      <c r="B119" s="113" t="s">
        <v>145</v>
      </c>
      <c r="C119" s="169"/>
      <c r="D119" s="256"/>
      <c r="E119" s="105"/>
    </row>
    <row r="120" spans="1:5" ht="12" customHeight="1">
      <c r="A120" s="198" t="s">
        <v>80</v>
      </c>
      <c r="B120" s="112" t="s">
        <v>331</v>
      </c>
      <c r="C120" s="169"/>
      <c r="D120" s="256"/>
      <c r="E120" s="105"/>
    </row>
    <row r="121" spans="1:5" ht="12" customHeight="1">
      <c r="A121" s="198" t="s">
        <v>82</v>
      </c>
      <c r="B121" s="177" t="s">
        <v>276</v>
      </c>
      <c r="C121" s="169"/>
      <c r="D121" s="256"/>
      <c r="E121" s="105"/>
    </row>
    <row r="122" spans="1:5" ht="12" customHeight="1">
      <c r="A122" s="198" t="s">
        <v>127</v>
      </c>
      <c r="B122" s="65" t="s">
        <v>259</v>
      </c>
      <c r="C122" s="169"/>
      <c r="D122" s="256"/>
      <c r="E122" s="105"/>
    </row>
    <row r="123" spans="1:5" ht="12" customHeight="1">
      <c r="A123" s="198" t="s">
        <v>128</v>
      </c>
      <c r="B123" s="65" t="s">
        <v>275</v>
      </c>
      <c r="C123" s="169"/>
      <c r="D123" s="256"/>
      <c r="E123" s="105"/>
    </row>
    <row r="124" spans="1:5" ht="12" customHeight="1">
      <c r="A124" s="198" t="s">
        <v>129</v>
      </c>
      <c r="B124" s="65" t="s">
        <v>274</v>
      </c>
      <c r="C124" s="169"/>
      <c r="D124" s="256"/>
      <c r="E124" s="105"/>
    </row>
    <row r="125" spans="1:5" ht="12" customHeight="1">
      <c r="A125" s="198" t="s">
        <v>267</v>
      </c>
      <c r="B125" s="65" t="s">
        <v>262</v>
      </c>
      <c r="C125" s="169"/>
      <c r="D125" s="256"/>
      <c r="E125" s="105"/>
    </row>
    <row r="126" spans="1:5" ht="12" customHeight="1">
      <c r="A126" s="198" t="s">
        <v>268</v>
      </c>
      <c r="B126" s="65" t="s">
        <v>273</v>
      </c>
      <c r="C126" s="169"/>
      <c r="D126" s="256"/>
      <c r="E126" s="105"/>
    </row>
    <row r="127" spans="1:5" ht="12" customHeight="1" thickBot="1">
      <c r="A127" s="207" t="s">
        <v>269</v>
      </c>
      <c r="B127" s="65" t="s">
        <v>272</v>
      </c>
      <c r="C127" s="171"/>
      <c r="D127" s="257"/>
      <c r="E127" s="107"/>
    </row>
    <row r="128" spans="1:5" ht="12" customHeight="1" thickBot="1">
      <c r="A128" s="25" t="s">
        <v>8</v>
      </c>
      <c r="B128" s="58" t="s">
        <v>349</v>
      </c>
      <c r="C128" s="168">
        <f>+C93+C114</f>
        <v>0</v>
      </c>
      <c r="D128" s="254">
        <f>+D93+D114</f>
        <v>0</v>
      </c>
      <c r="E128" s="104">
        <f>+E93+E114</f>
        <v>0</v>
      </c>
    </row>
    <row r="129" spans="1:5" ht="12" customHeight="1" thickBot="1">
      <c r="A129" s="25" t="s">
        <v>9</v>
      </c>
      <c r="B129" s="58" t="s">
        <v>350</v>
      </c>
      <c r="C129" s="168">
        <f>+C130+C131+C132</f>
        <v>0</v>
      </c>
      <c r="D129" s="254">
        <f>+D130+D131+D132</f>
        <v>0</v>
      </c>
      <c r="E129" s="104">
        <f>+E130+E131+E132</f>
        <v>0</v>
      </c>
    </row>
    <row r="130" spans="1:5" s="54" customFormat="1" ht="12" customHeight="1">
      <c r="A130" s="198" t="s">
        <v>176</v>
      </c>
      <c r="B130" s="7" t="s">
        <v>404</v>
      </c>
      <c r="C130" s="169"/>
      <c r="D130" s="256"/>
      <c r="E130" s="105"/>
    </row>
    <row r="131" spans="1:5" ht="12" customHeight="1">
      <c r="A131" s="198" t="s">
        <v>177</v>
      </c>
      <c r="B131" s="7" t="s">
        <v>358</v>
      </c>
      <c r="C131" s="169"/>
      <c r="D131" s="256"/>
      <c r="E131" s="105"/>
    </row>
    <row r="132" spans="1:5" ht="12" customHeight="1" thickBot="1">
      <c r="A132" s="207" t="s">
        <v>178</v>
      </c>
      <c r="B132" s="5" t="s">
        <v>403</v>
      </c>
      <c r="C132" s="169"/>
      <c r="D132" s="256"/>
      <c r="E132" s="105"/>
    </row>
    <row r="133" spans="1:5" ht="12" customHeight="1" thickBot="1">
      <c r="A133" s="25" t="s">
        <v>10</v>
      </c>
      <c r="B133" s="58" t="s">
        <v>351</v>
      </c>
      <c r="C133" s="168">
        <f>+C134+C135+C136+C137+C138+C139</f>
        <v>0</v>
      </c>
      <c r="D133" s="254">
        <f>+D134+D135+D136+D137+D138+D139</f>
        <v>0</v>
      </c>
      <c r="E133" s="104">
        <f>+E134+E135+E136+E137+E138+E139</f>
        <v>0</v>
      </c>
    </row>
    <row r="134" spans="1:5" ht="12" customHeight="1">
      <c r="A134" s="198" t="s">
        <v>56</v>
      </c>
      <c r="B134" s="7" t="s">
        <v>360</v>
      </c>
      <c r="C134" s="169"/>
      <c r="D134" s="256"/>
      <c r="E134" s="105"/>
    </row>
    <row r="135" spans="1:5" ht="12" customHeight="1">
      <c r="A135" s="198" t="s">
        <v>57</v>
      </c>
      <c r="B135" s="7" t="s">
        <v>352</v>
      </c>
      <c r="C135" s="169"/>
      <c r="D135" s="256"/>
      <c r="E135" s="105"/>
    </row>
    <row r="136" spans="1:5" ht="12" customHeight="1">
      <c r="A136" s="198" t="s">
        <v>58</v>
      </c>
      <c r="B136" s="7" t="s">
        <v>353</v>
      </c>
      <c r="C136" s="169"/>
      <c r="D136" s="256"/>
      <c r="E136" s="105"/>
    </row>
    <row r="137" spans="1:5" ht="12" customHeight="1">
      <c r="A137" s="198" t="s">
        <v>114</v>
      </c>
      <c r="B137" s="7" t="s">
        <v>402</v>
      </c>
      <c r="C137" s="169"/>
      <c r="D137" s="256"/>
      <c r="E137" s="105"/>
    </row>
    <row r="138" spans="1:5" ht="12" customHeight="1">
      <c r="A138" s="198" t="s">
        <v>115</v>
      </c>
      <c r="B138" s="7" t="s">
        <v>355</v>
      </c>
      <c r="C138" s="169"/>
      <c r="D138" s="256"/>
      <c r="E138" s="105"/>
    </row>
    <row r="139" spans="1:5" s="54" customFormat="1" ht="12" customHeight="1" thickBot="1">
      <c r="A139" s="207" t="s">
        <v>116</v>
      </c>
      <c r="B139" s="5" t="s">
        <v>356</v>
      </c>
      <c r="C139" s="169"/>
      <c r="D139" s="256"/>
      <c r="E139" s="105"/>
    </row>
    <row r="140" spans="1:11" ht="12" customHeight="1" thickBot="1">
      <c r="A140" s="25" t="s">
        <v>11</v>
      </c>
      <c r="B140" s="58" t="s">
        <v>417</v>
      </c>
      <c r="C140" s="174">
        <f>+C141+C142+C144+C145+C143</f>
        <v>0</v>
      </c>
      <c r="D140" s="258">
        <f>+D141+D142+D144+D145+D143</f>
        <v>0</v>
      </c>
      <c r="E140" s="210">
        <f>+E141+E142+E144+E145+E143</f>
        <v>0</v>
      </c>
      <c r="K140" s="97"/>
    </row>
    <row r="141" spans="1:5" ht="12.75">
      <c r="A141" s="198" t="s">
        <v>59</v>
      </c>
      <c r="B141" s="7" t="s">
        <v>277</v>
      </c>
      <c r="C141" s="169"/>
      <c r="D141" s="256"/>
      <c r="E141" s="105"/>
    </row>
    <row r="142" spans="1:5" ht="12" customHeight="1">
      <c r="A142" s="198" t="s">
        <v>60</v>
      </c>
      <c r="B142" s="7" t="s">
        <v>278</v>
      </c>
      <c r="C142" s="169"/>
      <c r="D142" s="256"/>
      <c r="E142" s="105"/>
    </row>
    <row r="143" spans="1:5" ht="12" customHeight="1">
      <c r="A143" s="198" t="s">
        <v>194</v>
      </c>
      <c r="B143" s="7" t="s">
        <v>416</v>
      </c>
      <c r="C143" s="169"/>
      <c r="D143" s="256"/>
      <c r="E143" s="105"/>
    </row>
    <row r="144" spans="1:5" s="54" customFormat="1" ht="12" customHeight="1">
      <c r="A144" s="198" t="s">
        <v>195</v>
      </c>
      <c r="B144" s="7" t="s">
        <v>365</v>
      </c>
      <c r="C144" s="169"/>
      <c r="D144" s="256"/>
      <c r="E144" s="105"/>
    </row>
    <row r="145" spans="1:5" s="54" customFormat="1" ht="12" customHeight="1" thickBot="1">
      <c r="A145" s="207" t="s">
        <v>196</v>
      </c>
      <c r="B145" s="5" t="s">
        <v>294</v>
      </c>
      <c r="C145" s="169"/>
      <c r="D145" s="256"/>
      <c r="E145" s="105"/>
    </row>
    <row r="146" spans="1:5" s="54" customFormat="1" ht="12" customHeight="1" thickBot="1">
      <c r="A146" s="25" t="s">
        <v>12</v>
      </c>
      <c r="B146" s="58" t="s">
        <v>366</v>
      </c>
      <c r="C146" s="247">
        <f>+C147+C148+C149+C150+C151</f>
        <v>0</v>
      </c>
      <c r="D146" s="259">
        <f>+D147+D148+D149+D150+D151</f>
        <v>0</v>
      </c>
      <c r="E146" s="241">
        <f>+E147+E148+E149+E150+E151</f>
        <v>0</v>
      </c>
    </row>
    <row r="147" spans="1:5" s="54" customFormat="1" ht="12" customHeight="1">
      <c r="A147" s="198" t="s">
        <v>61</v>
      </c>
      <c r="B147" s="7" t="s">
        <v>361</v>
      </c>
      <c r="C147" s="169"/>
      <c r="D147" s="256"/>
      <c r="E147" s="105"/>
    </row>
    <row r="148" spans="1:5" s="54" customFormat="1" ht="12" customHeight="1">
      <c r="A148" s="198" t="s">
        <v>62</v>
      </c>
      <c r="B148" s="7" t="s">
        <v>368</v>
      </c>
      <c r="C148" s="169"/>
      <c r="D148" s="256"/>
      <c r="E148" s="105"/>
    </row>
    <row r="149" spans="1:5" s="54" customFormat="1" ht="12" customHeight="1">
      <c r="A149" s="198" t="s">
        <v>206</v>
      </c>
      <c r="B149" s="7" t="s">
        <v>363</v>
      </c>
      <c r="C149" s="169"/>
      <c r="D149" s="256"/>
      <c r="E149" s="105"/>
    </row>
    <row r="150" spans="1:5" s="54" customFormat="1" ht="12" customHeight="1">
      <c r="A150" s="198" t="s">
        <v>207</v>
      </c>
      <c r="B150" s="7" t="s">
        <v>405</v>
      </c>
      <c r="C150" s="169"/>
      <c r="D150" s="256"/>
      <c r="E150" s="105"/>
    </row>
    <row r="151" spans="1:5" ht="12.75" customHeight="1" thickBot="1">
      <c r="A151" s="207" t="s">
        <v>367</v>
      </c>
      <c r="B151" s="5" t="s">
        <v>370</v>
      </c>
      <c r="C151" s="171"/>
      <c r="D151" s="257"/>
      <c r="E151" s="107"/>
    </row>
    <row r="152" spans="1:5" ht="12.75" customHeight="1" thickBot="1">
      <c r="A152" s="236" t="s">
        <v>13</v>
      </c>
      <c r="B152" s="58" t="s">
        <v>371</v>
      </c>
      <c r="C152" s="247"/>
      <c r="D152" s="259"/>
      <c r="E152" s="241"/>
    </row>
    <row r="153" spans="1:5" ht="12.75" customHeight="1" thickBot="1">
      <c r="A153" s="236" t="s">
        <v>14</v>
      </c>
      <c r="B153" s="58" t="s">
        <v>372</v>
      </c>
      <c r="C153" s="247"/>
      <c r="D153" s="259"/>
      <c r="E153" s="241"/>
    </row>
    <row r="154" spans="1:5" ht="12" customHeight="1" thickBot="1">
      <c r="A154" s="25" t="s">
        <v>15</v>
      </c>
      <c r="B154" s="58" t="s">
        <v>374</v>
      </c>
      <c r="C154" s="249">
        <f>+C129+C133+C140+C146+C152+C153</f>
        <v>0</v>
      </c>
      <c r="D154" s="261">
        <f>+D129+D133+D140+D146+D152+D153</f>
        <v>0</v>
      </c>
      <c r="E154" s="243">
        <f>+E129+E133+E140+E146+E152+E153</f>
        <v>0</v>
      </c>
    </row>
    <row r="155" spans="1:5" ht="15" customHeight="1" thickBot="1">
      <c r="A155" s="209" t="s">
        <v>16</v>
      </c>
      <c r="B155" s="155" t="s">
        <v>373</v>
      </c>
      <c r="C155" s="249">
        <f>+C128+C154</f>
        <v>0</v>
      </c>
      <c r="D155" s="261">
        <f>+D128+D154</f>
        <v>0</v>
      </c>
      <c r="E155" s="243">
        <f>+E128+E154</f>
        <v>0</v>
      </c>
    </row>
    <row r="156" spans="1:5" ht="13.5" thickBot="1">
      <c r="A156" s="158"/>
      <c r="B156" s="159"/>
      <c r="C156" s="662">
        <f>C90-C155</f>
        <v>0</v>
      </c>
      <c r="D156" s="662">
        <f>D90-D155</f>
        <v>0</v>
      </c>
      <c r="E156" s="160"/>
    </row>
    <row r="157" spans="1:5" ht="15" customHeight="1" thickBot="1">
      <c r="A157" s="303" t="s">
        <v>485</v>
      </c>
      <c r="B157" s="304"/>
      <c r="C157" s="293"/>
      <c r="D157" s="293"/>
      <c r="E157" s="292"/>
    </row>
    <row r="158" spans="1:5" ht="14.25" customHeight="1" thickBot="1">
      <c r="A158" s="305" t="s">
        <v>486</v>
      </c>
      <c r="B158" s="306"/>
      <c r="C158" s="293"/>
      <c r="D158" s="293"/>
      <c r="E158" s="292"/>
    </row>
  </sheetData>
  <sheetProtection sheet="1" formatCells="0"/>
  <mergeCells count="4">
    <mergeCell ref="B2:D2"/>
    <mergeCell ref="B3:D3"/>
    <mergeCell ref="A7:E7"/>
    <mergeCell ref="A92:E92"/>
  </mergeCells>
  <printOptions horizontalCentered="1"/>
  <pageMargins left="0.7874015748031497" right="0.7874015748031497" top="0.984251968503937" bottom="0.984251968503937" header="0.7874015748031497" footer="0.7874015748031497"/>
  <pageSetup orientation="portrait" paperSize="9" scale="73" r:id="rId1"/>
  <rowBreaks count="2" manualBreakCount="2">
    <brk id="69" max="255" man="1"/>
    <brk id="90" max="255" man="1"/>
  </rowBreaks>
</worksheet>
</file>

<file path=xl/worksheets/sheet17.xml><?xml version="1.0" encoding="utf-8"?>
<worksheet xmlns="http://schemas.openxmlformats.org/spreadsheetml/2006/main" xmlns:r="http://schemas.openxmlformats.org/officeDocument/2006/relationships">
  <sheetPr>
    <tabColor rgb="FF92D050"/>
  </sheetPr>
  <dimension ref="A1:K158"/>
  <sheetViews>
    <sheetView zoomScale="120" zoomScaleNormal="120" zoomScaleSheetLayoutView="100" workbookViewId="0" topLeftCell="A1">
      <selection activeCell="E158" sqref="E158"/>
    </sheetView>
  </sheetViews>
  <sheetFormatPr defaultColWidth="9.00390625" defaultRowHeight="12.75"/>
  <cols>
    <col min="1" max="1" width="16.125" style="161" customWidth="1"/>
    <col min="2" max="2" width="62.00390625" style="162" customWidth="1"/>
    <col min="3" max="3" width="14.125" style="163" customWidth="1"/>
    <col min="4" max="5" width="14.125" style="2" customWidth="1"/>
    <col min="6" max="16384" width="9.375" style="2" customWidth="1"/>
  </cols>
  <sheetData>
    <row r="1" spans="1:5" s="1" customFormat="1" ht="16.5" customHeight="1" thickBot="1">
      <c r="A1" s="325"/>
      <c r="B1" s="860" t="str">
        <f>CONCATENATE("6.1.3. melléklet ",Z_ALAPADATOK!A7," ",Z_ALAPADATOK!B7," ",Z_ALAPADATOK!C7," ",Z_ALAPADATOK!D7," ",Z_ALAPADATOK!E7," ",Z_ALAPADATOK!F7," ",Z_ALAPADATOK!G7," ",Z_ALAPADATOK!H7)</f>
        <v>6.1.3. melléklet a 4 / 2020. ( VII.17. ) önkormányzati rendelethez</v>
      </c>
      <c r="C1" s="861"/>
      <c r="D1" s="861"/>
      <c r="E1" s="861"/>
    </row>
    <row r="2" spans="1:5" s="50" customFormat="1" ht="21" customHeight="1" thickBot="1">
      <c r="A2" s="334" t="s">
        <v>44</v>
      </c>
      <c r="B2" s="859" t="str">
        <f>CONCATENATE(Z_ALAPADATOK!A3)</f>
        <v>Kállósemjén Nagyközség Önkormányzata</v>
      </c>
      <c r="C2" s="859"/>
      <c r="D2" s="859"/>
      <c r="E2" s="335" t="s">
        <v>38</v>
      </c>
    </row>
    <row r="3" spans="1:5" s="50" customFormat="1" ht="24.75" thickBot="1">
      <c r="A3" s="334" t="s">
        <v>135</v>
      </c>
      <c r="B3" s="859" t="s">
        <v>415</v>
      </c>
      <c r="C3" s="859"/>
      <c r="D3" s="859"/>
      <c r="E3" s="336" t="s">
        <v>42</v>
      </c>
    </row>
    <row r="4" spans="1:5" s="51" customFormat="1" ht="15.75" customHeight="1" thickBot="1">
      <c r="A4" s="328"/>
      <c r="B4" s="328"/>
      <c r="C4" s="329"/>
      <c r="D4" s="330"/>
      <c r="E4" s="329" t="str">
        <f>'Z_6.1.2.sz.mell'!E4</f>
        <v> Forintban!</v>
      </c>
    </row>
    <row r="5" spans="1:5" ht="24.75" thickBot="1">
      <c r="A5" s="331" t="s">
        <v>136</v>
      </c>
      <c r="B5" s="332" t="s">
        <v>484</v>
      </c>
      <c r="C5" s="332" t="s">
        <v>449</v>
      </c>
      <c r="D5" s="333" t="s">
        <v>450</v>
      </c>
      <c r="E5" s="316" t="str">
        <f>CONCATENATE('Z_6.1.2.sz.mell'!E5)</f>
        <v>Teljesítés
2019. XII. 31.</v>
      </c>
    </row>
    <row r="6" spans="1:5" s="46" customFormat="1" ht="12.75" customHeight="1" thickBot="1">
      <c r="A6" s="76" t="s">
        <v>385</v>
      </c>
      <c r="B6" s="77" t="s">
        <v>386</v>
      </c>
      <c r="C6" s="77" t="s">
        <v>387</v>
      </c>
      <c r="D6" s="287" t="s">
        <v>389</v>
      </c>
      <c r="E6" s="78" t="s">
        <v>388</v>
      </c>
    </row>
    <row r="7" spans="1:5" s="46" customFormat="1" ht="15.75" customHeight="1" thickBot="1">
      <c r="A7" s="856" t="s">
        <v>39</v>
      </c>
      <c r="B7" s="857"/>
      <c r="C7" s="857"/>
      <c r="D7" s="857"/>
      <c r="E7" s="858"/>
    </row>
    <row r="8" spans="1:5" s="46" customFormat="1" ht="12" customHeight="1" thickBot="1">
      <c r="A8" s="25" t="s">
        <v>6</v>
      </c>
      <c r="B8" s="19" t="s">
        <v>161</v>
      </c>
      <c r="C8" s="168">
        <f>+C9+C10+C11+C12+C13+C14</f>
        <v>0</v>
      </c>
      <c r="D8" s="168">
        <f>+D9+D10+D11+D12+D13+D14</f>
        <v>0</v>
      </c>
      <c r="E8" s="104">
        <f>+E9+E10+E11+E12+E13+E14</f>
        <v>0</v>
      </c>
    </row>
    <row r="9" spans="1:5" s="52" customFormat="1" ht="12" customHeight="1">
      <c r="A9" s="198" t="s">
        <v>63</v>
      </c>
      <c r="B9" s="181" t="s">
        <v>162</v>
      </c>
      <c r="C9" s="170"/>
      <c r="D9" s="170"/>
      <c r="E9" s="106"/>
    </row>
    <row r="10" spans="1:5" s="53" customFormat="1" ht="12" customHeight="1">
      <c r="A10" s="199" t="s">
        <v>64</v>
      </c>
      <c r="B10" s="182" t="s">
        <v>163</v>
      </c>
      <c r="C10" s="169"/>
      <c r="D10" s="169"/>
      <c r="E10" s="105"/>
    </row>
    <row r="11" spans="1:5" s="53" customFormat="1" ht="12" customHeight="1">
      <c r="A11" s="199" t="s">
        <v>65</v>
      </c>
      <c r="B11" s="182" t="s">
        <v>164</v>
      </c>
      <c r="C11" s="169"/>
      <c r="D11" s="169"/>
      <c r="E11" s="105"/>
    </row>
    <row r="12" spans="1:5" s="53" customFormat="1" ht="12" customHeight="1">
      <c r="A12" s="199" t="s">
        <v>66</v>
      </c>
      <c r="B12" s="182" t="s">
        <v>165</v>
      </c>
      <c r="C12" s="169"/>
      <c r="D12" s="169"/>
      <c r="E12" s="105"/>
    </row>
    <row r="13" spans="1:5" s="53" customFormat="1" ht="12" customHeight="1">
      <c r="A13" s="199" t="s">
        <v>97</v>
      </c>
      <c r="B13" s="182" t="s">
        <v>393</v>
      </c>
      <c r="C13" s="169"/>
      <c r="D13" s="169"/>
      <c r="E13" s="105"/>
    </row>
    <row r="14" spans="1:5" s="52" customFormat="1" ht="12" customHeight="1" thickBot="1">
      <c r="A14" s="200" t="s">
        <v>67</v>
      </c>
      <c r="B14" s="183" t="s">
        <v>334</v>
      </c>
      <c r="C14" s="169"/>
      <c r="D14" s="169"/>
      <c r="E14" s="105"/>
    </row>
    <row r="15" spans="1:5" s="52" customFormat="1" ht="12" customHeight="1" thickBot="1">
      <c r="A15" s="25" t="s">
        <v>7</v>
      </c>
      <c r="B15" s="111" t="s">
        <v>166</v>
      </c>
      <c r="C15" s="168">
        <f>+C16+C17+C18+C19+C20</f>
        <v>0</v>
      </c>
      <c r="D15" s="168">
        <f>+D16+D17+D18+D19+D20</f>
        <v>3675652</v>
      </c>
      <c r="E15" s="104">
        <f>+E16+E17+E18+E19+E20</f>
        <v>17373962</v>
      </c>
    </row>
    <row r="16" spans="1:5" s="52" customFormat="1" ht="12" customHeight="1">
      <c r="A16" s="198" t="s">
        <v>69</v>
      </c>
      <c r="B16" s="181" t="s">
        <v>167</v>
      </c>
      <c r="C16" s="170"/>
      <c r="D16" s="170"/>
      <c r="E16" s="106"/>
    </row>
    <row r="17" spans="1:5" s="52" customFormat="1" ht="12" customHeight="1">
      <c r="A17" s="199" t="s">
        <v>70</v>
      </c>
      <c r="B17" s="182" t="s">
        <v>168</v>
      </c>
      <c r="C17" s="169"/>
      <c r="D17" s="169"/>
      <c r="E17" s="105"/>
    </row>
    <row r="18" spans="1:5" s="52" customFormat="1" ht="12" customHeight="1">
      <c r="A18" s="199" t="s">
        <v>71</v>
      </c>
      <c r="B18" s="182" t="s">
        <v>325</v>
      </c>
      <c r="C18" s="169"/>
      <c r="D18" s="169"/>
      <c r="E18" s="105"/>
    </row>
    <row r="19" spans="1:5" s="52" customFormat="1" ht="12" customHeight="1">
      <c r="A19" s="199" t="s">
        <v>72</v>
      </c>
      <c r="B19" s="182" t="s">
        <v>326</v>
      </c>
      <c r="C19" s="169"/>
      <c r="D19" s="169"/>
      <c r="E19" s="105"/>
    </row>
    <row r="20" spans="1:5" s="52" customFormat="1" ht="12" customHeight="1">
      <c r="A20" s="199" t="s">
        <v>73</v>
      </c>
      <c r="B20" s="182" t="s">
        <v>169</v>
      </c>
      <c r="C20" s="169"/>
      <c r="D20" s="169">
        <v>3675652</v>
      </c>
      <c r="E20" s="105">
        <v>17373962</v>
      </c>
    </row>
    <row r="21" spans="1:5" s="53" customFormat="1" ht="12" customHeight="1" thickBot="1">
      <c r="A21" s="200" t="s">
        <v>80</v>
      </c>
      <c r="B21" s="183" t="s">
        <v>170</v>
      </c>
      <c r="C21" s="171"/>
      <c r="D21" s="171"/>
      <c r="E21" s="107"/>
    </row>
    <row r="22" spans="1:5" s="53" customFormat="1" ht="12" customHeight="1" thickBot="1">
      <c r="A22" s="25" t="s">
        <v>8</v>
      </c>
      <c r="B22" s="19" t="s">
        <v>171</v>
      </c>
      <c r="C22" s="168">
        <f>+C23+C24+C25+C26+C27</f>
        <v>0</v>
      </c>
      <c r="D22" s="168">
        <f>+D23+D24+D25+D26+D27</f>
        <v>0</v>
      </c>
      <c r="E22" s="104">
        <f>+E23+E24+E25+E26+E27</f>
        <v>0</v>
      </c>
    </row>
    <row r="23" spans="1:5" s="53" customFormat="1" ht="12" customHeight="1">
      <c r="A23" s="198" t="s">
        <v>52</v>
      </c>
      <c r="B23" s="181" t="s">
        <v>172</v>
      </c>
      <c r="C23" s="170"/>
      <c r="D23" s="170"/>
      <c r="E23" s="106"/>
    </row>
    <row r="24" spans="1:5" s="52" customFormat="1" ht="12" customHeight="1">
      <c r="A24" s="199" t="s">
        <v>53</v>
      </c>
      <c r="B24" s="182" t="s">
        <v>173</v>
      </c>
      <c r="C24" s="169"/>
      <c r="D24" s="169"/>
      <c r="E24" s="105"/>
    </row>
    <row r="25" spans="1:5" s="53" customFormat="1" ht="12" customHeight="1">
      <c r="A25" s="199" t="s">
        <v>54</v>
      </c>
      <c r="B25" s="182" t="s">
        <v>327</v>
      </c>
      <c r="C25" s="169"/>
      <c r="D25" s="169"/>
      <c r="E25" s="105"/>
    </row>
    <row r="26" spans="1:5" s="53" customFormat="1" ht="12" customHeight="1">
      <c r="A26" s="199" t="s">
        <v>55</v>
      </c>
      <c r="B26" s="182" t="s">
        <v>328</v>
      </c>
      <c r="C26" s="169"/>
      <c r="D26" s="169"/>
      <c r="E26" s="105"/>
    </row>
    <row r="27" spans="1:5" s="53" customFormat="1" ht="12" customHeight="1">
      <c r="A27" s="199" t="s">
        <v>110</v>
      </c>
      <c r="B27" s="182" t="s">
        <v>174</v>
      </c>
      <c r="C27" s="169"/>
      <c r="D27" s="169"/>
      <c r="E27" s="105"/>
    </row>
    <row r="28" spans="1:5" s="53" customFormat="1" ht="12" customHeight="1" thickBot="1">
      <c r="A28" s="200" t="s">
        <v>111</v>
      </c>
      <c r="B28" s="183" t="s">
        <v>175</v>
      </c>
      <c r="C28" s="171"/>
      <c r="D28" s="171"/>
      <c r="E28" s="107"/>
    </row>
    <row r="29" spans="1:5" s="53" customFormat="1" ht="12" customHeight="1" thickBot="1">
      <c r="A29" s="25" t="s">
        <v>112</v>
      </c>
      <c r="B29" s="19" t="s">
        <v>476</v>
      </c>
      <c r="C29" s="174">
        <f>SUM(C30:C36)</f>
        <v>0</v>
      </c>
      <c r="D29" s="174">
        <f>SUM(D30:D36)</f>
        <v>0</v>
      </c>
      <c r="E29" s="210">
        <f>SUM(E30:E36)</f>
        <v>0</v>
      </c>
    </row>
    <row r="30" spans="1:5" s="53" customFormat="1" ht="12" customHeight="1">
      <c r="A30" s="198" t="s">
        <v>176</v>
      </c>
      <c r="B30" s="181" t="str">
        <f>'Z_1.1.sz.mell.'!B33</f>
        <v>Építményadó</v>
      </c>
      <c r="C30" s="170"/>
      <c r="D30" s="170"/>
      <c r="E30" s="106"/>
    </row>
    <row r="31" spans="1:5" s="53" customFormat="1" ht="12" customHeight="1">
      <c r="A31" s="199" t="s">
        <v>177</v>
      </c>
      <c r="B31" s="181" t="str">
        <f>'Z_1.1.sz.mell.'!B34</f>
        <v>Idegenforgalmi adó </v>
      </c>
      <c r="C31" s="169"/>
      <c r="D31" s="169"/>
      <c r="E31" s="105"/>
    </row>
    <row r="32" spans="1:5" s="53" customFormat="1" ht="12" customHeight="1">
      <c r="A32" s="199" t="s">
        <v>178</v>
      </c>
      <c r="B32" s="181" t="str">
        <f>'Z_1.1.sz.mell.'!B35</f>
        <v>Iparűzési adó</v>
      </c>
      <c r="C32" s="169"/>
      <c r="D32" s="169"/>
      <c r="E32" s="105"/>
    </row>
    <row r="33" spans="1:5" s="53" customFormat="1" ht="12" customHeight="1">
      <c r="A33" s="199" t="s">
        <v>179</v>
      </c>
      <c r="B33" s="181" t="str">
        <f>'Z_1.1.sz.mell.'!B36</f>
        <v>Talajterhelési díj</v>
      </c>
      <c r="C33" s="169"/>
      <c r="D33" s="169"/>
      <c r="E33" s="105"/>
    </row>
    <row r="34" spans="1:5" s="53" customFormat="1" ht="12" customHeight="1">
      <c r="A34" s="199" t="s">
        <v>480</v>
      </c>
      <c r="B34" s="181" t="str">
        <f>'Z_1.1.sz.mell.'!B37</f>
        <v>Gépjárműadó</v>
      </c>
      <c r="C34" s="169"/>
      <c r="D34" s="169"/>
      <c r="E34" s="105"/>
    </row>
    <row r="35" spans="1:5" s="53" customFormat="1" ht="12" customHeight="1">
      <c r="A35" s="199" t="s">
        <v>481</v>
      </c>
      <c r="B35" s="181" t="str">
        <f>'Z_1.1.sz.mell.'!B38</f>
        <v>Egyéb közhatalmi bevételek</v>
      </c>
      <c r="C35" s="169"/>
      <c r="D35" s="169"/>
      <c r="E35" s="105"/>
    </row>
    <row r="36" spans="1:5" s="53" customFormat="1" ht="12" customHeight="1" thickBot="1">
      <c r="A36" s="200" t="s">
        <v>482</v>
      </c>
      <c r="B36" s="181" t="str">
        <f>'Z_1.1.sz.mell.'!B39</f>
        <v>Kommunális adó</v>
      </c>
      <c r="C36" s="171"/>
      <c r="D36" s="171"/>
      <c r="E36" s="107"/>
    </row>
    <row r="37" spans="1:5" s="53" customFormat="1" ht="12" customHeight="1" thickBot="1">
      <c r="A37" s="25" t="s">
        <v>10</v>
      </c>
      <c r="B37" s="19" t="s">
        <v>335</v>
      </c>
      <c r="C37" s="168">
        <f>SUM(C38:C48)</f>
        <v>180000</v>
      </c>
      <c r="D37" s="168">
        <f>SUM(D38:D48)</f>
        <v>364029</v>
      </c>
      <c r="E37" s="104">
        <f>SUM(E38:E48)</f>
        <v>390746</v>
      </c>
    </row>
    <row r="38" spans="1:5" s="53" customFormat="1" ht="12" customHeight="1">
      <c r="A38" s="198" t="s">
        <v>56</v>
      </c>
      <c r="B38" s="181" t="s">
        <v>183</v>
      </c>
      <c r="C38" s="170"/>
      <c r="D38" s="170"/>
      <c r="E38" s="106"/>
    </row>
    <row r="39" spans="1:5" s="53" customFormat="1" ht="12" customHeight="1">
      <c r="A39" s="199" t="s">
        <v>57</v>
      </c>
      <c r="B39" s="182" t="s">
        <v>184</v>
      </c>
      <c r="C39" s="169">
        <v>180000</v>
      </c>
      <c r="D39" s="169">
        <v>180000</v>
      </c>
      <c r="E39" s="105">
        <v>185000</v>
      </c>
    </row>
    <row r="40" spans="1:5" s="53" customFormat="1" ht="12" customHeight="1">
      <c r="A40" s="199" t="s">
        <v>58</v>
      </c>
      <c r="B40" s="182" t="s">
        <v>185</v>
      </c>
      <c r="C40" s="169"/>
      <c r="D40" s="169"/>
      <c r="E40" s="105"/>
    </row>
    <row r="41" spans="1:5" s="53" customFormat="1" ht="12" customHeight="1">
      <c r="A41" s="199" t="s">
        <v>114</v>
      </c>
      <c r="B41" s="182" t="s">
        <v>186</v>
      </c>
      <c r="C41" s="169"/>
      <c r="D41" s="169"/>
      <c r="E41" s="105"/>
    </row>
    <row r="42" spans="1:5" s="53" customFormat="1" ht="12" customHeight="1">
      <c r="A42" s="199" t="s">
        <v>115</v>
      </c>
      <c r="B42" s="182" t="s">
        <v>187</v>
      </c>
      <c r="C42" s="169"/>
      <c r="D42" s="169"/>
      <c r="E42" s="105"/>
    </row>
    <row r="43" spans="1:5" s="53" customFormat="1" ht="12" customHeight="1">
      <c r="A43" s="199" t="s">
        <v>116</v>
      </c>
      <c r="B43" s="182" t="s">
        <v>188</v>
      </c>
      <c r="C43" s="169"/>
      <c r="D43" s="169">
        <v>14517</v>
      </c>
      <c r="E43" s="105">
        <v>17931</v>
      </c>
    </row>
    <row r="44" spans="1:5" s="53" customFormat="1" ht="12" customHeight="1">
      <c r="A44" s="199" t="s">
        <v>117</v>
      </c>
      <c r="B44" s="182" t="s">
        <v>189</v>
      </c>
      <c r="C44" s="169"/>
      <c r="D44" s="169"/>
      <c r="E44" s="105"/>
    </row>
    <row r="45" spans="1:5" s="53" customFormat="1" ht="12" customHeight="1">
      <c r="A45" s="199" t="s">
        <v>118</v>
      </c>
      <c r="B45" s="182" t="s">
        <v>483</v>
      </c>
      <c r="C45" s="169"/>
      <c r="D45" s="169">
        <v>4850</v>
      </c>
      <c r="E45" s="105">
        <v>8896</v>
      </c>
    </row>
    <row r="46" spans="1:5" s="53" customFormat="1" ht="12" customHeight="1">
      <c r="A46" s="199" t="s">
        <v>181</v>
      </c>
      <c r="B46" s="182" t="s">
        <v>191</v>
      </c>
      <c r="C46" s="172"/>
      <c r="D46" s="172"/>
      <c r="E46" s="108"/>
    </row>
    <row r="47" spans="1:5" s="53" customFormat="1" ht="12" customHeight="1">
      <c r="A47" s="200" t="s">
        <v>182</v>
      </c>
      <c r="B47" s="183" t="s">
        <v>337</v>
      </c>
      <c r="C47" s="173"/>
      <c r="D47" s="173"/>
      <c r="E47" s="109"/>
    </row>
    <row r="48" spans="1:5" s="53" customFormat="1" ht="12" customHeight="1" thickBot="1">
      <c r="A48" s="200" t="s">
        <v>336</v>
      </c>
      <c r="B48" s="183" t="s">
        <v>192</v>
      </c>
      <c r="C48" s="173"/>
      <c r="D48" s="173">
        <v>164662</v>
      </c>
      <c r="E48" s="109">
        <v>178919</v>
      </c>
    </row>
    <row r="49" spans="1:5" s="53" customFormat="1" ht="12" customHeight="1" thickBot="1">
      <c r="A49" s="25" t="s">
        <v>11</v>
      </c>
      <c r="B49" s="19" t="s">
        <v>193</v>
      </c>
      <c r="C49" s="168">
        <f>SUM(C50:C54)</f>
        <v>0</v>
      </c>
      <c r="D49" s="168">
        <f>SUM(D50:D54)</f>
        <v>0</v>
      </c>
      <c r="E49" s="104">
        <f>SUM(E50:E54)</f>
        <v>0</v>
      </c>
    </row>
    <row r="50" spans="1:5" s="53" customFormat="1" ht="12" customHeight="1">
      <c r="A50" s="198" t="s">
        <v>59</v>
      </c>
      <c r="B50" s="181" t="s">
        <v>197</v>
      </c>
      <c r="C50" s="221"/>
      <c r="D50" s="221"/>
      <c r="E50" s="110"/>
    </row>
    <row r="51" spans="1:5" s="53" customFormat="1" ht="12" customHeight="1">
      <c r="A51" s="199" t="s">
        <v>60</v>
      </c>
      <c r="B51" s="182" t="s">
        <v>198</v>
      </c>
      <c r="C51" s="172"/>
      <c r="D51" s="172"/>
      <c r="E51" s="108"/>
    </row>
    <row r="52" spans="1:5" s="53" customFormat="1" ht="12" customHeight="1">
      <c r="A52" s="199" t="s">
        <v>194</v>
      </c>
      <c r="B52" s="182" t="s">
        <v>199</v>
      </c>
      <c r="C52" s="172"/>
      <c r="D52" s="172"/>
      <c r="E52" s="108"/>
    </row>
    <row r="53" spans="1:5" s="53" customFormat="1" ht="12" customHeight="1">
      <c r="A53" s="199" t="s">
        <v>195</v>
      </c>
      <c r="B53" s="182" t="s">
        <v>200</v>
      </c>
      <c r="C53" s="172"/>
      <c r="D53" s="172"/>
      <c r="E53" s="108"/>
    </row>
    <row r="54" spans="1:5" s="53" customFormat="1" ht="12" customHeight="1" thickBot="1">
      <c r="A54" s="200" t="s">
        <v>196</v>
      </c>
      <c r="B54" s="183" t="s">
        <v>201</v>
      </c>
      <c r="C54" s="173"/>
      <c r="D54" s="173"/>
      <c r="E54" s="109"/>
    </row>
    <row r="55" spans="1:5" s="53" customFormat="1" ht="12" customHeight="1" thickBot="1">
      <c r="A55" s="25" t="s">
        <v>119</v>
      </c>
      <c r="B55" s="19" t="s">
        <v>202</v>
      </c>
      <c r="C55" s="168">
        <f>SUM(C56:C58)</f>
        <v>0</v>
      </c>
      <c r="D55" s="168">
        <f>SUM(D56:D58)</f>
        <v>0</v>
      </c>
      <c r="E55" s="104">
        <f>SUM(E56:E58)</f>
        <v>0</v>
      </c>
    </row>
    <row r="56" spans="1:5" s="53" customFormat="1" ht="12" customHeight="1">
      <c r="A56" s="198" t="s">
        <v>61</v>
      </c>
      <c r="B56" s="181" t="s">
        <v>203</v>
      </c>
      <c r="C56" s="170"/>
      <c r="D56" s="170"/>
      <c r="E56" s="106"/>
    </row>
    <row r="57" spans="1:5" s="53" customFormat="1" ht="12" customHeight="1">
      <c r="A57" s="199" t="s">
        <v>62</v>
      </c>
      <c r="B57" s="182" t="s">
        <v>329</v>
      </c>
      <c r="C57" s="169"/>
      <c r="D57" s="169"/>
      <c r="E57" s="105"/>
    </row>
    <row r="58" spans="1:5" s="53" customFormat="1" ht="12" customHeight="1">
      <c r="A58" s="199" t="s">
        <v>206</v>
      </c>
      <c r="B58" s="182" t="s">
        <v>204</v>
      </c>
      <c r="C58" s="169"/>
      <c r="D58" s="169"/>
      <c r="E58" s="105"/>
    </row>
    <row r="59" spans="1:5" s="53" customFormat="1" ht="12" customHeight="1" thickBot="1">
      <c r="A59" s="200" t="s">
        <v>207</v>
      </c>
      <c r="B59" s="183" t="s">
        <v>205</v>
      </c>
      <c r="C59" s="171"/>
      <c r="D59" s="171"/>
      <c r="E59" s="107"/>
    </row>
    <row r="60" spans="1:5" s="53" customFormat="1" ht="12" customHeight="1" thickBot="1">
      <c r="A60" s="25" t="s">
        <v>13</v>
      </c>
      <c r="B60" s="111" t="s">
        <v>208</v>
      </c>
      <c r="C60" s="168">
        <f>SUM(C61:C63)</f>
        <v>0</v>
      </c>
      <c r="D60" s="168">
        <f>SUM(D61:D63)</f>
        <v>0</v>
      </c>
      <c r="E60" s="104">
        <f>SUM(E61:E63)</f>
        <v>0</v>
      </c>
    </row>
    <row r="61" spans="1:5" s="53" customFormat="1" ht="12" customHeight="1">
      <c r="A61" s="198" t="s">
        <v>120</v>
      </c>
      <c r="B61" s="181" t="s">
        <v>210</v>
      </c>
      <c r="C61" s="172"/>
      <c r="D61" s="172"/>
      <c r="E61" s="108"/>
    </row>
    <row r="62" spans="1:5" s="53" customFormat="1" ht="12" customHeight="1">
      <c r="A62" s="199" t="s">
        <v>121</v>
      </c>
      <c r="B62" s="182" t="s">
        <v>330</v>
      </c>
      <c r="C62" s="172"/>
      <c r="D62" s="172"/>
      <c r="E62" s="108"/>
    </row>
    <row r="63" spans="1:5" s="53" customFormat="1" ht="12" customHeight="1">
      <c r="A63" s="199" t="s">
        <v>144</v>
      </c>
      <c r="B63" s="182" t="s">
        <v>211</v>
      </c>
      <c r="C63" s="172"/>
      <c r="D63" s="172"/>
      <c r="E63" s="108"/>
    </row>
    <row r="64" spans="1:5" s="53" customFormat="1" ht="12" customHeight="1" thickBot="1">
      <c r="A64" s="200" t="s">
        <v>209</v>
      </c>
      <c r="B64" s="183" t="s">
        <v>212</v>
      </c>
      <c r="C64" s="172"/>
      <c r="D64" s="172"/>
      <c r="E64" s="108"/>
    </row>
    <row r="65" spans="1:5" s="53" customFormat="1" ht="12" customHeight="1" thickBot="1">
      <c r="A65" s="25" t="s">
        <v>14</v>
      </c>
      <c r="B65" s="19" t="s">
        <v>213</v>
      </c>
      <c r="C65" s="174">
        <f>+C8+C15+C22+C29+C37+C49+C55+C60</f>
        <v>180000</v>
      </c>
      <c r="D65" s="174">
        <f>+D8+D15+D22+D29+D37+D49+D55+D60</f>
        <v>4039681</v>
      </c>
      <c r="E65" s="210">
        <f>+E8+E15+E22+E29+E37+E49+E55+E60</f>
        <v>17764708</v>
      </c>
    </row>
    <row r="66" spans="1:5" s="53" customFormat="1" ht="12" customHeight="1" thickBot="1">
      <c r="A66" s="201" t="s">
        <v>298</v>
      </c>
      <c r="B66" s="111" t="s">
        <v>215</v>
      </c>
      <c r="C66" s="168">
        <f>SUM(C67:C69)</f>
        <v>0</v>
      </c>
      <c r="D66" s="168">
        <f>SUM(D67:D69)</f>
        <v>0</v>
      </c>
      <c r="E66" s="104">
        <f>SUM(E67:E69)</f>
        <v>0</v>
      </c>
    </row>
    <row r="67" spans="1:5" s="53" customFormat="1" ht="12" customHeight="1">
      <c r="A67" s="198" t="s">
        <v>243</v>
      </c>
      <c r="B67" s="181" t="s">
        <v>216</v>
      </c>
      <c r="C67" s="172"/>
      <c r="D67" s="172"/>
      <c r="E67" s="108"/>
    </row>
    <row r="68" spans="1:5" s="53" customFormat="1" ht="12" customHeight="1">
      <c r="A68" s="199" t="s">
        <v>252</v>
      </c>
      <c r="B68" s="182" t="s">
        <v>217</v>
      </c>
      <c r="C68" s="172"/>
      <c r="D68" s="172"/>
      <c r="E68" s="108"/>
    </row>
    <row r="69" spans="1:5" s="53" customFormat="1" ht="12" customHeight="1" thickBot="1">
      <c r="A69" s="200" t="s">
        <v>253</v>
      </c>
      <c r="B69" s="184" t="s">
        <v>218</v>
      </c>
      <c r="C69" s="172"/>
      <c r="D69" s="172"/>
      <c r="E69" s="108"/>
    </row>
    <row r="70" spans="1:5" s="53" customFormat="1" ht="12" customHeight="1" thickBot="1">
      <c r="A70" s="201" t="s">
        <v>219</v>
      </c>
      <c r="B70" s="111" t="s">
        <v>220</v>
      </c>
      <c r="C70" s="168">
        <f>SUM(C71:C74)</f>
        <v>0</v>
      </c>
      <c r="D70" s="168">
        <f>SUM(D71:D74)</f>
        <v>0</v>
      </c>
      <c r="E70" s="104">
        <f>SUM(E71:E74)</f>
        <v>0</v>
      </c>
    </row>
    <row r="71" spans="1:5" s="53" customFormat="1" ht="12" customHeight="1">
      <c r="A71" s="198" t="s">
        <v>98</v>
      </c>
      <c r="B71" s="309" t="s">
        <v>221</v>
      </c>
      <c r="C71" s="172"/>
      <c r="D71" s="172"/>
      <c r="E71" s="108"/>
    </row>
    <row r="72" spans="1:5" s="53" customFormat="1" ht="12" customHeight="1">
      <c r="A72" s="199" t="s">
        <v>99</v>
      </c>
      <c r="B72" s="309" t="s">
        <v>490</v>
      </c>
      <c r="C72" s="172"/>
      <c r="D72" s="172"/>
      <c r="E72" s="108"/>
    </row>
    <row r="73" spans="1:5" s="53" customFormat="1" ht="12" customHeight="1">
      <c r="A73" s="199" t="s">
        <v>244</v>
      </c>
      <c r="B73" s="309" t="s">
        <v>222</v>
      </c>
      <c r="C73" s="172"/>
      <c r="D73" s="172"/>
      <c r="E73" s="108"/>
    </row>
    <row r="74" spans="1:5" s="53" customFormat="1" ht="12" customHeight="1" thickBot="1">
      <c r="A74" s="200" t="s">
        <v>245</v>
      </c>
      <c r="B74" s="310" t="s">
        <v>491</v>
      </c>
      <c r="C74" s="172"/>
      <c r="D74" s="172"/>
      <c r="E74" s="108"/>
    </row>
    <row r="75" spans="1:5" s="53" customFormat="1" ht="12" customHeight="1" thickBot="1">
      <c r="A75" s="201" t="s">
        <v>223</v>
      </c>
      <c r="B75" s="111" t="s">
        <v>224</v>
      </c>
      <c r="C75" s="168">
        <f>SUM(C76:C77)</f>
        <v>0</v>
      </c>
      <c r="D75" s="168">
        <f>SUM(D76:D77)</f>
        <v>7990184</v>
      </c>
      <c r="E75" s="104">
        <f>SUM(E76:E77)</f>
        <v>37394105</v>
      </c>
    </row>
    <row r="76" spans="1:5" s="53" customFormat="1" ht="12" customHeight="1">
      <c r="A76" s="198" t="s">
        <v>246</v>
      </c>
      <c r="B76" s="181" t="s">
        <v>225</v>
      </c>
      <c r="C76" s="172"/>
      <c r="D76" s="172">
        <v>7990184</v>
      </c>
      <c r="E76" s="108">
        <v>37394105</v>
      </c>
    </row>
    <row r="77" spans="1:5" s="53" customFormat="1" ht="12" customHeight="1" thickBot="1">
      <c r="A77" s="200" t="s">
        <v>247</v>
      </c>
      <c r="B77" s="183" t="s">
        <v>226</v>
      </c>
      <c r="C77" s="172"/>
      <c r="D77" s="172"/>
      <c r="E77" s="108"/>
    </row>
    <row r="78" spans="1:5" s="52" customFormat="1" ht="12" customHeight="1" thickBot="1">
      <c r="A78" s="201" t="s">
        <v>227</v>
      </c>
      <c r="B78" s="111" t="s">
        <v>228</v>
      </c>
      <c r="C78" s="168">
        <f>SUM(C79:C81)</f>
        <v>69990203</v>
      </c>
      <c r="D78" s="168">
        <f>SUM(D79:D81)</f>
        <v>69990203</v>
      </c>
      <c r="E78" s="104">
        <f>SUM(E79:E81)</f>
        <v>71171896</v>
      </c>
    </row>
    <row r="79" spans="1:5" s="53" customFormat="1" ht="12" customHeight="1">
      <c r="A79" s="198" t="s">
        <v>248</v>
      </c>
      <c r="B79" s="181" t="s">
        <v>229</v>
      </c>
      <c r="C79" s="172"/>
      <c r="D79" s="172"/>
      <c r="E79" s="108"/>
    </row>
    <row r="80" spans="1:5" s="53" customFormat="1" ht="12" customHeight="1">
      <c r="A80" s="199" t="s">
        <v>249</v>
      </c>
      <c r="B80" s="182" t="s">
        <v>230</v>
      </c>
      <c r="C80" s="172"/>
      <c r="D80" s="172"/>
      <c r="E80" s="108"/>
    </row>
    <row r="81" spans="1:5" s="53" customFormat="1" ht="12" customHeight="1" thickBot="1">
      <c r="A81" s="200" t="s">
        <v>250</v>
      </c>
      <c r="B81" s="113" t="s">
        <v>873</v>
      </c>
      <c r="C81" s="172">
        <v>69990203</v>
      </c>
      <c r="D81" s="172">
        <v>69990203</v>
      </c>
      <c r="E81" s="108">
        <v>71171896</v>
      </c>
    </row>
    <row r="82" spans="1:5" s="53" customFormat="1" ht="12" customHeight="1" thickBot="1">
      <c r="A82" s="201" t="s">
        <v>231</v>
      </c>
      <c r="B82" s="111" t="s">
        <v>251</v>
      </c>
      <c r="C82" s="168">
        <f>SUM(C83:C86)</f>
        <v>0</v>
      </c>
      <c r="D82" s="168">
        <f>SUM(D83:D86)</f>
        <v>0</v>
      </c>
      <c r="E82" s="104">
        <f>SUM(E83:E86)</f>
        <v>0</v>
      </c>
    </row>
    <row r="83" spans="1:5" s="53" customFormat="1" ht="12" customHeight="1">
      <c r="A83" s="202" t="s">
        <v>232</v>
      </c>
      <c r="B83" s="181" t="s">
        <v>233</v>
      </c>
      <c r="C83" s="172"/>
      <c r="D83" s="172"/>
      <c r="E83" s="108"/>
    </row>
    <row r="84" spans="1:5" s="53" customFormat="1" ht="12" customHeight="1">
      <c r="A84" s="203" t="s">
        <v>234</v>
      </c>
      <c r="B84" s="182" t="s">
        <v>235</v>
      </c>
      <c r="C84" s="172"/>
      <c r="D84" s="172"/>
      <c r="E84" s="108"/>
    </row>
    <row r="85" spans="1:5" s="53" customFormat="1" ht="12" customHeight="1">
      <c r="A85" s="203" t="s">
        <v>236</v>
      </c>
      <c r="B85" s="182" t="s">
        <v>237</v>
      </c>
      <c r="C85" s="172"/>
      <c r="D85" s="172"/>
      <c r="E85" s="108"/>
    </row>
    <row r="86" spans="1:5" s="52" customFormat="1" ht="12" customHeight="1" thickBot="1">
      <c r="A86" s="204" t="s">
        <v>238</v>
      </c>
      <c r="B86" s="183" t="s">
        <v>239</v>
      </c>
      <c r="C86" s="172"/>
      <c r="D86" s="172"/>
      <c r="E86" s="108"/>
    </row>
    <row r="87" spans="1:5" s="52" customFormat="1" ht="12" customHeight="1" thickBot="1">
      <c r="A87" s="201" t="s">
        <v>240</v>
      </c>
      <c r="B87" s="111" t="s">
        <v>376</v>
      </c>
      <c r="C87" s="224"/>
      <c r="D87" s="224"/>
      <c r="E87" s="225"/>
    </row>
    <row r="88" spans="1:5" s="52" customFormat="1" ht="12" customHeight="1" thickBot="1">
      <c r="A88" s="201" t="s">
        <v>394</v>
      </c>
      <c r="B88" s="111" t="s">
        <v>241</v>
      </c>
      <c r="C88" s="224"/>
      <c r="D88" s="224"/>
      <c r="E88" s="225"/>
    </row>
    <row r="89" spans="1:5" s="52" customFormat="1" ht="12" customHeight="1" thickBot="1">
      <c r="A89" s="201" t="s">
        <v>395</v>
      </c>
      <c r="B89" s="188" t="s">
        <v>379</v>
      </c>
      <c r="C89" s="174">
        <f>+C66+C70+C75+C78+C82+C88+C87</f>
        <v>69990203</v>
      </c>
      <c r="D89" s="174">
        <f>+D66+D70+D75+D78+D82+D88+D87</f>
        <v>77980387</v>
      </c>
      <c r="E89" s="210">
        <f>+E66+E70+E75+E78+E82+E88+E87</f>
        <v>108566001</v>
      </c>
    </row>
    <row r="90" spans="1:5" s="52" customFormat="1" ht="12" customHeight="1" thickBot="1">
      <c r="A90" s="205" t="s">
        <v>396</v>
      </c>
      <c r="B90" s="189" t="s">
        <v>397</v>
      </c>
      <c r="C90" s="174">
        <f>+C65+C89</f>
        <v>70170203</v>
      </c>
      <c r="D90" s="174">
        <f>+D65+D89</f>
        <v>82020068</v>
      </c>
      <c r="E90" s="210">
        <f>+E65+E89</f>
        <v>126330709</v>
      </c>
    </row>
    <row r="91" spans="1:3" s="53" customFormat="1" ht="15" customHeight="1" thickBot="1">
      <c r="A91" s="88"/>
      <c r="B91" s="89"/>
      <c r="C91" s="150"/>
    </row>
    <row r="92" spans="1:5" s="46" customFormat="1" ht="16.5" customHeight="1" thickBot="1">
      <c r="A92" s="856" t="s">
        <v>40</v>
      </c>
      <c r="B92" s="857"/>
      <c r="C92" s="857"/>
      <c r="D92" s="857"/>
      <c r="E92" s="858"/>
    </row>
    <row r="93" spans="1:5" s="54" customFormat="1" ht="12" customHeight="1" thickBot="1">
      <c r="A93" s="175" t="s">
        <v>6</v>
      </c>
      <c r="B93" s="24" t="s">
        <v>401</v>
      </c>
      <c r="C93" s="167">
        <f>C94+C95+C96+C97+C98+C111</f>
        <v>70170203</v>
      </c>
      <c r="D93" s="167">
        <f>D94+D95+D96+D97+D98+D111</f>
        <v>81414078</v>
      </c>
      <c r="E93" s="237">
        <f>E94+E95+E96+E97+E98+E111</f>
        <v>76218304</v>
      </c>
    </row>
    <row r="94" spans="1:5" ht="12" customHeight="1">
      <c r="A94" s="206" t="s">
        <v>63</v>
      </c>
      <c r="B94" s="8" t="s">
        <v>35</v>
      </c>
      <c r="C94" s="244">
        <v>51094360</v>
      </c>
      <c r="D94" s="244">
        <v>59214890</v>
      </c>
      <c r="E94" s="238">
        <v>56514548</v>
      </c>
    </row>
    <row r="95" spans="1:5" ht="12" customHeight="1">
      <c r="A95" s="199" t="s">
        <v>64</v>
      </c>
      <c r="B95" s="6" t="s">
        <v>122</v>
      </c>
      <c r="C95" s="169">
        <v>10115258</v>
      </c>
      <c r="D95" s="169">
        <v>11115100</v>
      </c>
      <c r="E95" s="105">
        <v>11115100</v>
      </c>
    </row>
    <row r="96" spans="1:5" ht="12" customHeight="1">
      <c r="A96" s="199" t="s">
        <v>65</v>
      </c>
      <c r="B96" s="6" t="s">
        <v>90</v>
      </c>
      <c r="C96" s="171">
        <v>8960585</v>
      </c>
      <c r="D96" s="171">
        <v>11084088</v>
      </c>
      <c r="E96" s="107">
        <v>8588656</v>
      </c>
    </row>
    <row r="97" spans="1:5" ht="12" customHeight="1">
      <c r="A97" s="199" t="s">
        <v>66</v>
      </c>
      <c r="B97" s="9" t="s">
        <v>123</v>
      </c>
      <c r="C97" s="171"/>
      <c r="D97" s="171"/>
      <c r="E97" s="107"/>
    </row>
    <row r="98" spans="1:5" ht="12" customHeight="1">
      <c r="A98" s="199" t="s">
        <v>75</v>
      </c>
      <c r="B98" s="17" t="s">
        <v>124</v>
      </c>
      <c r="C98" s="171"/>
      <c r="D98" s="171"/>
      <c r="E98" s="107"/>
    </row>
    <row r="99" spans="1:5" ht="12" customHeight="1">
      <c r="A99" s="199" t="s">
        <v>67</v>
      </c>
      <c r="B99" s="6" t="s">
        <v>398</v>
      </c>
      <c r="C99" s="171"/>
      <c r="D99" s="171"/>
      <c r="E99" s="107"/>
    </row>
    <row r="100" spans="1:5" ht="12" customHeight="1">
      <c r="A100" s="199" t="s">
        <v>68</v>
      </c>
      <c r="B100" s="64" t="s">
        <v>342</v>
      </c>
      <c r="C100" s="171"/>
      <c r="D100" s="171"/>
      <c r="E100" s="107"/>
    </row>
    <row r="101" spans="1:5" ht="12" customHeight="1">
      <c r="A101" s="199" t="s">
        <v>76</v>
      </c>
      <c r="B101" s="64" t="s">
        <v>341</v>
      </c>
      <c r="C101" s="171"/>
      <c r="D101" s="171"/>
      <c r="E101" s="107"/>
    </row>
    <row r="102" spans="1:5" ht="12" customHeight="1">
      <c r="A102" s="199" t="s">
        <v>77</v>
      </c>
      <c r="B102" s="64" t="s">
        <v>257</v>
      </c>
      <c r="C102" s="171"/>
      <c r="D102" s="171"/>
      <c r="E102" s="107"/>
    </row>
    <row r="103" spans="1:5" ht="12" customHeight="1">
      <c r="A103" s="199" t="s">
        <v>78</v>
      </c>
      <c r="B103" s="65" t="s">
        <v>258</v>
      </c>
      <c r="C103" s="171"/>
      <c r="D103" s="171"/>
      <c r="E103" s="107"/>
    </row>
    <row r="104" spans="1:5" ht="12" customHeight="1">
      <c r="A104" s="199" t="s">
        <v>79</v>
      </c>
      <c r="B104" s="65" t="s">
        <v>259</v>
      </c>
      <c r="C104" s="171"/>
      <c r="D104" s="171"/>
      <c r="E104" s="107"/>
    </row>
    <row r="105" spans="1:5" ht="12" customHeight="1">
      <c r="A105" s="199" t="s">
        <v>81</v>
      </c>
      <c r="B105" s="64" t="s">
        <v>260</v>
      </c>
      <c r="C105" s="171"/>
      <c r="D105" s="171"/>
      <c r="E105" s="107"/>
    </row>
    <row r="106" spans="1:5" ht="12" customHeight="1">
      <c r="A106" s="199" t="s">
        <v>125</v>
      </c>
      <c r="B106" s="64" t="s">
        <v>261</v>
      </c>
      <c r="C106" s="171"/>
      <c r="D106" s="171"/>
      <c r="E106" s="107"/>
    </row>
    <row r="107" spans="1:5" ht="12" customHeight="1">
      <c r="A107" s="199" t="s">
        <v>255</v>
      </c>
      <c r="B107" s="65" t="s">
        <v>262</v>
      </c>
      <c r="C107" s="171"/>
      <c r="D107" s="171"/>
      <c r="E107" s="107"/>
    </row>
    <row r="108" spans="1:5" ht="12" customHeight="1">
      <c r="A108" s="207" t="s">
        <v>256</v>
      </c>
      <c r="B108" s="66" t="s">
        <v>263</v>
      </c>
      <c r="C108" s="171"/>
      <c r="D108" s="171"/>
      <c r="E108" s="107"/>
    </row>
    <row r="109" spans="1:5" ht="12" customHeight="1">
      <c r="A109" s="199" t="s">
        <v>339</v>
      </c>
      <c r="B109" s="66" t="s">
        <v>264</v>
      </c>
      <c r="C109" s="171"/>
      <c r="D109" s="171"/>
      <c r="E109" s="107"/>
    </row>
    <row r="110" spans="1:5" ht="12" customHeight="1">
      <c r="A110" s="199" t="s">
        <v>340</v>
      </c>
      <c r="B110" s="65" t="s">
        <v>265</v>
      </c>
      <c r="C110" s="171"/>
      <c r="D110" s="171"/>
      <c r="E110" s="107"/>
    </row>
    <row r="111" spans="1:5" ht="12" customHeight="1">
      <c r="A111" s="199" t="s">
        <v>344</v>
      </c>
      <c r="B111" s="9" t="s">
        <v>36</v>
      </c>
      <c r="C111" s="169"/>
      <c r="D111" s="169"/>
      <c r="E111" s="105"/>
    </row>
    <row r="112" spans="1:5" ht="12" customHeight="1">
      <c r="A112" s="200" t="s">
        <v>345</v>
      </c>
      <c r="B112" s="6" t="s">
        <v>399</v>
      </c>
      <c r="C112" s="169"/>
      <c r="D112" s="169"/>
      <c r="E112" s="105"/>
    </row>
    <row r="113" spans="1:5" ht="12" customHeight="1" thickBot="1">
      <c r="A113" s="208" t="s">
        <v>346</v>
      </c>
      <c r="B113" s="67" t="s">
        <v>400</v>
      </c>
      <c r="C113" s="245"/>
      <c r="D113" s="245"/>
      <c r="E113" s="239"/>
    </row>
    <row r="114" spans="1:5" ht="12" customHeight="1" thickBot="1">
      <c r="A114" s="25" t="s">
        <v>7</v>
      </c>
      <c r="B114" s="23" t="s">
        <v>266</v>
      </c>
      <c r="C114" s="246">
        <f>+C115+C117+C119</f>
        <v>0</v>
      </c>
      <c r="D114" s="168">
        <f>+D115+D117+D119</f>
        <v>605990</v>
      </c>
      <c r="E114" s="240">
        <f>+E115+E117+E119</f>
        <v>605990</v>
      </c>
    </row>
    <row r="115" spans="1:5" ht="12" customHeight="1">
      <c r="A115" s="198" t="s">
        <v>69</v>
      </c>
      <c r="B115" s="6" t="s">
        <v>143</v>
      </c>
      <c r="C115" s="170"/>
      <c r="D115" s="255">
        <v>605990</v>
      </c>
      <c r="E115" s="106">
        <v>605990</v>
      </c>
    </row>
    <row r="116" spans="1:5" ht="12" customHeight="1">
      <c r="A116" s="198" t="s">
        <v>70</v>
      </c>
      <c r="B116" s="10" t="s">
        <v>270</v>
      </c>
      <c r="C116" s="170"/>
      <c r="D116" s="255"/>
      <c r="E116" s="106"/>
    </row>
    <row r="117" spans="1:5" ht="12" customHeight="1">
      <c r="A117" s="198" t="s">
        <v>71</v>
      </c>
      <c r="B117" s="10" t="s">
        <v>126</v>
      </c>
      <c r="C117" s="169"/>
      <c r="D117" s="256"/>
      <c r="E117" s="105"/>
    </row>
    <row r="118" spans="1:5" ht="12" customHeight="1">
      <c r="A118" s="198" t="s">
        <v>72</v>
      </c>
      <c r="B118" s="10" t="s">
        <v>271</v>
      </c>
      <c r="C118" s="169"/>
      <c r="D118" s="256"/>
      <c r="E118" s="105"/>
    </row>
    <row r="119" spans="1:5" ht="12" customHeight="1">
      <c r="A119" s="198" t="s">
        <v>73</v>
      </c>
      <c r="B119" s="113" t="s">
        <v>145</v>
      </c>
      <c r="C119" s="169"/>
      <c r="D119" s="256"/>
      <c r="E119" s="105"/>
    </row>
    <row r="120" spans="1:5" ht="12" customHeight="1">
      <c r="A120" s="198" t="s">
        <v>80</v>
      </c>
      <c r="B120" s="112" t="s">
        <v>331</v>
      </c>
      <c r="C120" s="169"/>
      <c r="D120" s="256"/>
      <c r="E120" s="105"/>
    </row>
    <row r="121" spans="1:5" ht="12" customHeight="1">
      <c r="A121" s="198" t="s">
        <v>82</v>
      </c>
      <c r="B121" s="177" t="s">
        <v>276</v>
      </c>
      <c r="C121" s="169"/>
      <c r="D121" s="256"/>
      <c r="E121" s="105"/>
    </row>
    <row r="122" spans="1:5" ht="12" customHeight="1">
      <c r="A122" s="198" t="s">
        <v>127</v>
      </c>
      <c r="B122" s="65" t="s">
        <v>259</v>
      </c>
      <c r="C122" s="169"/>
      <c r="D122" s="256"/>
      <c r="E122" s="105"/>
    </row>
    <row r="123" spans="1:5" ht="12" customHeight="1">
      <c r="A123" s="198" t="s">
        <v>128</v>
      </c>
      <c r="B123" s="65" t="s">
        <v>275</v>
      </c>
      <c r="C123" s="169"/>
      <c r="D123" s="256"/>
      <c r="E123" s="105"/>
    </row>
    <row r="124" spans="1:5" ht="12" customHeight="1">
      <c r="A124" s="198" t="s">
        <v>129</v>
      </c>
      <c r="B124" s="65" t="s">
        <v>274</v>
      </c>
      <c r="C124" s="169"/>
      <c r="D124" s="256"/>
      <c r="E124" s="105"/>
    </row>
    <row r="125" spans="1:5" ht="12" customHeight="1">
      <c r="A125" s="198" t="s">
        <v>267</v>
      </c>
      <c r="B125" s="65" t="s">
        <v>262</v>
      </c>
      <c r="C125" s="169"/>
      <c r="D125" s="256"/>
      <c r="E125" s="105"/>
    </row>
    <row r="126" spans="1:5" ht="12" customHeight="1">
      <c r="A126" s="198" t="s">
        <v>268</v>
      </c>
      <c r="B126" s="65" t="s">
        <v>273</v>
      </c>
      <c r="C126" s="169"/>
      <c r="D126" s="256"/>
      <c r="E126" s="105"/>
    </row>
    <row r="127" spans="1:5" ht="12" customHeight="1" thickBot="1">
      <c r="A127" s="207" t="s">
        <v>269</v>
      </c>
      <c r="B127" s="65" t="s">
        <v>272</v>
      </c>
      <c r="C127" s="171"/>
      <c r="D127" s="257"/>
      <c r="E127" s="107"/>
    </row>
    <row r="128" spans="1:5" ht="12" customHeight="1" thickBot="1">
      <c r="A128" s="25" t="s">
        <v>8</v>
      </c>
      <c r="B128" s="58" t="s">
        <v>349</v>
      </c>
      <c r="C128" s="168">
        <f>+C93+C114</f>
        <v>70170203</v>
      </c>
      <c r="D128" s="254">
        <f>+D93+D114</f>
        <v>82020068</v>
      </c>
      <c r="E128" s="104">
        <f>+E93+E114</f>
        <v>76824294</v>
      </c>
    </row>
    <row r="129" spans="1:5" ht="12" customHeight="1" thickBot="1">
      <c r="A129" s="25" t="s">
        <v>9</v>
      </c>
      <c r="B129" s="58" t="s">
        <v>350</v>
      </c>
      <c r="C129" s="168">
        <f>+C130+C131+C132</f>
        <v>0</v>
      </c>
      <c r="D129" s="254">
        <f>+D130+D131+D132</f>
        <v>0</v>
      </c>
      <c r="E129" s="104">
        <f>+E130+E131+E132</f>
        <v>0</v>
      </c>
    </row>
    <row r="130" spans="1:5" s="54" customFormat="1" ht="12" customHeight="1">
      <c r="A130" s="198" t="s">
        <v>176</v>
      </c>
      <c r="B130" s="7" t="s">
        <v>404</v>
      </c>
      <c r="C130" s="169"/>
      <c r="D130" s="256"/>
      <c r="E130" s="105"/>
    </row>
    <row r="131" spans="1:5" ht="12" customHeight="1">
      <c r="A131" s="198" t="s">
        <v>177</v>
      </c>
      <c r="B131" s="7" t="s">
        <v>358</v>
      </c>
      <c r="C131" s="169"/>
      <c r="D131" s="256"/>
      <c r="E131" s="105"/>
    </row>
    <row r="132" spans="1:5" ht="12" customHeight="1" thickBot="1">
      <c r="A132" s="207" t="s">
        <v>178</v>
      </c>
      <c r="B132" s="5" t="s">
        <v>403</v>
      </c>
      <c r="C132" s="169"/>
      <c r="D132" s="256"/>
      <c r="E132" s="105"/>
    </row>
    <row r="133" spans="1:5" ht="12" customHeight="1" thickBot="1">
      <c r="A133" s="25" t="s">
        <v>10</v>
      </c>
      <c r="B133" s="58" t="s">
        <v>351</v>
      </c>
      <c r="C133" s="168">
        <f>+C134+C135+C136+C137+C138+C139</f>
        <v>0</v>
      </c>
      <c r="D133" s="254">
        <f>+D134+D135+D136+D137+D138+D139</f>
        <v>0</v>
      </c>
      <c r="E133" s="104">
        <f>+E134+E135+E136+E137+E138+E139</f>
        <v>0</v>
      </c>
    </row>
    <row r="134" spans="1:5" ht="12" customHeight="1">
      <c r="A134" s="198" t="s">
        <v>56</v>
      </c>
      <c r="B134" s="7" t="s">
        <v>360</v>
      </c>
      <c r="C134" s="169"/>
      <c r="D134" s="256"/>
      <c r="E134" s="105"/>
    </row>
    <row r="135" spans="1:5" ht="12" customHeight="1">
      <c r="A135" s="198" t="s">
        <v>57</v>
      </c>
      <c r="B135" s="7" t="s">
        <v>352</v>
      </c>
      <c r="C135" s="169"/>
      <c r="D135" s="256"/>
      <c r="E135" s="105"/>
    </row>
    <row r="136" spans="1:5" ht="12" customHeight="1">
      <c r="A136" s="198" t="s">
        <v>58</v>
      </c>
      <c r="B136" s="7" t="s">
        <v>353</v>
      </c>
      <c r="C136" s="169"/>
      <c r="D136" s="256"/>
      <c r="E136" s="105"/>
    </row>
    <row r="137" spans="1:5" ht="12" customHeight="1">
      <c r="A137" s="198" t="s">
        <v>114</v>
      </c>
      <c r="B137" s="7" t="s">
        <v>402</v>
      </c>
      <c r="C137" s="169"/>
      <c r="D137" s="256"/>
      <c r="E137" s="105"/>
    </row>
    <row r="138" spans="1:5" ht="12" customHeight="1">
      <c r="A138" s="198" t="s">
        <v>115</v>
      </c>
      <c r="B138" s="7" t="s">
        <v>355</v>
      </c>
      <c r="C138" s="169"/>
      <c r="D138" s="256"/>
      <c r="E138" s="105"/>
    </row>
    <row r="139" spans="1:5" s="54" customFormat="1" ht="12" customHeight="1" thickBot="1">
      <c r="A139" s="207" t="s">
        <v>116</v>
      </c>
      <c r="B139" s="5" t="s">
        <v>356</v>
      </c>
      <c r="C139" s="169"/>
      <c r="D139" s="256"/>
      <c r="E139" s="105"/>
    </row>
    <row r="140" spans="1:11" ht="12" customHeight="1" thickBot="1">
      <c r="A140" s="25" t="s">
        <v>11</v>
      </c>
      <c r="B140" s="58" t="s">
        <v>417</v>
      </c>
      <c r="C140" s="174">
        <f>+C141+C142+C144+C145+C143</f>
        <v>0</v>
      </c>
      <c r="D140" s="258">
        <f>+D141+D142+D144+D145+D143</f>
        <v>0</v>
      </c>
      <c r="E140" s="210">
        <f>+E141+E142+E144+E145+E143</f>
        <v>0</v>
      </c>
      <c r="K140" s="97"/>
    </row>
    <row r="141" spans="1:5" ht="12.75">
      <c r="A141" s="198" t="s">
        <v>59</v>
      </c>
      <c r="B141" s="7" t="s">
        <v>277</v>
      </c>
      <c r="C141" s="169"/>
      <c r="D141" s="256"/>
      <c r="E141" s="105"/>
    </row>
    <row r="142" spans="1:5" ht="12" customHeight="1">
      <c r="A142" s="198" t="s">
        <v>60</v>
      </c>
      <c r="B142" s="7" t="s">
        <v>278</v>
      </c>
      <c r="C142" s="169"/>
      <c r="D142" s="256"/>
      <c r="E142" s="105"/>
    </row>
    <row r="143" spans="1:5" ht="12" customHeight="1">
      <c r="A143" s="198" t="s">
        <v>194</v>
      </c>
      <c r="B143" s="7" t="s">
        <v>416</v>
      </c>
      <c r="C143" s="169"/>
      <c r="D143" s="256"/>
      <c r="E143" s="105"/>
    </row>
    <row r="144" spans="1:5" s="54" customFormat="1" ht="12" customHeight="1">
      <c r="A144" s="198" t="s">
        <v>195</v>
      </c>
      <c r="B144" s="7" t="s">
        <v>365</v>
      </c>
      <c r="C144" s="169"/>
      <c r="D144" s="256"/>
      <c r="E144" s="105"/>
    </row>
    <row r="145" spans="1:5" s="54" customFormat="1" ht="12" customHeight="1" thickBot="1">
      <c r="A145" s="207" t="s">
        <v>196</v>
      </c>
      <c r="B145" s="5" t="s">
        <v>294</v>
      </c>
      <c r="C145" s="169"/>
      <c r="D145" s="256"/>
      <c r="E145" s="105"/>
    </row>
    <row r="146" spans="1:5" s="54" customFormat="1" ht="12" customHeight="1" thickBot="1">
      <c r="A146" s="25" t="s">
        <v>12</v>
      </c>
      <c r="B146" s="58" t="s">
        <v>366</v>
      </c>
      <c r="C146" s="247">
        <f>+C147+C148+C149+C150+C151</f>
        <v>0</v>
      </c>
      <c r="D146" s="259">
        <f>+D147+D148+D149+D150+D151</f>
        <v>0</v>
      </c>
      <c r="E146" s="241">
        <f>+E147+E148+E149+E150+E151</f>
        <v>0</v>
      </c>
    </row>
    <row r="147" spans="1:5" s="54" customFormat="1" ht="12" customHeight="1">
      <c r="A147" s="198" t="s">
        <v>61</v>
      </c>
      <c r="B147" s="7" t="s">
        <v>361</v>
      </c>
      <c r="C147" s="169"/>
      <c r="D147" s="256"/>
      <c r="E147" s="105"/>
    </row>
    <row r="148" spans="1:5" s="54" customFormat="1" ht="12" customHeight="1">
      <c r="A148" s="198" t="s">
        <v>62</v>
      </c>
      <c r="B148" s="7" t="s">
        <v>368</v>
      </c>
      <c r="C148" s="169"/>
      <c r="D148" s="256"/>
      <c r="E148" s="105"/>
    </row>
    <row r="149" spans="1:5" s="54" customFormat="1" ht="12" customHeight="1">
      <c r="A149" s="198" t="s">
        <v>206</v>
      </c>
      <c r="B149" s="7" t="s">
        <v>363</v>
      </c>
      <c r="C149" s="169"/>
      <c r="D149" s="256"/>
      <c r="E149" s="105"/>
    </row>
    <row r="150" spans="1:5" s="54" customFormat="1" ht="12" customHeight="1">
      <c r="A150" s="198" t="s">
        <v>207</v>
      </c>
      <c r="B150" s="7" t="s">
        <v>405</v>
      </c>
      <c r="C150" s="169"/>
      <c r="D150" s="256"/>
      <c r="E150" s="105"/>
    </row>
    <row r="151" spans="1:5" ht="12.75" customHeight="1" thickBot="1">
      <c r="A151" s="207" t="s">
        <v>367</v>
      </c>
      <c r="B151" s="5" t="s">
        <v>370</v>
      </c>
      <c r="C151" s="171"/>
      <c r="D151" s="257"/>
      <c r="E151" s="107"/>
    </row>
    <row r="152" spans="1:5" ht="12.75" customHeight="1" thickBot="1">
      <c r="A152" s="236" t="s">
        <v>13</v>
      </c>
      <c r="B152" s="58" t="s">
        <v>371</v>
      </c>
      <c r="C152" s="247"/>
      <c r="D152" s="259"/>
      <c r="E152" s="241"/>
    </row>
    <row r="153" spans="1:5" ht="12.75" customHeight="1" thickBot="1">
      <c r="A153" s="236" t="s">
        <v>14</v>
      </c>
      <c r="B153" s="58" t="s">
        <v>372</v>
      </c>
      <c r="C153" s="247"/>
      <c r="D153" s="259"/>
      <c r="E153" s="241"/>
    </row>
    <row r="154" spans="1:5" ht="12" customHeight="1" thickBot="1">
      <c r="A154" s="25" t="s">
        <v>15</v>
      </c>
      <c r="B154" s="58" t="s">
        <v>374</v>
      </c>
      <c r="C154" s="249">
        <f>+C129+C133+C140+C146+C152+C153</f>
        <v>0</v>
      </c>
      <c r="D154" s="261">
        <f>+D129+D133+D140+D146+D152+D153</f>
        <v>0</v>
      </c>
      <c r="E154" s="243">
        <f>+E129+E133+E140+E146+E152+E153</f>
        <v>0</v>
      </c>
    </row>
    <row r="155" spans="1:5" ht="15" customHeight="1" thickBot="1">
      <c r="A155" s="209" t="s">
        <v>16</v>
      </c>
      <c r="B155" s="155" t="s">
        <v>373</v>
      </c>
      <c r="C155" s="249">
        <f>+C128+C154</f>
        <v>70170203</v>
      </c>
      <c r="D155" s="261">
        <f>+D128+D154</f>
        <v>82020068</v>
      </c>
      <c r="E155" s="243">
        <f>+E128+E154</f>
        <v>76824294</v>
      </c>
    </row>
    <row r="156" spans="1:5" ht="13.5" thickBot="1">
      <c r="A156" s="158"/>
      <c r="B156" s="159"/>
      <c r="C156" s="662">
        <f>C90-C155</f>
        <v>0</v>
      </c>
      <c r="D156" s="662">
        <f>D90-D155</f>
        <v>0</v>
      </c>
      <c r="E156" s="160"/>
    </row>
    <row r="157" spans="1:5" ht="15" customHeight="1" thickBot="1">
      <c r="A157" s="303" t="s">
        <v>485</v>
      </c>
      <c r="B157" s="304"/>
      <c r="C157" s="293">
        <v>14</v>
      </c>
      <c r="D157" s="293">
        <v>14</v>
      </c>
      <c r="E157" s="292">
        <v>16</v>
      </c>
    </row>
    <row r="158" spans="1:5" ht="14.25" customHeight="1" thickBot="1">
      <c r="A158" s="305" t="s">
        <v>486</v>
      </c>
      <c r="B158" s="306"/>
      <c r="C158" s="293"/>
      <c r="D158" s="293"/>
      <c r="E158" s="292"/>
    </row>
  </sheetData>
  <sheetProtection formatCells="0"/>
  <mergeCells count="5">
    <mergeCell ref="B2:D2"/>
    <mergeCell ref="B3:D3"/>
    <mergeCell ref="A7:E7"/>
    <mergeCell ref="A92:E92"/>
    <mergeCell ref="B1:E1"/>
  </mergeCells>
  <printOptions horizontalCentered="1"/>
  <pageMargins left="0.7874015748031497" right="0.7874015748031497" top="0.984251968503937" bottom="0.984251968503937" header="0.7874015748031497" footer="0.7874015748031497"/>
  <pageSetup orientation="portrait" paperSize="9" scale="73" r:id="rId1"/>
  <rowBreaks count="2" manualBreakCount="2">
    <brk id="69" max="255" man="1"/>
    <brk id="90" max="255" man="1"/>
  </rowBreaks>
</worksheet>
</file>

<file path=xl/worksheets/sheet18.xml><?xml version="1.0" encoding="utf-8"?>
<worksheet xmlns="http://schemas.openxmlformats.org/spreadsheetml/2006/main" xmlns:r="http://schemas.openxmlformats.org/officeDocument/2006/relationships">
  <sheetPr>
    <tabColor rgb="FF92D050"/>
  </sheetPr>
  <dimension ref="A1:E61"/>
  <sheetViews>
    <sheetView zoomScale="120" zoomScaleNormal="120" workbookViewId="0" topLeftCell="A1">
      <selection activeCell="J30" sqref="J30"/>
    </sheetView>
  </sheetViews>
  <sheetFormatPr defaultColWidth="9.00390625" defaultRowHeight="12.75"/>
  <cols>
    <col min="1" max="1" width="13.00390625" style="93" customWidth="1"/>
    <col min="2" max="2" width="59.00390625" style="94" customWidth="1"/>
    <col min="3" max="5" width="15.875" style="94" customWidth="1"/>
    <col min="6" max="16384" width="9.375" style="94" customWidth="1"/>
  </cols>
  <sheetData>
    <row r="1" spans="1:5" s="84" customFormat="1" ht="16.5" thickBot="1">
      <c r="A1" s="325"/>
      <c r="B1" s="860" t="str">
        <f>CONCATENATE("6.2. melléklet ",Z_ALAPADATOK!A7," ",Z_ALAPADATOK!B7," ",Z_ALAPADATOK!C7," ",Z_ALAPADATOK!D7," ",Z_ALAPADATOK!E7," ",Z_ALAPADATOK!F7," ",Z_ALAPADATOK!G7," ",Z_ALAPADATOK!H7)</f>
        <v>6.2. melléklet a 4 / 2020. ( VII.17. ) önkormányzati rendelethez</v>
      </c>
      <c r="C1" s="861"/>
      <c r="D1" s="861"/>
      <c r="E1" s="861"/>
    </row>
    <row r="2" spans="1:5" s="216" customFormat="1" ht="24.75" thickBot="1">
      <c r="A2" s="326" t="s">
        <v>453</v>
      </c>
      <c r="B2" s="862" t="s">
        <v>303</v>
      </c>
      <c r="C2" s="863"/>
      <c r="D2" s="864"/>
      <c r="E2" s="327" t="s">
        <v>42</v>
      </c>
    </row>
    <row r="3" spans="1:5" s="216" customFormat="1" ht="24.75" thickBot="1">
      <c r="A3" s="326" t="s">
        <v>135</v>
      </c>
      <c r="B3" s="862" t="s">
        <v>302</v>
      </c>
      <c r="C3" s="863"/>
      <c r="D3" s="864"/>
      <c r="E3" s="327" t="s">
        <v>38</v>
      </c>
    </row>
    <row r="4" spans="1:5" s="217" customFormat="1" ht="15.75" customHeight="1" thickBot="1">
      <c r="A4" s="328"/>
      <c r="B4" s="328"/>
      <c r="C4" s="329"/>
      <c r="D4" s="330"/>
      <c r="E4" s="329" t="str">
        <f>'Z_6.1.3.sz.mell'!E4</f>
        <v> Forintban!</v>
      </c>
    </row>
    <row r="5" spans="1:5" ht="24.75" thickBot="1">
      <c r="A5" s="331" t="s">
        <v>136</v>
      </c>
      <c r="B5" s="332" t="s">
        <v>484</v>
      </c>
      <c r="C5" s="332" t="s">
        <v>449</v>
      </c>
      <c r="D5" s="333" t="s">
        <v>450</v>
      </c>
      <c r="E5" s="316" t="str">
        <f>CONCATENATE('Z_6.1.3.sz.mell'!E5)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180000</v>
      </c>
      <c r="D8" s="121">
        <f>SUM(D9:D19)</f>
        <v>364029</v>
      </c>
      <c r="E8" s="149">
        <f>SUM(E9:E19)</f>
        <v>390746</v>
      </c>
    </row>
    <row r="9" spans="1:5" s="154" customFormat="1" ht="12" customHeight="1">
      <c r="A9" s="211" t="s">
        <v>63</v>
      </c>
      <c r="B9" s="8" t="s">
        <v>183</v>
      </c>
      <c r="C9" s="276"/>
      <c r="D9" s="276"/>
      <c r="E9" s="296"/>
    </row>
    <row r="10" spans="1:5" s="154" customFormat="1" ht="12" customHeight="1">
      <c r="A10" s="212" t="s">
        <v>64</v>
      </c>
      <c r="B10" s="6" t="s">
        <v>184</v>
      </c>
      <c r="C10" s="118">
        <v>180000</v>
      </c>
      <c r="D10" s="118">
        <v>180000</v>
      </c>
      <c r="E10" s="268">
        <v>185000</v>
      </c>
    </row>
    <row r="11" spans="1:5" s="154" customFormat="1" ht="12" customHeight="1">
      <c r="A11" s="212" t="s">
        <v>65</v>
      </c>
      <c r="B11" s="6" t="s">
        <v>185</v>
      </c>
      <c r="C11" s="118"/>
      <c r="D11" s="118"/>
      <c r="E11" s="268"/>
    </row>
    <row r="12" spans="1:5" s="154" customFormat="1" ht="12" customHeight="1">
      <c r="A12" s="212" t="s">
        <v>66</v>
      </c>
      <c r="B12" s="6" t="s">
        <v>186</v>
      </c>
      <c r="C12" s="118"/>
      <c r="D12" s="118"/>
      <c r="E12" s="268"/>
    </row>
    <row r="13" spans="1:5" s="154" customFormat="1" ht="12" customHeight="1">
      <c r="A13" s="212" t="s">
        <v>97</v>
      </c>
      <c r="B13" s="6" t="s">
        <v>187</v>
      </c>
      <c r="C13" s="118"/>
      <c r="D13" s="118"/>
      <c r="E13" s="268"/>
    </row>
    <row r="14" spans="1:5" s="154" customFormat="1" ht="12" customHeight="1">
      <c r="A14" s="212" t="s">
        <v>67</v>
      </c>
      <c r="B14" s="6" t="s">
        <v>304</v>
      </c>
      <c r="C14" s="118"/>
      <c r="D14" s="118">
        <v>14517</v>
      </c>
      <c r="E14" s="268">
        <v>17931</v>
      </c>
    </row>
    <row r="15" spans="1:5" s="154" customFormat="1" ht="12" customHeight="1">
      <c r="A15" s="212" t="s">
        <v>68</v>
      </c>
      <c r="B15" s="5" t="s">
        <v>305</v>
      </c>
      <c r="C15" s="118"/>
      <c r="D15" s="118"/>
      <c r="E15" s="268"/>
    </row>
    <row r="16" spans="1:5" s="154" customFormat="1" ht="12" customHeight="1">
      <c r="A16" s="212" t="s">
        <v>76</v>
      </c>
      <c r="B16" s="6" t="s">
        <v>190</v>
      </c>
      <c r="C16" s="274"/>
      <c r="D16" s="274">
        <v>4850</v>
      </c>
      <c r="E16" s="272">
        <v>8896</v>
      </c>
    </row>
    <row r="17" spans="1:5" s="219" customFormat="1" ht="12" customHeight="1">
      <c r="A17" s="212" t="s">
        <v>77</v>
      </c>
      <c r="B17" s="6" t="s">
        <v>191</v>
      </c>
      <c r="C17" s="118"/>
      <c r="D17" s="118"/>
      <c r="E17" s="268"/>
    </row>
    <row r="18" spans="1:5" s="219" customFormat="1" ht="12" customHeight="1">
      <c r="A18" s="212" t="s">
        <v>78</v>
      </c>
      <c r="B18" s="6" t="s">
        <v>337</v>
      </c>
      <c r="C18" s="120"/>
      <c r="D18" s="120"/>
      <c r="E18" s="269"/>
    </row>
    <row r="19" spans="1:5" s="219" customFormat="1" ht="12" customHeight="1" thickBot="1">
      <c r="A19" s="212" t="s">
        <v>79</v>
      </c>
      <c r="B19" s="5" t="s">
        <v>192</v>
      </c>
      <c r="C19" s="120"/>
      <c r="D19" s="120">
        <v>164662</v>
      </c>
      <c r="E19" s="269">
        <v>178919</v>
      </c>
    </row>
    <row r="20" spans="1:5" s="154" customFormat="1" ht="12" customHeight="1" thickBot="1">
      <c r="A20" s="76" t="s">
        <v>7</v>
      </c>
      <c r="B20" s="85" t="s">
        <v>306</v>
      </c>
      <c r="C20" s="121">
        <f>SUM(C21:C23)</f>
        <v>0</v>
      </c>
      <c r="D20" s="121">
        <f>SUM(D21:D23)</f>
        <v>3675652</v>
      </c>
      <c r="E20" s="149">
        <f>SUM(E21:E23)</f>
        <v>17373962</v>
      </c>
    </row>
    <row r="21" spans="1:5" s="219" customFormat="1" ht="12" customHeight="1">
      <c r="A21" s="212" t="s">
        <v>69</v>
      </c>
      <c r="B21" s="7" t="s">
        <v>167</v>
      </c>
      <c r="C21" s="118"/>
      <c r="D21" s="118"/>
      <c r="E21" s="268"/>
    </row>
    <row r="22" spans="1:5" s="219" customFormat="1" ht="12" customHeight="1">
      <c r="A22" s="212" t="s">
        <v>70</v>
      </c>
      <c r="B22" s="6" t="s">
        <v>307</v>
      </c>
      <c r="C22" s="118"/>
      <c r="D22" s="118"/>
      <c r="E22" s="268"/>
    </row>
    <row r="23" spans="1:5" s="219" customFormat="1" ht="12" customHeight="1">
      <c r="A23" s="212" t="s">
        <v>71</v>
      </c>
      <c r="B23" s="6" t="s">
        <v>308</v>
      </c>
      <c r="C23" s="118"/>
      <c r="D23" s="118">
        <v>3675652</v>
      </c>
      <c r="E23" s="268">
        <v>17373962</v>
      </c>
    </row>
    <row r="24" spans="1:5" s="219" customFormat="1" ht="12" customHeight="1" thickBot="1">
      <c r="A24" s="212" t="s">
        <v>72</v>
      </c>
      <c r="B24" s="6" t="s">
        <v>407</v>
      </c>
      <c r="C24" s="118"/>
      <c r="D24" s="118"/>
      <c r="E24" s="268"/>
    </row>
    <row r="25" spans="1:5" s="219" customFormat="1" ht="12" customHeight="1" thickBot="1">
      <c r="A25" s="80" t="s">
        <v>8</v>
      </c>
      <c r="B25" s="58" t="s">
        <v>113</v>
      </c>
      <c r="C25" s="298"/>
      <c r="D25" s="298"/>
      <c r="E25" s="148"/>
    </row>
    <row r="26" spans="1:5" s="219" customFormat="1" ht="12" customHeight="1" thickBot="1">
      <c r="A26" s="80" t="s">
        <v>9</v>
      </c>
      <c r="B26" s="58" t="s">
        <v>408</v>
      </c>
      <c r="C26" s="121">
        <f>+C27+C28+C29</f>
        <v>0</v>
      </c>
      <c r="D26" s="121">
        <f>+D27+D28+D29</f>
        <v>0</v>
      </c>
      <c r="E26" s="149">
        <f>+E27+E28+E29</f>
        <v>0</v>
      </c>
    </row>
    <row r="27" spans="1:5" s="219" customFormat="1" ht="12" customHeight="1">
      <c r="A27" s="213" t="s">
        <v>176</v>
      </c>
      <c r="B27" s="214" t="s">
        <v>172</v>
      </c>
      <c r="C27" s="275"/>
      <c r="D27" s="275"/>
      <c r="E27" s="273"/>
    </row>
    <row r="28" spans="1:5" s="219" customFormat="1" ht="12" customHeight="1">
      <c r="A28" s="213" t="s">
        <v>177</v>
      </c>
      <c r="B28" s="214" t="s">
        <v>307</v>
      </c>
      <c r="C28" s="118"/>
      <c r="D28" s="118"/>
      <c r="E28" s="268"/>
    </row>
    <row r="29" spans="1:5" s="219" customFormat="1" ht="12" customHeight="1">
      <c r="A29" s="213" t="s">
        <v>178</v>
      </c>
      <c r="B29" s="215" t="s">
        <v>310</v>
      </c>
      <c r="C29" s="118"/>
      <c r="D29" s="118"/>
      <c r="E29" s="268"/>
    </row>
    <row r="30" spans="1:5" s="219" customFormat="1" ht="12" customHeight="1" thickBot="1">
      <c r="A30" s="212" t="s">
        <v>179</v>
      </c>
      <c r="B30" s="63" t="s">
        <v>409</v>
      </c>
      <c r="C30" s="49"/>
      <c r="D30" s="49"/>
      <c r="E30" s="297"/>
    </row>
    <row r="31" spans="1:5" s="219" customFormat="1" ht="12" customHeight="1" thickBot="1">
      <c r="A31" s="80" t="s">
        <v>10</v>
      </c>
      <c r="B31" s="58" t="s">
        <v>311</v>
      </c>
      <c r="C31" s="121">
        <f>+C32+C33+C34</f>
        <v>0</v>
      </c>
      <c r="D31" s="121">
        <f>+D32+D33+D34</f>
        <v>0</v>
      </c>
      <c r="E31" s="149">
        <f>+E32+E33+E34</f>
        <v>0</v>
      </c>
    </row>
    <row r="32" spans="1:5" s="219" customFormat="1" ht="12" customHeight="1">
      <c r="A32" s="213" t="s">
        <v>56</v>
      </c>
      <c r="B32" s="214" t="s">
        <v>197</v>
      </c>
      <c r="C32" s="275"/>
      <c r="D32" s="275"/>
      <c r="E32" s="273"/>
    </row>
    <row r="33" spans="1:5" s="219" customFormat="1" ht="12" customHeight="1">
      <c r="A33" s="213" t="s">
        <v>57</v>
      </c>
      <c r="B33" s="215" t="s">
        <v>198</v>
      </c>
      <c r="C33" s="122"/>
      <c r="D33" s="122"/>
      <c r="E33" s="270"/>
    </row>
    <row r="34" spans="1:5" s="219" customFormat="1" ht="12" customHeight="1" thickBot="1">
      <c r="A34" s="212" t="s">
        <v>58</v>
      </c>
      <c r="B34" s="63" t="s">
        <v>199</v>
      </c>
      <c r="C34" s="49"/>
      <c r="D34" s="49"/>
      <c r="E34" s="297"/>
    </row>
    <row r="35" spans="1:5" s="154" customFormat="1" ht="12" customHeight="1" thickBot="1">
      <c r="A35" s="80" t="s">
        <v>11</v>
      </c>
      <c r="B35" s="58" t="s">
        <v>282</v>
      </c>
      <c r="C35" s="298"/>
      <c r="D35" s="298"/>
      <c r="E35" s="148"/>
    </row>
    <row r="36" spans="1:5" s="154" customFormat="1" ht="12" customHeight="1" thickBot="1">
      <c r="A36" s="80" t="s">
        <v>12</v>
      </c>
      <c r="B36" s="58" t="s">
        <v>312</v>
      </c>
      <c r="C36" s="298"/>
      <c r="D36" s="298"/>
      <c r="E36" s="148"/>
    </row>
    <row r="37" spans="1:5" s="154" customFormat="1" ht="12" customHeight="1" thickBot="1">
      <c r="A37" s="76" t="s">
        <v>13</v>
      </c>
      <c r="B37" s="58" t="s">
        <v>313</v>
      </c>
      <c r="C37" s="121">
        <f>+C8+C20+C25+C26+C31+C35+C36</f>
        <v>180000</v>
      </c>
      <c r="D37" s="121">
        <f>+D8+D20+D25+D26+D31+D35+D36</f>
        <v>4039681</v>
      </c>
      <c r="E37" s="149">
        <f>+E8+E20+E25+E26+E31+E35+E36</f>
        <v>17764708</v>
      </c>
    </row>
    <row r="38" spans="1:5" s="154" customFormat="1" ht="12" customHeight="1" thickBot="1">
      <c r="A38" s="86" t="s">
        <v>14</v>
      </c>
      <c r="B38" s="58" t="s">
        <v>314</v>
      </c>
      <c r="C38" s="121">
        <f>+C39+C40+C41</f>
        <v>69990203</v>
      </c>
      <c r="D38" s="121">
        <f>+D39+D40+D41</f>
        <v>77980387</v>
      </c>
      <c r="E38" s="149">
        <f>+E39+E40+E41</f>
        <v>108566001</v>
      </c>
    </row>
    <row r="39" spans="1:5" s="154" customFormat="1" ht="12" customHeight="1">
      <c r="A39" s="213" t="s">
        <v>315</v>
      </c>
      <c r="B39" s="214" t="s">
        <v>149</v>
      </c>
      <c r="C39" s="275"/>
      <c r="D39" s="275">
        <v>7990184</v>
      </c>
      <c r="E39" s="273">
        <v>37394105</v>
      </c>
    </row>
    <row r="40" spans="1:5" s="154" customFormat="1" ht="12" customHeight="1">
      <c r="A40" s="213" t="s">
        <v>316</v>
      </c>
      <c r="B40" s="215" t="s">
        <v>0</v>
      </c>
      <c r="C40" s="122"/>
      <c r="D40" s="122"/>
      <c r="E40" s="270"/>
    </row>
    <row r="41" spans="1:5" s="219" customFormat="1" ht="12" customHeight="1" thickBot="1">
      <c r="A41" s="212" t="s">
        <v>317</v>
      </c>
      <c r="B41" s="63" t="s">
        <v>318</v>
      </c>
      <c r="C41" s="49">
        <v>69990203</v>
      </c>
      <c r="D41" s="49">
        <v>69990203</v>
      </c>
      <c r="E41" s="297">
        <v>71171896</v>
      </c>
    </row>
    <row r="42" spans="1:5" s="219" customFormat="1" ht="15" customHeight="1" thickBot="1">
      <c r="A42" s="86" t="s">
        <v>15</v>
      </c>
      <c r="B42" s="87" t="s">
        <v>319</v>
      </c>
      <c r="C42" s="299">
        <f>+C37+C38</f>
        <v>70170203</v>
      </c>
      <c r="D42" s="299">
        <f>+D37+D38</f>
        <v>82020068</v>
      </c>
      <c r="E42" s="152">
        <f>+E37+E38</f>
        <v>126330709</v>
      </c>
    </row>
    <row r="43" spans="1:3" s="219" customFormat="1" ht="15" customHeight="1">
      <c r="A43" s="88"/>
      <c r="B43" s="89"/>
      <c r="C43" s="150"/>
    </row>
    <row r="44" spans="1:3" ht="13.5" thickBot="1">
      <c r="A44" s="90"/>
      <c r="B44" s="91"/>
      <c r="C44" s="151"/>
    </row>
    <row r="45" spans="1:5" s="218" customFormat="1" ht="16.5" customHeight="1" thickBot="1">
      <c r="A45" s="856" t="s">
        <v>40</v>
      </c>
      <c r="B45" s="857"/>
      <c r="C45" s="857"/>
      <c r="D45" s="857"/>
      <c r="E45" s="858"/>
    </row>
    <row r="46" spans="1:5" s="220" customFormat="1" ht="12" customHeight="1" thickBot="1">
      <c r="A46" s="80" t="s">
        <v>6</v>
      </c>
      <c r="B46" s="58" t="s">
        <v>320</v>
      </c>
      <c r="C46" s="121">
        <f>SUM(C47:C51)</f>
        <v>70170203</v>
      </c>
      <c r="D46" s="121">
        <f>SUM(D47:D51)</f>
        <v>81414078</v>
      </c>
      <c r="E46" s="149">
        <f>SUM(E47:E51)</f>
        <v>76218304</v>
      </c>
    </row>
    <row r="47" spans="1:5" ht="12" customHeight="1">
      <c r="A47" s="212" t="s">
        <v>63</v>
      </c>
      <c r="B47" s="7" t="s">
        <v>35</v>
      </c>
      <c r="C47" s="275">
        <v>51094360</v>
      </c>
      <c r="D47" s="275">
        <v>59214890</v>
      </c>
      <c r="E47" s="273">
        <v>56514548</v>
      </c>
    </row>
    <row r="48" spans="1:5" ht="12" customHeight="1">
      <c r="A48" s="212" t="s">
        <v>64</v>
      </c>
      <c r="B48" s="6" t="s">
        <v>122</v>
      </c>
      <c r="C48" s="48">
        <v>10115258</v>
      </c>
      <c r="D48" s="48">
        <v>11115100</v>
      </c>
      <c r="E48" s="271">
        <v>11115100</v>
      </c>
    </row>
    <row r="49" spans="1:5" ht="12" customHeight="1">
      <c r="A49" s="212" t="s">
        <v>65</v>
      </c>
      <c r="B49" s="6" t="s">
        <v>90</v>
      </c>
      <c r="C49" s="48">
        <v>8960585</v>
      </c>
      <c r="D49" s="48">
        <v>11084088</v>
      </c>
      <c r="E49" s="271">
        <v>8588656</v>
      </c>
    </row>
    <row r="50" spans="1:5" ht="12" customHeight="1">
      <c r="A50" s="212" t="s">
        <v>66</v>
      </c>
      <c r="B50" s="6" t="s">
        <v>123</v>
      </c>
      <c r="C50" s="48"/>
      <c r="D50" s="48"/>
      <c r="E50" s="271"/>
    </row>
    <row r="51" spans="1:5" ht="12" customHeight="1" thickBot="1">
      <c r="A51" s="212" t="s">
        <v>97</v>
      </c>
      <c r="B51" s="6" t="s">
        <v>124</v>
      </c>
      <c r="C51" s="48"/>
      <c r="D51" s="48"/>
      <c r="E51" s="271"/>
    </row>
    <row r="52" spans="1:5" ht="12" customHeight="1" thickBot="1">
      <c r="A52" s="80" t="s">
        <v>7</v>
      </c>
      <c r="B52" s="58" t="s">
        <v>321</v>
      </c>
      <c r="C52" s="121">
        <f>SUM(C53:C55)</f>
        <v>0</v>
      </c>
      <c r="D52" s="121">
        <f>SUM(D53:D55)</f>
        <v>605990</v>
      </c>
      <c r="E52" s="149">
        <f>SUM(E53:E55)</f>
        <v>605990</v>
      </c>
    </row>
    <row r="53" spans="1:5" s="220" customFormat="1" ht="12" customHeight="1">
      <c r="A53" s="212" t="s">
        <v>69</v>
      </c>
      <c r="B53" s="7" t="s">
        <v>143</v>
      </c>
      <c r="C53" s="275"/>
      <c r="D53" s="275">
        <v>605990</v>
      </c>
      <c r="E53" s="273">
        <v>605990</v>
      </c>
    </row>
    <row r="54" spans="1:5" ht="12" customHeight="1">
      <c r="A54" s="212" t="s">
        <v>70</v>
      </c>
      <c r="B54" s="6" t="s">
        <v>126</v>
      </c>
      <c r="C54" s="48"/>
      <c r="D54" s="48"/>
      <c r="E54" s="271"/>
    </row>
    <row r="55" spans="1:5" ht="12" customHeight="1">
      <c r="A55" s="212" t="s">
        <v>71</v>
      </c>
      <c r="B55" s="6" t="s">
        <v>41</v>
      </c>
      <c r="C55" s="48"/>
      <c r="D55" s="48"/>
      <c r="E55" s="271"/>
    </row>
    <row r="56" spans="1:5" ht="12" customHeight="1" thickBot="1">
      <c r="A56" s="212" t="s">
        <v>72</v>
      </c>
      <c r="B56" s="6" t="s">
        <v>410</v>
      </c>
      <c r="C56" s="48"/>
      <c r="D56" s="48"/>
      <c r="E56" s="271"/>
    </row>
    <row r="57" spans="1:5" ht="12" customHeight="1" thickBot="1">
      <c r="A57" s="80" t="s">
        <v>8</v>
      </c>
      <c r="B57" s="58" t="s">
        <v>2</v>
      </c>
      <c r="C57" s="298"/>
      <c r="D57" s="298"/>
      <c r="E57" s="148"/>
    </row>
    <row r="58" spans="1:5" ht="15" customHeight="1" thickBot="1">
      <c r="A58" s="80" t="s">
        <v>9</v>
      </c>
      <c r="B58" s="92" t="s">
        <v>414</v>
      </c>
      <c r="C58" s="299">
        <f>+C46+C52+C57</f>
        <v>70170203</v>
      </c>
      <c r="D58" s="299">
        <f>+D46+D52+D57</f>
        <v>82020068</v>
      </c>
      <c r="E58" s="152">
        <f>+E46+E52+E57</f>
        <v>76824294</v>
      </c>
    </row>
    <row r="59" spans="3:5" ht="13.5" thickBot="1">
      <c r="C59" s="662">
        <f>C42-C58</f>
        <v>0</v>
      </c>
      <c r="D59" s="662">
        <f>D42-D58</f>
        <v>0</v>
      </c>
      <c r="E59" s="153"/>
    </row>
    <row r="60" spans="1:5" ht="15" customHeight="1" thickBot="1">
      <c r="A60" s="303" t="s">
        <v>485</v>
      </c>
      <c r="B60" s="304"/>
      <c r="C60" s="293">
        <v>14</v>
      </c>
      <c r="D60" s="293">
        <v>14</v>
      </c>
      <c r="E60" s="292">
        <v>16</v>
      </c>
    </row>
    <row r="61" spans="1:5" ht="14.25" customHeight="1" thickBot="1">
      <c r="A61" s="305" t="s">
        <v>486</v>
      </c>
      <c r="B61" s="306"/>
      <c r="C61" s="293"/>
      <c r="D61" s="293"/>
      <c r="E61" s="292"/>
    </row>
  </sheetData>
  <sheetProtection sheet="1" formatCells="0"/>
  <mergeCells count="5">
    <mergeCell ref="B2:D2"/>
    <mergeCell ref="B3:D3"/>
    <mergeCell ref="A7:E7"/>
    <mergeCell ref="A45:E45"/>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19.xml><?xml version="1.0" encoding="utf-8"?>
<worksheet xmlns="http://schemas.openxmlformats.org/spreadsheetml/2006/main" xmlns:r="http://schemas.openxmlformats.org/officeDocument/2006/relationships">
  <sheetPr>
    <tabColor rgb="FF92D050"/>
  </sheetPr>
  <dimension ref="A1:E61"/>
  <sheetViews>
    <sheetView zoomScale="120" zoomScaleNormal="120" workbookViewId="0" topLeftCell="A1">
      <selection activeCell="G12" sqref="G12"/>
    </sheetView>
  </sheetViews>
  <sheetFormatPr defaultColWidth="9.00390625" defaultRowHeight="12.75"/>
  <cols>
    <col min="1" max="1" width="13.00390625" style="93" customWidth="1"/>
    <col min="2" max="2" width="59.00390625" style="94" customWidth="1"/>
    <col min="3" max="5" width="15.875" style="94" customWidth="1"/>
    <col min="6" max="16384" width="9.375" style="94" customWidth="1"/>
  </cols>
  <sheetData>
    <row r="1" spans="1:5" s="84" customFormat="1" ht="16.5" thickBot="1">
      <c r="A1" s="325"/>
      <c r="B1" s="860" t="str">
        <f>CONCATENATE("6.2.1. melléklet ",Z_ALAPADATOK!A7," ",Z_ALAPADATOK!B7," ",Z_ALAPADATOK!C7," ",Z_ALAPADATOK!D7," ",Z_ALAPADATOK!E7," ",Z_ALAPADATOK!F7," ",Z_ALAPADATOK!G7," ",Z_ALAPADATOK!H7)</f>
        <v>6.2.1. melléklet a 4 / 2020. ( VII.17. ) önkormányzati rendelethez</v>
      </c>
      <c r="C1" s="861"/>
      <c r="D1" s="861"/>
      <c r="E1" s="861"/>
    </row>
    <row r="2" spans="1:5" s="216" customFormat="1" ht="24.75" thickBot="1">
      <c r="A2" s="326" t="s">
        <v>453</v>
      </c>
      <c r="B2" s="862" t="str">
        <f>CONCATENATE('Z_6.2.sz.mell'!B2:D2)</f>
        <v>Polgármesteri /közös/ hivatal</v>
      </c>
      <c r="C2" s="863"/>
      <c r="D2" s="864"/>
      <c r="E2" s="327" t="s">
        <v>42</v>
      </c>
    </row>
    <row r="3" spans="1:5" s="216" customFormat="1" ht="24.75" thickBot="1">
      <c r="A3" s="326" t="s">
        <v>135</v>
      </c>
      <c r="B3" s="862" t="s">
        <v>322</v>
      </c>
      <c r="C3" s="863"/>
      <c r="D3" s="864"/>
      <c r="E3" s="327" t="s">
        <v>42</v>
      </c>
    </row>
    <row r="4" spans="1:5" s="217" customFormat="1" ht="15.75" customHeight="1" thickBot="1">
      <c r="A4" s="328"/>
      <c r="B4" s="328"/>
      <c r="C4" s="329"/>
      <c r="D4" s="330"/>
      <c r="E4" s="329" t="str">
        <f>'Z_6.2.sz.mell'!E4</f>
        <v> Forintban!</v>
      </c>
    </row>
    <row r="5" spans="1:5" ht="24.75" thickBot="1">
      <c r="A5" s="331" t="s">
        <v>136</v>
      </c>
      <c r="B5" s="332" t="s">
        <v>484</v>
      </c>
      <c r="C5" s="332" t="s">
        <v>449</v>
      </c>
      <c r="D5" s="333" t="s">
        <v>450</v>
      </c>
      <c r="E5" s="316" t="str">
        <f>CONCATENATE('Z_6.2.sz.mell'!E5)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49">
        <f>SUM(E9:E19)</f>
        <v>0</v>
      </c>
    </row>
    <row r="9" spans="1:5" s="154" customFormat="1" ht="12" customHeight="1">
      <c r="A9" s="211" t="s">
        <v>63</v>
      </c>
      <c r="B9" s="8" t="s">
        <v>183</v>
      </c>
      <c r="C9" s="276"/>
      <c r="D9" s="276"/>
      <c r="E9" s="296"/>
    </row>
    <row r="10" spans="1:5" s="154" customFormat="1" ht="12" customHeight="1">
      <c r="A10" s="212" t="s">
        <v>64</v>
      </c>
      <c r="B10" s="6" t="s">
        <v>184</v>
      </c>
      <c r="C10" s="118"/>
      <c r="D10" s="118"/>
      <c r="E10" s="268"/>
    </row>
    <row r="11" spans="1:5" s="154" customFormat="1" ht="12" customHeight="1">
      <c r="A11" s="212" t="s">
        <v>65</v>
      </c>
      <c r="B11" s="6" t="s">
        <v>185</v>
      </c>
      <c r="C11" s="118"/>
      <c r="D11" s="118"/>
      <c r="E11" s="268"/>
    </row>
    <row r="12" spans="1:5" s="154" customFormat="1" ht="12" customHeight="1">
      <c r="A12" s="212" t="s">
        <v>66</v>
      </c>
      <c r="B12" s="6" t="s">
        <v>186</v>
      </c>
      <c r="C12" s="118"/>
      <c r="D12" s="118"/>
      <c r="E12" s="268"/>
    </row>
    <row r="13" spans="1:5" s="154" customFormat="1" ht="12" customHeight="1">
      <c r="A13" s="212" t="s">
        <v>97</v>
      </c>
      <c r="B13" s="6" t="s">
        <v>187</v>
      </c>
      <c r="C13" s="118"/>
      <c r="D13" s="118"/>
      <c r="E13" s="268"/>
    </row>
    <row r="14" spans="1:5" s="154" customFormat="1" ht="12" customHeight="1">
      <c r="A14" s="212" t="s">
        <v>67</v>
      </c>
      <c r="B14" s="6" t="s">
        <v>304</v>
      </c>
      <c r="C14" s="118"/>
      <c r="D14" s="118"/>
      <c r="E14" s="268"/>
    </row>
    <row r="15" spans="1:5" s="154" customFormat="1" ht="12" customHeight="1">
      <c r="A15" s="212" t="s">
        <v>68</v>
      </c>
      <c r="B15" s="5" t="s">
        <v>305</v>
      </c>
      <c r="C15" s="118"/>
      <c r="D15" s="118"/>
      <c r="E15" s="268"/>
    </row>
    <row r="16" spans="1:5" s="154" customFormat="1" ht="12" customHeight="1">
      <c r="A16" s="212" t="s">
        <v>76</v>
      </c>
      <c r="B16" s="6" t="s">
        <v>190</v>
      </c>
      <c r="C16" s="274"/>
      <c r="D16" s="274"/>
      <c r="E16" s="272"/>
    </row>
    <row r="17" spans="1:5" s="219" customFormat="1" ht="12" customHeight="1">
      <c r="A17" s="212" t="s">
        <v>77</v>
      </c>
      <c r="B17" s="6" t="s">
        <v>191</v>
      </c>
      <c r="C17" s="118"/>
      <c r="D17" s="118"/>
      <c r="E17" s="268"/>
    </row>
    <row r="18" spans="1:5" s="219" customFormat="1" ht="12" customHeight="1">
      <c r="A18" s="212" t="s">
        <v>78</v>
      </c>
      <c r="B18" s="6" t="s">
        <v>337</v>
      </c>
      <c r="C18" s="120"/>
      <c r="D18" s="120"/>
      <c r="E18" s="269"/>
    </row>
    <row r="19" spans="1:5" s="219" customFormat="1" ht="12" customHeight="1" thickBot="1">
      <c r="A19" s="212" t="s">
        <v>79</v>
      </c>
      <c r="B19" s="5" t="s">
        <v>192</v>
      </c>
      <c r="C19" s="120"/>
      <c r="D19" s="120"/>
      <c r="E19" s="269"/>
    </row>
    <row r="20" spans="1:5" s="154" customFormat="1" ht="12" customHeight="1" thickBot="1">
      <c r="A20" s="76" t="s">
        <v>7</v>
      </c>
      <c r="B20" s="85" t="s">
        <v>306</v>
      </c>
      <c r="C20" s="121">
        <f>SUM(C21:C23)</f>
        <v>0</v>
      </c>
      <c r="D20" s="121">
        <f>SUM(D21:D23)</f>
        <v>0</v>
      </c>
      <c r="E20" s="149">
        <f>SUM(E21:E23)</f>
        <v>0</v>
      </c>
    </row>
    <row r="21" spans="1:5" s="219" customFormat="1" ht="12" customHeight="1">
      <c r="A21" s="212" t="s">
        <v>69</v>
      </c>
      <c r="B21" s="7" t="s">
        <v>167</v>
      </c>
      <c r="C21" s="118"/>
      <c r="D21" s="118"/>
      <c r="E21" s="268"/>
    </row>
    <row r="22" spans="1:5" s="219" customFormat="1" ht="12" customHeight="1">
      <c r="A22" s="212" t="s">
        <v>70</v>
      </c>
      <c r="B22" s="6" t="s">
        <v>307</v>
      </c>
      <c r="C22" s="118"/>
      <c r="D22" s="118"/>
      <c r="E22" s="268"/>
    </row>
    <row r="23" spans="1:5" s="219" customFormat="1" ht="12" customHeight="1">
      <c r="A23" s="212" t="s">
        <v>71</v>
      </c>
      <c r="B23" s="6" t="s">
        <v>308</v>
      </c>
      <c r="C23" s="118"/>
      <c r="D23" s="118"/>
      <c r="E23" s="268"/>
    </row>
    <row r="24" spans="1:5" s="219" customFormat="1" ht="12" customHeight="1" thickBot="1">
      <c r="A24" s="212" t="s">
        <v>72</v>
      </c>
      <c r="B24" s="6" t="s">
        <v>407</v>
      </c>
      <c r="C24" s="118"/>
      <c r="D24" s="118"/>
      <c r="E24" s="268"/>
    </row>
    <row r="25" spans="1:5" s="219" customFormat="1" ht="12" customHeight="1" thickBot="1">
      <c r="A25" s="80" t="s">
        <v>8</v>
      </c>
      <c r="B25" s="58" t="s">
        <v>113</v>
      </c>
      <c r="C25" s="298"/>
      <c r="D25" s="298"/>
      <c r="E25" s="148"/>
    </row>
    <row r="26" spans="1:5" s="219" customFormat="1" ht="12" customHeight="1" thickBot="1">
      <c r="A26" s="80" t="s">
        <v>9</v>
      </c>
      <c r="B26" s="58" t="s">
        <v>408</v>
      </c>
      <c r="C26" s="121">
        <f>+C27+C28+C29</f>
        <v>0</v>
      </c>
      <c r="D26" s="121">
        <f>+D27+D28+D29</f>
        <v>0</v>
      </c>
      <c r="E26" s="149">
        <f>+E27+E28+E29</f>
        <v>0</v>
      </c>
    </row>
    <row r="27" spans="1:5" s="219" customFormat="1" ht="12" customHeight="1">
      <c r="A27" s="213" t="s">
        <v>176</v>
      </c>
      <c r="B27" s="214" t="s">
        <v>172</v>
      </c>
      <c r="C27" s="275"/>
      <c r="D27" s="275"/>
      <c r="E27" s="273"/>
    </row>
    <row r="28" spans="1:5" s="219" customFormat="1" ht="12" customHeight="1">
      <c r="A28" s="213" t="s">
        <v>177</v>
      </c>
      <c r="B28" s="214" t="s">
        <v>307</v>
      </c>
      <c r="C28" s="118"/>
      <c r="D28" s="118"/>
      <c r="E28" s="268"/>
    </row>
    <row r="29" spans="1:5" s="219" customFormat="1" ht="12" customHeight="1">
      <c r="A29" s="213" t="s">
        <v>178</v>
      </c>
      <c r="B29" s="215" t="s">
        <v>310</v>
      </c>
      <c r="C29" s="118"/>
      <c r="D29" s="118"/>
      <c r="E29" s="268"/>
    </row>
    <row r="30" spans="1:5" s="219" customFormat="1" ht="12" customHeight="1" thickBot="1">
      <c r="A30" s="212" t="s">
        <v>179</v>
      </c>
      <c r="B30" s="63" t="s">
        <v>409</v>
      </c>
      <c r="C30" s="49"/>
      <c r="D30" s="49"/>
      <c r="E30" s="297"/>
    </row>
    <row r="31" spans="1:5" s="219" customFormat="1" ht="12" customHeight="1" thickBot="1">
      <c r="A31" s="80" t="s">
        <v>10</v>
      </c>
      <c r="B31" s="58" t="s">
        <v>311</v>
      </c>
      <c r="C31" s="121">
        <f>+C32+C33+C34</f>
        <v>0</v>
      </c>
      <c r="D31" s="121">
        <f>+D32+D33+D34</f>
        <v>0</v>
      </c>
      <c r="E31" s="149">
        <f>+E32+E33+E34</f>
        <v>0</v>
      </c>
    </row>
    <row r="32" spans="1:5" s="219" customFormat="1" ht="12" customHeight="1">
      <c r="A32" s="213" t="s">
        <v>56</v>
      </c>
      <c r="B32" s="214" t="s">
        <v>197</v>
      </c>
      <c r="C32" s="275"/>
      <c r="D32" s="275"/>
      <c r="E32" s="273"/>
    </row>
    <row r="33" spans="1:5" s="219" customFormat="1" ht="12" customHeight="1">
      <c r="A33" s="213" t="s">
        <v>57</v>
      </c>
      <c r="B33" s="215" t="s">
        <v>198</v>
      </c>
      <c r="C33" s="122"/>
      <c r="D33" s="122"/>
      <c r="E33" s="270"/>
    </row>
    <row r="34" spans="1:5" s="219" customFormat="1" ht="12" customHeight="1" thickBot="1">
      <c r="A34" s="212" t="s">
        <v>58</v>
      </c>
      <c r="B34" s="63" t="s">
        <v>199</v>
      </c>
      <c r="C34" s="49"/>
      <c r="D34" s="49"/>
      <c r="E34" s="297"/>
    </row>
    <row r="35" spans="1:5" s="154" customFormat="1" ht="12" customHeight="1" thickBot="1">
      <c r="A35" s="80" t="s">
        <v>11</v>
      </c>
      <c r="B35" s="58" t="s">
        <v>282</v>
      </c>
      <c r="C35" s="298"/>
      <c r="D35" s="298"/>
      <c r="E35" s="148"/>
    </row>
    <row r="36" spans="1:5" s="154" customFormat="1" ht="12" customHeight="1" thickBot="1">
      <c r="A36" s="80" t="s">
        <v>12</v>
      </c>
      <c r="B36" s="58" t="s">
        <v>312</v>
      </c>
      <c r="C36" s="298"/>
      <c r="D36" s="298"/>
      <c r="E36" s="148"/>
    </row>
    <row r="37" spans="1:5" s="154" customFormat="1" ht="12" customHeight="1" thickBot="1">
      <c r="A37" s="76" t="s">
        <v>13</v>
      </c>
      <c r="B37" s="58" t="s">
        <v>313</v>
      </c>
      <c r="C37" s="121">
        <f>+C8+C20+C25+C26+C31+C35+C36</f>
        <v>0</v>
      </c>
      <c r="D37" s="121">
        <f>+D8+D20+D25+D26+D31+D35+D36</f>
        <v>0</v>
      </c>
      <c r="E37" s="149">
        <f>+E8+E20+E25+E26+E31+E35+E36</f>
        <v>0</v>
      </c>
    </row>
    <row r="38" spans="1:5" s="154" customFormat="1" ht="12" customHeight="1" thickBot="1">
      <c r="A38" s="86" t="s">
        <v>14</v>
      </c>
      <c r="B38" s="58" t="s">
        <v>314</v>
      </c>
      <c r="C38" s="121">
        <f>+C39+C40+C41</f>
        <v>0</v>
      </c>
      <c r="D38" s="121">
        <f>+D39+D40+D41</f>
        <v>0</v>
      </c>
      <c r="E38" s="149">
        <f>+E39+E40+E41</f>
        <v>0</v>
      </c>
    </row>
    <row r="39" spans="1:5" s="154" customFormat="1" ht="12" customHeight="1">
      <c r="A39" s="213" t="s">
        <v>315</v>
      </c>
      <c r="B39" s="214" t="s">
        <v>149</v>
      </c>
      <c r="C39" s="275"/>
      <c r="D39" s="275"/>
      <c r="E39" s="273"/>
    </row>
    <row r="40" spans="1:5" s="154" customFormat="1" ht="12" customHeight="1">
      <c r="A40" s="213" t="s">
        <v>316</v>
      </c>
      <c r="B40" s="215" t="s">
        <v>0</v>
      </c>
      <c r="C40" s="122"/>
      <c r="D40" s="122"/>
      <c r="E40" s="270"/>
    </row>
    <row r="41" spans="1:5" s="219" customFormat="1" ht="12" customHeight="1" thickBot="1">
      <c r="A41" s="212" t="s">
        <v>317</v>
      </c>
      <c r="B41" s="63" t="s">
        <v>318</v>
      </c>
      <c r="C41" s="49"/>
      <c r="D41" s="49"/>
      <c r="E41" s="297"/>
    </row>
    <row r="42" spans="1:5" s="219" customFormat="1" ht="15" customHeight="1" thickBot="1">
      <c r="A42" s="86" t="s">
        <v>15</v>
      </c>
      <c r="B42" s="87" t="s">
        <v>319</v>
      </c>
      <c r="C42" s="299">
        <f>+C37+C38</f>
        <v>0</v>
      </c>
      <c r="D42" s="299">
        <f>+D37+D38</f>
        <v>0</v>
      </c>
      <c r="E42" s="152">
        <f>+E37+E38</f>
        <v>0</v>
      </c>
    </row>
    <row r="43" spans="1:3" s="219" customFormat="1" ht="15" customHeight="1">
      <c r="A43" s="88"/>
      <c r="B43" s="89"/>
      <c r="C43" s="150"/>
    </row>
    <row r="44" spans="1:3" ht="13.5" thickBot="1">
      <c r="A44" s="90"/>
      <c r="B44" s="91"/>
      <c r="C44" s="151"/>
    </row>
    <row r="45" spans="1:5" s="218" customFormat="1" ht="16.5" customHeight="1" thickBot="1">
      <c r="A45" s="856" t="s">
        <v>40</v>
      </c>
      <c r="B45" s="857"/>
      <c r="C45" s="857"/>
      <c r="D45" s="857"/>
      <c r="E45" s="858"/>
    </row>
    <row r="46" spans="1:5" s="220" customFormat="1" ht="12" customHeight="1" thickBot="1">
      <c r="A46" s="80" t="s">
        <v>6</v>
      </c>
      <c r="B46" s="58" t="s">
        <v>320</v>
      </c>
      <c r="C46" s="121">
        <f>SUM(C47:C51)</f>
        <v>0</v>
      </c>
      <c r="D46" s="121">
        <f>SUM(D47:D51)</f>
        <v>0</v>
      </c>
      <c r="E46" s="149">
        <f>SUM(E47:E51)</f>
        <v>0</v>
      </c>
    </row>
    <row r="47" spans="1:5" ht="12" customHeight="1">
      <c r="A47" s="212" t="s">
        <v>63</v>
      </c>
      <c r="B47" s="7" t="s">
        <v>35</v>
      </c>
      <c r="C47" s="275"/>
      <c r="D47" s="275"/>
      <c r="E47" s="273"/>
    </row>
    <row r="48" spans="1:5" ht="12" customHeight="1">
      <c r="A48" s="212" t="s">
        <v>64</v>
      </c>
      <c r="B48" s="6" t="s">
        <v>122</v>
      </c>
      <c r="C48" s="48"/>
      <c r="D48" s="48"/>
      <c r="E48" s="271"/>
    </row>
    <row r="49" spans="1:5" ht="12" customHeight="1">
      <c r="A49" s="212" t="s">
        <v>65</v>
      </c>
      <c r="B49" s="6" t="s">
        <v>90</v>
      </c>
      <c r="C49" s="48"/>
      <c r="D49" s="48"/>
      <c r="E49" s="271"/>
    </row>
    <row r="50" spans="1:5" ht="12" customHeight="1">
      <c r="A50" s="212" t="s">
        <v>66</v>
      </c>
      <c r="B50" s="6" t="s">
        <v>123</v>
      </c>
      <c r="C50" s="48"/>
      <c r="D50" s="48"/>
      <c r="E50" s="271"/>
    </row>
    <row r="51" spans="1:5" ht="12" customHeight="1" thickBot="1">
      <c r="A51" s="212" t="s">
        <v>97</v>
      </c>
      <c r="B51" s="6" t="s">
        <v>124</v>
      </c>
      <c r="C51" s="48"/>
      <c r="D51" s="48"/>
      <c r="E51" s="271"/>
    </row>
    <row r="52" spans="1:5" ht="12" customHeight="1" thickBot="1">
      <c r="A52" s="80" t="s">
        <v>7</v>
      </c>
      <c r="B52" s="58" t="s">
        <v>321</v>
      </c>
      <c r="C52" s="121">
        <f>SUM(C53:C55)</f>
        <v>0</v>
      </c>
      <c r="D52" s="121">
        <f>SUM(D53:D55)</f>
        <v>0</v>
      </c>
      <c r="E52" s="149">
        <f>SUM(E53:E55)</f>
        <v>0</v>
      </c>
    </row>
    <row r="53" spans="1:5" s="220" customFormat="1" ht="12" customHeight="1">
      <c r="A53" s="212" t="s">
        <v>69</v>
      </c>
      <c r="B53" s="7" t="s">
        <v>143</v>
      </c>
      <c r="C53" s="275"/>
      <c r="D53" s="275"/>
      <c r="E53" s="273"/>
    </row>
    <row r="54" spans="1:5" ht="12" customHeight="1">
      <c r="A54" s="212" t="s">
        <v>70</v>
      </c>
      <c r="B54" s="6" t="s">
        <v>126</v>
      </c>
      <c r="C54" s="48"/>
      <c r="D54" s="48"/>
      <c r="E54" s="271"/>
    </row>
    <row r="55" spans="1:5" ht="12" customHeight="1">
      <c r="A55" s="212" t="s">
        <v>71</v>
      </c>
      <c r="B55" s="6" t="s">
        <v>41</v>
      </c>
      <c r="C55" s="48"/>
      <c r="D55" s="48"/>
      <c r="E55" s="271"/>
    </row>
    <row r="56" spans="1:5" ht="12" customHeight="1" thickBot="1">
      <c r="A56" s="212" t="s">
        <v>72</v>
      </c>
      <c r="B56" s="6" t="s">
        <v>410</v>
      </c>
      <c r="C56" s="48"/>
      <c r="D56" s="48"/>
      <c r="E56" s="271"/>
    </row>
    <row r="57" spans="1:5" ht="12" customHeight="1" thickBot="1">
      <c r="A57" s="80" t="s">
        <v>8</v>
      </c>
      <c r="B57" s="58" t="s">
        <v>2</v>
      </c>
      <c r="C57" s="298"/>
      <c r="D57" s="298"/>
      <c r="E57" s="148"/>
    </row>
    <row r="58" spans="1:5" ht="15" customHeight="1" thickBot="1">
      <c r="A58" s="80" t="s">
        <v>9</v>
      </c>
      <c r="B58" s="92" t="s">
        <v>414</v>
      </c>
      <c r="C58" s="299">
        <f>+C46+C52+C57</f>
        <v>0</v>
      </c>
      <c r="D58" s="299">
        <f>+D46+D52+D57</f>
        <v>0</v>
      </c>
      <c r="E58" s="152">
        <f>+E46+E52+E57</f>
        <v>0</v>
      </c>
    </row>
    <row r="59" spans="3:5" ht="13.5" thickBot="1">
      <c r="C59" s="662">
        <f>C42-C58</f>
        <v>0</v>
      </c>
      <c r="D59" s="662">
        <f>D42-D58</f>
        <v>0</v>
      </c>
      <c r="E59" s="153"/>
    </row>
    <row r="60" spans="1:5" ht="15" customHeight="1" thickBot="1">
      <c r="A60" s="303" t="s">
        <v>485</v>
      </c>
      <c r="B60" s="304"/>
      <c r="C60" s="293"/>
      <c r="D60" s="293"/>
      <c r="E60" s="292"/>
    </row>
    <row r="61" spans="1:5" ht="14.25" customHeight="1" thickBot="1">
      <c r="A61" s="305" t="s">
        <v>486</v>
      </c>
      <c r="B61" s="306"/>
      <c r="C61" s="293"/>
      <c r="D61" s="293"/>
      <c r="E61" s="292"/>
    </row>
  </sheetData>
  <sheetProtection sheet="1" formatCells="0"/>
  <mergeCells count="5">
    <mergeCell ref="B2:D2"/>
    <mergeCell ref="B3:D3"/>
    <mergeCell ref="A7:E7"/>
    <mergeCell ref="A45:E45"/>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zoomScale="120" zoomScaleNormal="120" zoomScalePageLayoutView="0" workbookViewId="0" topLeftCell="A1">
      <selection activeCell="I15" sqref="I15"/>
    </sheetView>
  </sheetViews>
  <sheetFormatPr defaultColWidth="9.00390625" defaultRowHeight="12.75"/>
  <cols>
    <col min="1" max="1" width="43.375" style="0" customWidth="1"/>
    <col min="2" max="2" width="49.125" style="0" customWidth="1"/>
    <col min="3" max="3" width="1.37890625" style="0" bestFit="1" customWidth="1"/>
    <col min="4" max="4" width="6.875" style="0" customWidth="1"/>
    <col min="5" max="5" width="1.4921875" style="0" bestFit="1" customWidth="1"/>
    <col min="7" max="7" width="1.4921875" style="0" bestFit="1" customWidth="1"/>
    <col min="8" max="8" width="10.50390625" style="0" customWidth="1"/>
    <col min="10" max="13" width="0" style="0" hidden="1" customWidth="1"/>
  </cols>
  <sheetData>
    <row r="1" spans="1:9" ht="12.75">
      <c r="A1" s="647"/>
      <c r="B1" s="762">
        <f>Z_TARTALOMJEGYZÉK!A1</f>
        <v>2019</v>
      </c>
      <c r="C1" s="762" t="s">
        <v>837</v>
      </c>
      <c r="D1" s="762"/>
      <c r="E1" s="647"/>
      <c r="F1" s="647"/>
      <c r="G1" s="647"/>
      <c r="H1" s="647"/>
      <c r="I1" s="647"/>
    </row>
    <row r="2" spans="1:9" ht="15.75">
      <c r="A2" s="785" t="s">
        <v>493</v>
      </c>
      <c r="B2" s="785"/>
      <c r="C2" s="785"/>
      <c r="D2" s="785"/>
      <c r="E2" s="785"/>
      <c r="F2" s="785"/>
      <c r="G2" s="647"/>
      <c r="H2" s="647"/>
      <c r="I2" s="647"/>
    </row>
    <row r="3" spans="1:9" ht="15.75">
      <c r="A3" s="788" t="s">
        <v>869</v>
      </c>
      <c r="B3" s="788"/>
      <c r="C3" s="788"/>
      <c r="D3" s="788"/>
      <c r="E3" s="788"/>
      <c r="F3" s="788"/>
      <c r="G3" s="788"/>
      <c r="H3" s="647"/>
      <c r="I3" s="647"/>
    </row>
    <row r="4" spans="1:9" ht="12.75">
      <c r="A4" s="647"/>
      <c r="B4" s="647"/>
      <c r="C4" s="647"/>
      <c r="D4" s="647"/>
      <c r="E4" s="647"/>
      <c r="F4" s="647"/>
      <c r="G4" s="647"/>
      <c r="H4" s="647"/>
      <c r="I4" s="647"/>
    </row>
    <row r="5" spans="1:9" ht="12.75">
      <c r="A5" s="647"/>
      <c r="B5" s="647"/>
      <c r="C5" s="647"/>
      <c r="D5" s="647"/>
      <c r="E5" s="647"/>
      <c r="F5" s="647"/>
      <c r="G5" s="647"/>
      <c r="H5" s="647"/>
      <c r="I5" s="647"/>
    </row>
    <row r="6" spans="1:9" ht="14.25">
      <c r="A6" s="763" t="s">
        <v>821</v>
      </c>
      <c r="B6" s="647"/>
      <c r="C6" s="647"/>
      <c r="D6" s="647"/>
      <c r="E6" s="647"/>
      <c r="F6" s="647"/>
      <c r="G6" s="647"/>
      <c r="H6" s="647"/>
      <c r="I6" s="647"/>
    </row>
    <row r="7" spans="1:9" ht="12.75">
      <c r="A7" s="764" t="s">
        <v>815</v>
      </c>
      <c r="B7" s="705">
        <v>4</v>
      </c>
      <c r="C7" s="647" t="s">
        <v>816</v>
      </c>
      <c r="D7" s="647" t="str">
        <f>CONCATENATE(Z_TARTALOMJEGYZÉK!A1+1,".")</f>
        <v>2020.</v>
      </c>
      <c r="E7" s="647" t="s">
        <v>817</v>
      </c>
      <c r="F7" s="705" t="s">
        <v>911</v>
      </c>
      <c r="G7" s="647" t="s">
        <v>818</v>
      </c>
      <c r="H7" s="647" t="s">
        <v>819</v>
      </c>
      <c r="I7" s="647"/>
    </row>
    <row r="8" spans="1:9" ht="12.75">
      <c r="A8" s="764"/>
      <c r="B8" s="765"/>
      <c r="C8" s="647"/>
      <c r="D8" s="647"/>
      <c r="E8" s="647"/>
      <c r="F8" s="765"/>
      <c r="G8" s="647"/>
      <c r="H8" s="647"/>
      <c r="I8" s="647"/>
    </row>
    <row r="9" spans="1:9" ht="12.75">
      <c r="A9" s="764"/>
      <c r="B9" s="765"/>
      <c r="C9" s="647"/>
      <c r="D9" s="647"/>
      <c r="E9" s="647"/>
      <c r="F9" s="765"/>
      <c r="G9" s="647"/>
      <c r="H9" s="647"/>
      <c r="I9" s="647"/>
    </row>
    <row r="10" spans="1:9" ht="13.5" thickBot="1">
      <c r="A10" s="647"/>
      <c r="B10" s="647"/>
      <c r="C10" s="647"/>
      <c r="D10" s="647"/>
      <c r="E10" s="647"/>
      <c r="F10" s="647"/>
      <c r="G10" s="647"/>
      <c r="H10" s="708" t="s">
        <v>847</v>
      </c>
      <c r="I10" s="647"/>
    </row>
    <row r="11" spans="1:13" ht="17.25" thickBot="1" thickTop="1">
      <c r="A11" s="786" t="s">
        <v>494</v>
      </c>
      <c r="B11" s="787"/>
      <c r="C11" s="787"/>
      <c r="D11" s="787"/>
      <c r="E11" s="787"/>
      <c r="F11" s="787"/>
      <c r="G11" s="787"/>
      <c r="H11" s="766" t="s">
        <v>856</v>
      </c>
      <c r="I11" s="647"/>
      <c r="J11" s="709" t="s">
        <v>11</v>
      </c>
      <c r="K11">
        <f>IF($H$11="Nem","",2)</f>
        <v>2</v>
      </c>
      <c r="L11" t="s">
        <v>848</v>
      </c>
      <c r="M11" t="str">
        <f>CONCATENATE(J11,K11,L11)</f>
        <v>6.2.</v>
      </c>
    </row>
    <row r="12" spans="1:9" ht="13.5" thickTop="1">
      <c r="A12" s="647"/>
      <c r="B12" s="647"/>
      <c r="C12" s="647"/>
      <c r="D12" s="647"/>
      <c r="E12" s="647"/>
      <c r="F12" s="647"/>
      <c r="G12" s="647"/>
      <c r="H12" s="647"/>
      <c r="I12" s="647"/>
    </row>
    <row r="13" spans="1:13" ht="14.25">
      <c r="A13" s="767" t="s">
        <v>495</v>
      </c>
      <c r="B13" s="783" t="s">
        <v>870</v>
      </c>
      <c r="C13" s="784"/>
      <c r="D13" s="784"/>
      <c r="E13" s="784"/>
      <c r="F13" s="784"/>
      <c r="G13" s="784"/>
      <c r="H13" s="647"/>
      <c r="I13" s="647"/>
      <c r="J13" s="709" t="s">
        <v>11</v>
      </c>
      <c r="K13">
        <f>IF(H11="Nem",2,3)</f>
        <v>3</v>
      </c>
      <c r="L13" t="s">
        <v>848</v>
      </c>
      <c r="M13" t="str">
        <f>CONCATENATE(J13,K13,L13)</f>
        <v>6.3.</v>
      </c>
    </row>
    <row r="14" spans="1:9" ht="14.25">
      <c r="A14" s="647"/>
      <c r="B14" s="706"/>
      <c r="C14" s="647"/>
      <c r="D14" s="647"/>
      <c r="E14" s="647"/>
      <c r="F14" s="647"/>
      <c r="G14" s="647"/>
      <c r="H14" s="647"/>
      <c r="I14" s="647"/>
    </row>
    <row r="15" spans="1:13" ht="14.25">
      <c r="A15" s="767" t="s">
        <v>496</v>
      </c>
      <c r="B15" s="783" t="s">
        <v>871</v>
      </c>
      <c r="C15" s="784"/>
      <c r="D15" s="784"/>
      <c r="E15" s="784"/>
      <c r="F15" s="784"/>
      <c r="G15" s="784"/>
      <c r="H15" s="647"/>
      <c r="I15" s="647"/>
      <c r="J15" s="709" t="s">
        <v>11</v>
      </c>
      <c r="K15">
        <f>K13+1</f>
        <v>4</v>
      </c>
      <c r="L15" t="s">
        <v>848</v>
      </c>
      <c r="M15" t="str">
        <f>CONCATENATE(J15,K15,L15)</f>
        <v>6.4.</v>
      </c>
    </row>
    <row r="16" spans="1:9" ht="14.25">
      <c r="A16" s="647"/>
      <c r="B16" s="706"/>
      <c r="C16" s="647"/>
      <c r="D16" s="647"/>
      <c r="E16" s="647"/>
      <c r="F16" s="647"/>
      <c r="G16" s="647"/>
      <c r="H16" s="647"/>
      <c r="I16" s="647"/>
    </row>
    <row r="17" spans="1:13" ht="14.25">
      <c r="A17" s="767" t="s">
        <v>497</v>
      </c>
      <c r="B17" s="783" t="s">
        <v>498</v>
      </c>
      <c r="C17" s="784"/>
      <c r="D17" s="784"/>
      <c r="E17" s="784"/>
      <c r="F17" s="784"/>
      <c r="G17" s="784"/>
      <c r="H17" s="647"/>
      <c r="I17" s="647"/>
      <c r="J17" s="709" t="s">
        <v>11</v>
      </c>
      <c r="K17">
        <f>K15+1</f>
        <v>5</v>
      </c>
      <c r="L17" t="s">
        <v>848</v>
      </c>
      <c r="M17" t="str">
        <f>CONCATENATE(J17,K17,L17)</f>
        <v>6.5.</v>
      </c>
    </row>
    <row r="18" spans="1:9" ht="14.25">
      <c r="A18" s="647"/>
      <c r="B18" s="706"/>
      <c r="C18" s="647"/>
      <c r="D18" s="647"/>
      <c r="E18" s="647"/>
      <c r="F18" s="647"/>
      <c r="G18" s="647"/>
      <c r="H18" s="647"/>
      <c r="I18" s="647"/>
    </row>
    <row r="19" spans="1:13" ht="14.25">
      <c r="A19" s="767" t="s">
        <v>499</v>
      </c>
      <c r="B19" s="783" t="s">
        <v>500</v>
      </c>
      <c r="C19" s="784"/>
      <c r="D19" s="784"/>
      <c r="E19" s="784"/>
      <c r="F19" s="784"/>
      <c r="G19" s="784"/>
      <c r="H19" s="647"/>
      <c r="I19" s="647"/>
      <c r="J19" s="709" t="s">
        <v>11</v>
      </c>
      <c r="K19">
        <f>K17+1</f>
        <v>6</v>
      </c>
      <c r="L19" t="s">
        <v>848</v>
      </c>
      <c r="M19" t="str">
        <f>CONCATENATE(J19,K19,L19)</f>
        <v>6.6.</v>
      </c>
    </row>
    <row r="20" spans="1:9" ht="14.25">
      <c r="A20" s="647"/>
      <c r="B20" s="706"/>
      <c r="C20" s="647"/>
      <c r="D20" s="647"/>
      <c r="E20" s="647"/>
      <c r="F20" s="647"/>
      <c r="G20" s="647"/>
      <c r="H20" s="647"/>
      <c r="I20" s="647"/>
    </row>
    <row r="21" spans="1:13" ht="14.25">
      <c r="A21" s="767" t="s">
        <v>501</v>
      </c>
      <c r="B21" s="783" t="s">
        <v>502</v>
      </c>
      <c r="C21" s="784"/>
      <c r="D21" s="784"/>
      <c r="E21" s="784"/>
      <c r="F21" s="784"/>
      <c r="G21" s="784"/>
      <c r="H21" s="647"/>
      <c r="I21" s="647"/>
      <c r="J21" s="709" t="s">
        <v>11</v>
      </c>
      <c r="K21">
        <f>K19+1</f>
        <v>7</v>
      </c>
      <c r="L21" t="s">
        <v>848</v>
      </c>
      <c r="M21" t="str">
        <f>CONCATENATE(J21,K21,L21)</f>
        <v>6.7.</v>
      </c>
    </row>
    <row r="22" spans="1:9" ht="14.25">
      <c r="A22" s="647"/>
      <c r="B22" s="706"/>
      <c r="C22" s="647"/>
      <c r="D22" s="647"/>
      <c r="E22" s="647"/>
      <c r="F22" s="647"/>
      <c r="G22" s="647"/>
      <c r="H22" s="647"/>
      <c r="I22" s="647"/>
    </row>
    <row r="23" spans="1:13" ht="14.25">
      <c r="A23" s="767" t="s">
        <v>503</v>
      </c>
      <c r="B23" s="783" t="s">
        <v>504</v>
      </c>
      <c r="C23" s="784"/>
      <c r="D23" s="784"/>
      <c r="E23" s="784"/>
      <c r="F23" s="784"/>
      <c r="G23" s="784"/>
      <c r="H23" s="647"/>
      <c r="I23" s="647"/>
      <c r="J23" s="709" t="s">
        <v>11</v>
      </c>
      <c r="K23">
        <f>K21+1</f>
        <v>8</v>
      </c>
      <c r="L23" t="s">
        <v>848</v>
      </c>
      <c r="M23" t="str">
        <f>CONCATENATE(J23,K23,L23)</f>
        <v>6.8.</v>
      </c>
    </row>
    <row r="24" spans="1:9" ht="14.25">
      <c r="A24" s="647"/>
      <c r="B24" s="706"/>
      <c r="C24" s="647"/>
      <c r="D24" s="647"/>
      <c r="E24" s="647"/>
      <c r="F24" s="647"/>
      <c r="G24" s="647"/>
      <c r="H24" s="647"/>
      <c r="I24" s="647"/>
    </row>
    <row r="25" spans="1:13" ht="14.25">
      <c r="A25" s="767" t="s">
        <v>505</v>
      </c>
      <c r="B25" s="783" t="s">
        <v>506</v>
      </c>
      <c r="C25" s="784"/>
      <c r="D25" s="784"/>
      <c r="E25" s="784"/>
      <c r="F25" s="784"/>
      <c r="G25" s="784"/>
      <c r="H25" s="647"/>
      <c r="I25" s="647"/>
      <c r="J25" s="709" t="s">
        <v>11</v>
      </c>
      <c r="K25">
        <f>K23+1</f>
        <v>9</v>
      </c>
      <c r="L25" t="s">
        <v>848</v>
      </c>
      <c r="M25" t="str">
        <f>CONCATENATE(J25,K25,L25)</f>
        <v>6.9.</v>
      </c>
    </row>
    <row r="26" spans="1:9" ht="14.25">
      <c r="A26" s="647"/>
      <c r="B26" s="706"/>
      <c r="C26" s="647"/>
      <c r="D26" s="647"/>
      <c r="E26" s="647"/>
      <c r="F26" s="647"/>
      <c r="G26" s="647"/>
      <c r="H26" s="647"/>
      <c r="I26" s="647"/>
    </row>
    <row r="27" spans="1:13" ht="14.25">
      <c r="A27" s="767" t="s">
        <v>507</v>
      </c>
      <c r="B27" s="783" t="s">
        <v>508</v>
      </c>
      <c r="C27" s="784"/>
      <c r="D27" s="784"/>
      <c r="E27" s="784"/>
      <c r="F27" s="784"/>
      <c r="G27" s="784"/>
      <c r="H27" s="647"/>
      <c r="I27" s="647"/>
      <c r="J27" s="709" t="s">
        <v>11</v>
      </c>
      <c r="K27">
        <f>K25+1</f>
        <v>10</v>
      </c>
      <c r="L27" t="s">
        <v>848</v>
      </c>
      <c r="M27" t="str">
        <f>CONCATENATE(J27,K27,L27)</f>
        <v>6.10.</v>
      </c>
    </row>
    <row r="28" spans="1:9" ht="14.25">
      <c r="A28" s="647"/>
      <c r="B28" s="706"/>
      <c r="C28" s="647"/>
      <c r="D28" s="647"/>
      <c r="E28" s="647"/>
      <c r="F28" s="647"/>
      <c r="G28" s="647"/>
      <c r="H28" s="647"/>
      <c r="I28" s="647"/>
    </row>
    <row r="29" spans="1:13" ht="14.25">
      <c r="A29" s="767" t="s">
        <v>507</v>
      </c>
      <c r="B29" s="783" t="s">
        <v>509</v>
      </c>
      <c r="C29" s="784"/>
      <c r="D29" s="784"/>
      <c r="E29" s="784"/>
      <c r="F29" s="784"/>
      <c r="G29" s="784"/>
      <c r="H29" s="647"/>
      <c r="I29" s="647"/>
      <c r="J29" s="709" t="s">
        <v>11</v>
      </c>
      <c r="K29">
        <f>K27+1</f>
        <v>11</v>
      </c>
      <c r="L29" t="s">
        <v>848</v>
      </c>
      <c r="M29" t="str">
        <f>CONCATENATE(J29,K29,L29)</f>
        <v>6.11.</v>
      </c>
    </row>
    <row r="30" spans="1:9" ht="14.25">
      <c r="A30" s="647"/>
      <c r="B30" s="706"/>
      <c r="C30" s="647"/>
      <c r="D30" s="647"/>
      <c r="E30" s="647"/>
      <c r="F30" s="647"/>
      <c r="G30" s="647"/>
      <c r="H30" s="647"/>
      <c r="I30" s="647"/>
    </row>
    <row r="31" spans="1:13" ht="14.25">
      <c r="A31" s="767" t="s">
        <v>510</v>
      </c>
      <c r="B31" s="783" t="s">
        <v>511</v>
      </c>
      <c r="C31" s="784"/>
      <c r="D31" s="784"/>
      <c r="E31" s="784"/>
      <c r="F31" s="784"/>
      <c r="G31" s="784"/>
      <c r="H31" s="647"/>
      <c r="I31" s="647"/>
      <c r="J31" s="709" t="s">
        <v>11</v>
      </c>
      <c r="K31">
        <f>K29+1</f>
        <v>12</v>
      </c>
      <c r="L31" t="s">
        <v>848</v>
      </c>
      <c r="M31" t="str">
        <f>CONCATENATE(J31,K31,L31)</f>
        <v>6.12.</v>
      </c>
    </row>
    <row r="32" spans="1:9" ht="12.75">
      <c r="A32" s="647"/>
      <c r="B32" s="647"/>
      <c r="C32" s="647"/>
      <c r="D32" s="647"/>
      <c r="E32" s="647"/>
      <c r="F32" s="647"/>
      <c r="G32" s="647"/>
      <c r="H32" s="647"/>
      <c r="I32" s="647"/>
    </row>
    <row r="33" spans="1:9" ht="12.75">
      <c r="A33" s="647"/>
      <c r="B33" s="647"/>
      <c r="C33" s="647"/>
      <c r="D33" s="647"/>
      <c r="E33" s="647"/>
      <c r="F33" s="647"/>
      <c r="G33" s="647"/>
      <c r="H33" s="647"/>
      <c r="I33" s="647"/>
    </row>
  </sheetData>
  <sheetProtection sheet="1"/>
  <mergeCells count="13">
    <mergeCell ref="A2:F2"/>
    <mergeCell ref="A11:G11"/>
    <mergeCell ref="A3:G3"/>
    <mergeCell ref="B13:G13"/>
    <mergeCell ref="B15:G15"/>
    <mergeCell ref="B17:G17"/>
    <mergeCell ref="B31:G31"/>
    <mergeCell ref="B19:G19"/>
    <mergeCell ref="B21:G21"/>
    <mergeCell ref="B23:G23"/>
    <mergeCell ref="B25:G25"/>
    <mergeCell ref="B27:G27"/>
    <mergeCell ref="B29:G29"/>
  </mergeCells>
  <conditionalFormatting sqref="A11">
    <cfRule type="expression" priority="1" dxfId="3" stopIfTrue="1">
      <formula>$H$11="Nem"</formula>
    </cfRule>
  </conditionalFormatting>
  <dataValidations count="2">
    <dataValidation type="list" allowBlank="1" showInputMessage="1" showErrorMessage="1" sqref="A6">
      <formula1>",Előterjesztéskor,Jóváhagyás után"</formula1>
    </dataValidation>
    <dataValidation type="list" allowBlank="1" showInputMessage="1" showErrorMessage="1" sqref="H11">
      <formula1>"Igen,Nem"</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E61"/>
  <sheetViews>
    <sheetView zoomScale="120" zoomScaleNormal="120" workbookViewId="0" topLeftCell="A1">
      <selection activeCell="J21" sqref="J21"/>
    </sheetView>
  </sheetViews>
  <sheetFormatPr defaultColWidth="9.00390625" defaultRowHeight="12.75"/>
  <cols>
    <col min="1" max="1" width="13.00390625" style="93" customWidth="1"/>
    <col min="2" max="2" width="59.00390625" style="94" customWidth="1"/>
    <col min="3" max="5" width="15.875" style="94" customWidth="1"/>
    <col min="6" max="16384" width="9.375" style="94" customWidth="1"/>
  </cols>
  <sheetData>
    <row r="1" spans="1:5" s="84" customFormat="1" ht="16.5" thickBot="1">
      <c r="A1" s="325"/>
      <c r="B1" s="860" t="str">
        <f>CONCATENATE("6.2.2. melléklet ",Z_ALAPADATOK!A7," ",Z_ALAPADATOK!B7," ",Z_ALAPADATOK!C7," ",Z_ALAPADATOK!D7," ",Z_ALAPADATOK!E7," ",Z_ALAPADATOK!F7," ",Z_ALAPADATOK!G7," ",Z_ALAPADATOK!H7)</f>
        <v>6.2.2. melléklet a 4 / 2020. ( VII.17. ) önkormányzati rendelethez</v>
      </c>
      <c r="C1" s="861"/>
      <c r="D1" s="861"/>
      <c r="E1" s="861"/>
    </row>
    <row r="2" spans="1:5" s="216" customFormat="1" ht="24.75" thickBot="1">
      <c r="A2" s="326" t="s">
        <v>453</v>
      </c>
      <c r="B2" s="862" t="str">
        <f>CONCATENATE('Z_6.2.1.sz.mell'!B2:D2)</f>
        <v>Polgármesteri /közös/ hivatal</v>
      </c>
      <c r="C2" s="863"/>
      <c r="D2" s="864"/>
      <c r="E2" s="327" t="s">
        <v>42</v>
      </c>
    </row>
    <row r="3" spans="1:5" s="216" customFormat="1" ht="24.75" thickBot="1">
      <c r="A3" s="326" t="s">
        <v>135</v>
      </c>
      <c r="B3" s="862" t="s">
        <v>323</v>
      </c>
      <c r="C3" s="863"/>
      <c r="D3" s="864"/>
      <c r="E3" s="327" t="s">
        <v>43</v>
      </c>
    </row>
    <row r="4" spans="1:5" s="217" customFormat="1" ht="15.75" customHeight="1" thickBot="1">
      <c r="A4" s="328"/>
      <c r="B4" s="328"/>
      <c r="C4" s="329"/>
      <c r="D4" s="330"/>
      <c r="E4" s="329" t="str">
        <f>'Z_6.2.1.sz.mell'!E4</f>
        <v> Forintban!</v>
      </c>
    </row>
    <row r="5" spans="1:5" ht="24.75" thickBot="1">
      <c r="A5" s="331" t="s">
        <v>136</v>
      </c>
      <c r="B5" s="332" t="s">
        <v>484</v>
      </c>
      <c r="C5" s="332" t="s">
        <v>449</v>
      </c>
      <c r="D5" s="333" t="s">
        <v>450</v>
      </c>
      <c r="E5" s="316" t="str">
        <f>CONCATENATE('Z_6.2.1.sz.mell'!E5)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49">
        <f>SUM(E9:E19)</f>
        <v>0</v>
      </c>
    </row>
    <row r="9" spans="1:5" s="154" customFormat="1" ht="12" customHeight="1">
      <c r="A9" s="211" t="s">
        <v>63</v>
      </c>
      <c r="B9" s="8" t="s">
        <v>183</v>
      </c>
      <c r="C9" s="276"/>
      <c r="D9" s="276"/>
      <c r="E9" s="296"/>
    </row>
    <row r="10" spans="1:5" s="154" customFormat="1" ht="12" customHeight="1">
      <c r="A10" s="212" t="s">
        <v>64</v>
      </c>
      <c r="B10" s="6" t="s">
        <v>184</v>
      </c>
      <c r="C10" s="118"/>
      <c r="D10" s="118"/>
      <c r="E10" s="268"/>
    </row>
    <row r="11" spans="1:5" s="154" customFormat="1" ht="12" customHeight="1">
      <c r="A11" s="212" t="s">
        <v>65</v>
      </c>
      <c r="B11" s="6" t="s">
        <v>185</v>
      </c>
      <c r="C11" s="118"/>
      <c r="D11" s="118"/>
      <c r="E11" s="268"/>
    </row>
    <row r="12" spans="1:5" s="154" customFormat="1" ht="12" customHeight="1">
      <c r="A12" s="212" t="s">
        <v>66</v>
      </c>
      <c r="B12" s="6" t="s">
        <v>186</v>
      </c>
      <c r="C12" s="118"/>
      <c r="D12" s="118"/>
      <c r="E12" s="268"/>
    </row>
    <row r="13" spans="1:5" s="154" customFormat="1" ht="12" customHeight="1">
      <c r="A13" s="212" t="s">
        <v>97</v>
      </c>
      <c r="B13" s="6" t="s">
        <v>187</v>
      </c>
      <c r="C13" s="118"/>
      <c r="D13" s="118"/>
      <c r="E13" s="268"/>
    </row>
    <row r="14" spans="1:5" s="154" customFormat="1" ht="12" customHeight="1">
      <c r="A14" s="212" t="s">
        <v>67</v>
      </c>
      <c r="B14" s="6" t="s">
        <v>304</v>
      </c>
      <c r="C14" s="118"/>
      <c r="D14" s="118"/>
      <c r="E14" s="268"/>
    </row>
    <row r="15" spans="1:5" s="154" customFormat="1" ht="12" customHeight="1">
      <c r="A15" s="212" t="s">
        <v>68</v>
      </c>
      <c r="B15" s="5" t="s">
        <v>305</v>
      </c>
      <c r="C15" s="118"/>
      <c r="D15" s="118"/>
      <c r="E15" s="268"/>
    </row>
    <row r="16" spans="1:5" s="154" customFormat="1" ht="12" customHeight="1">
      <c r="A16" s="212" t="s">
        <v>76</v>
      </c>
      <c r="B16" s="6" t="s">
        <v>190</v>
      </c>
      <c r="C16" s="274"/>
      <c r="D16" s="274"/>
      <c r="E16" s="272"/>
    </row>
    <row r="17" spans="1:5" s="219" customFormat="1" ht="12" customHeight="1">
      <c r="A17" s="212" t="s">
        <v>77</v>
      </c>
      <c r="B17" s="6" t="s">
        <v>191</v>
      </c>
      <c r="C17" s="118"/>
      <c r="D17" s="118"/>
      <c r="E17" s="268"/>
    </row>
    <row r="18" spans="1:5" s="219" customFormat="1" ht="12" customHeight="1">
      <c r="A18" s="212" t="s">
        <v>78</v>
      </c>
      <c r="B18" s="6" t="s">
        <v>337</v>
      </c>
      <c r="C18" s="120"/>
      <c r="D18" s="120"/>
      <c r="E18" s="269"/>
    </row>
    <row r="19" spans="1:5" s="219" customFormat="1" ht="12" customHeight="1" thickBot="1">
      <c r="A19" s="212" t="s">
        <v>79</v>
      </c>
      <c r="B19" s="5" t="s">
        <v>192</v>
      </c>
      <c r="C19" s="120"/>
      <c r="D19" s="120"/>
      <c r="E19" s="269"/>
    </row>
    <row r="20" spans="1:5" s="154" customFormat="1" ht="12" customHeight="1" thickBot="1">
      <c r="A20" s="76" t="s">
        <v>7</v>
      </c>
      <c r="B20" s="85" t="s">
        <v>306</v>
      </c>
      <c r="C20" s="121">
        <f>SUM(C21:C23)</f>
        <v>0</v>
      </c>
      <c r="D20" s="121">
        <f>SUM(D21:D23)</f>
        <v>0</v>
      </c>
      <c r="E20" s="149">
        <f>SUM(E21:E23)</f>
        <v>0</v>
      </c>
    </row>
    <row r="21" spans="1:5" s="219" customFormat="1" ht="12" customHeight="1">
      <c r="A21" s="212" t="s">
        <v>69</v>
      </c>
      <c r="B21" s="7" t="s">
        <v>167</v>
      </c>
      <c r="C21" s="118"/>
      <c r="D21" s="118"/>
      <c r="E21" s="268"/>
    </row>
    <row r="22" spans="1:5" s="219" customFormat="1" ht="12" customHeight="1">
      <c r="A22" s="212" t="s">
        <v>70</v>
      </c>
      <c r="B22" s="6" t="s">
        <v>307</v>
      </c>
      <c r="C22" s="118"/>
      <c r="D22" s="118"/>
      <c r="E22" s="268"/>
    </row>
    <row r="23" spans="1:5" s="219" customFormat="1" ht="12" customHeight="1">
      <c r="A23" s="212" t="s">
        <v>71</v>
      </c>
      <c r="B23" s="6" t="s">
        <v>308</v>
      </c>
      <c r="C23" s="118"/>
      <c r="D23" s="118"/>
      <c r="E23" s="268"/>
    </row>
    <row r="24" spans="1:5" s="219" customFormat="1" ht="12" customHeight="1" thickBot="1">
      <c r="A24" s="212" t="s">
        <v>72</v>
      </c>
      <c r="B24" s="6" t="s">
        <v>407</v>
      </c>
      <c r="C24" s="118"/>
      <c r="D24" s="118"/>
      <c r="E24" s="268"/>
    </row>
    <row r="25" spans="1:5" s="219" customFormat="1" ht="12" customHeight="1" thickBot="1">
      <c r="A25" s="80" t="s">
        <v>8</v>
      </c>
      <c r="B25" s="58" t="s">
        <v>113</v>
      </c>
      <c r="C25" s="298"/>
      <c r="D25" s="298"/>
      <c r="E25" s="148"/>
    </row>
    <row r="26" spans="1:5" s="219" customFormat="1" ht="12" customHeight="1" thickBot="1">
      <c r="A26" s="80" t="s">
        <v>9</v>
      </c>
      <c r="B26" s="58" t="s">
        <v>408</v>
      </c>
      <c r="C26" s="121">
        <f>+C27+C28+C29</f>
        <v>0</v>
      </c>
      <c r="D26" s="121">
        <f>+D27+D28+D29</f>
        <v>0</v>
      </c>
      <c r="E26" s="149">
        <f>+E27+E28+E29</f>
        <v>0</v>
      </c>
    </row>
    <row r="27" spans="1:5" s="219" customFormat="1" ht="12" customHeight="1">
      <c r="A27" s="213" t="s">
        <v>176</v>
      </c>
      <c r="B27" s="214" t="s">
        <v>172</v>
      </c>
      <c r="C27" s="275"/>
      <c r="D27" s="275"/>
      <c r="E27" s="273"/>
    </row>
    <row r="28" spans="1:5" s="219" customFormat="1" ht="12" customHeight="1">
      <c r="A28" s="213" t="s">
        <v>177</v>
      </c>
      <c r="B28" s="214" t="s">
        <v>307</v>
      </c>
      <c r="C28" s="118"/>
      <c r="D28" s="118"/>
      <c r="E28" s="268"/>
    </row>
    <row r="29" spans="1:5" s="219" customFormat="1" ht="12" customHeight="1">
      <c r="A29" s="213" t="s">
        <v>178</v>
      </c>
      <c r="B29" s="215" t="s">
        <v>310</v>
      </c>
      <c r="C29" s="118"/>
      <c r="D29" s="118"/>
      <c r="E29" s="268"/>
    </row>
    <row r="30" spans="1:5" s="219" customFormat="1" ht="12" customHeight="1" thickBot="1">
      <c r="A30" s="212" t="s">
        <v>179</v>
      </c>
      <c r="B30" s="63" t="s">
        <v>409</v>
      </c>
      <c r="C30" s="49"/>
      <c r="D30" s="49"/>
      <c r="E30" s="297"/>
    </row>
    <row r="31" spans="1:5" s="219" customFormat="1" ht="12" customHeight="1" thickBot="1">
      <c r="A31" s="80" t="s">
        <v>10</v>
      </c>
      <c r="B31" s="58" t="s">
        <v>311</v>
      </c>
      <c r="C31" s="121">
        <f>+C32+C33+C34</f>
        <v>0</v>
      </c>
      <c r="D31" s="121">
        <f>+D32+D33+D34</f>
        <v>0</v>
      </c>
      <c r="E31" s="149">
        <f>+E32+E33+E34</f>
        <v>0</v>
      </c>
    </row>
    <row r="32" spans="1:5" s="219" customFormat="1" ht="12" customHeight="1">
      <c r="A32" s="213" t="s">
        <v>56</v>
      </c>
      <c r="B32" s="214" t="s">
        <v>197</v>
      </c>
      <c r="C32" s="275"/>
      <c r="D32" s="275"/>
      <c r="E32" s="273"/>
    </row>
    <row r="33" spans="1:5" s="219" customFormat="1" ht="12" customHeight="1">
      <c r="A33" s="213" t="s">
        <v>57</v>
      </c>
      <c r="B33" s="215" t="s">
        <v>198</v>
      </c>
      <c r="C33" s="122"/>
      <c r="D33" s="122"/>
      <c r="E33" s="270"/>
    </row>
    <row r="34" spans="1:5" s="219" customFormat="1" ht="12" customHeight="1" thickBot="1">
      <c r="A34" s="212" t="s">
        <v>58</v>
      </c>
      <c r="B34" s="63" t="s">
        <v>199</v>
      </c>
      <c r="C34" s="49"/>
      <c r="D34" s="49"/>
      <c r="E34" s="297"/>
    </row>
    <row r="35" spans="1:5" s="154" customFormat="1" ht="12" customHeight="1" thickBot="1">
      <c r="A35" s="80" t="s">
        <v>11</v>
      </c>
      <c r="B35" s="58" t="s">
        <v>282</v>
      </c>
      <c r="C35" s="298"/>
      <c r="D35" s="298"/>
      <c r="E35" s="148"/>
    </row>
    <row r="36" spans="1:5" s="154" customFormat="1" ht="12" customHeight="1" thickBot="1">
      <c r="A36" s="80" t="s">
        <v>12</v>
      </c>
      <c r="B36" s="58" t="s">
        <v>312</v>
      </c>
      <c r="C36" s="298"/>
      <c r="D36" s="298"/>
      <c r="E36" s="148"/>
    </row>
    <row r="37" spans="1:5" s="154" customFormat="1" ht="12" customHeight="1" thickBot="1">
      <c r="A37" s="76" t="s">
        <v>13</v>
      </c>
      <c r="B37" s="58" t="s">
        <v>313</v>
      </c>
      <c r="C37" s="121">
        <f>+C8+C20+C25+C26+C31+C35+C36</f>
        <v>0</v>
      </c>
      <c r="D37" s="121">
        <f>+D8+D20+D25+D26+D31+D35+D36</f>
        <v>0</v>
      </c>
      <c r="E37" s="149">
        <f>+E8+E20+E25+E26+E31+E35+E36</f>
        <v>0</v>
      </c>
    </row>
    <row r="38" spans="1:5" s="154" customFormat="1" ht="12" customHeight="1" thickBot="1">
      <c r="A38" s="86" t="s">
        <v>14</v>
      </c>
      <c r="B38" s="58" t="s">
        <v>314</v>
      </c>
      <c r="C38" s="121">
        <f>+C39+C40+C41</f>
        <v>0</v>
      </c>
      <c r="D38" s="121">
        <f>+D39+D40+D41</f>
        <v>0</v>
      </c>
      <c r="E38" s="149">
        <f>+E39+E40+E41</f>
        <v>0</v>
      </c>
    </row>
    <row r="39" spans="1:5" s="154" customFormat="1" ht="12" customHeight="1">
      <c r="A39" s="213" t="s">
        <v>315</v>
      </c>
      <c r="B39" s="214" t="s">
        <v>149</v>
      </c>
      <c r="C39" s="275"/>
      <c r="D39" s="275"/>
      <c r="E39" s="273"/>
    </row>
    <row r="40" spans="1:5" s="154" customFormat="1" ht="12" customHeight="1">
      <c r="A40" s="213" t="s">
        <v>316</v>
      </c>
      <c r="B40" s="215" t="s">
        <v>0</v>
      </c>
      <c r="C40" s="122"/>
      <c r="D40" s="122"/>
      <c r="E40" s="270"/>
    </row>
    <row r="41" spans="1:5" s="219" customFormat="1" ht="12" customHeight="1" thickBot="1">
      <c r="A41" s="212" t="s">
        <v>317</v>
      </c>
      <c r="B41" s="63" t="s">
        <v>318</v>
      </c>
      <c r="C41" s="49"/>
      <c r="D41" s="49"/>
      <c r="E41" s="297"/>
    </row>
    <row r="42" spans="1:5" s="219" customFormat="1" ht="15" customHeight="1" thickBot="1">
      <c r="A42" s="86" t="s">
        <v>15</v>
      </c>
      <c r="B42" s="87" t="s">
        <v>319</v>
      </c>
      <c r="C42" s="299">
        <f>+C37+C38</f>
        <v>0</v>
      </c>
      <c r="D42" s="299">
        <f>+D37+D38</f>
        <v>0</v>
      </c>
      <c r="E42" s="152">
        <f>+E37+E38</f>
        <v>0</v>
      </c>
    </row>
    <row r="43" spans="1:3" s="219" customFormat="1" ht="15" customHeight="1">
      <c r="A43" s="88"/>
      <c r="B43" s="89"/>
      <c r="C43" s="150"/>
    </row>
    <row r="44" spans="1:3" ht="13.5" thickBot="1">
      <c r="A44" s="90"/>
      <c r="B44" s="91"/>
      <c r="C44" s="151"/>
    </row>
    <row r="45" spans="1:5" s="218" customFormat="1" ht="16.5" customHeight="1" thickBot="1">
      <c r="A45" s="856" t="s">
        <v>40</v>
      </c>
      <c r="B45" s="857"/>
      <c r="C45" s="857"/>
      <c r="D45" s="857"/>
      <c r="E45" s="858"/>
    </row>
    <row r="46" spans="1:5" s="220" customFormat="1" ht="12" customHeight="1" thickBot="1">
      <c r="A46" s="80" t="s">
        <v>6</v>
      </c>
      <c r="B46" s="58" t="s">
        <v>320</v>
      </c>
      <c r="C46" s="121">
        <f>SUM(C47:C51)</f>
        <v>0</v>
      </c>
      <c r="D46" s="121">
        <f>SUM(D47:D51)</f>
        <v>0</v>
      </c>
      <c r="E46" s="149">
        <f>SUM(E47:E51)</f>
        <v>0</v>
      </c>
    </row>
    <row r="47" spans="1:5" ht="12" customHeight="1">
      <c r="A47" s="212" t="s">
        <v>63</v>
      </c>
      <c r="B47" s="7" t="s">
        <v>35</v>
      </c>
      <c r="C47" s="275"/>
      <c r="D47" s="275"/>
      <c r="E47" s="273"/>
    </row>
    <row r="48" spans="1:5" ht="12" customHeight="1">
      <c r="A48" s="212" t="s">
        <v>64</v>
      </c>
      <c r="B48" s="6" t="s">
        <v>122</v>
      </c>
      <c r="C48" s="48"/>
      <c r="D48" s="48"/>
      <c r="E48" s="271"/>
    </row>
    <row r="49" spans="1:5" ht="12" customHeight="1">
      <c r="A49" s="212" t="s">
        <v>65</v>
      </c>
      <c r="B49" s="6" t="s">
        <v>90</v>
      </c>
      <c r="C49" s="48"/>
      <c r="D49" s="48"/>
      <c r="E49" s="271"/>
    </row>
    <row r="50" spans="1:5" ht="12" customHeight="1">
      <c r="A50" s="212" t="s">
        <v>66</v>
      </c>
      <c r="B50" s="6" t="s">
        <v>123</v>
      </c>
      <c r="C50" s="48"/>
      <c r="D50" s="48"/>
      <c r="E50" s="271"/>
    </row>
    <row r="51" spans="1:5" ht="12" customHeight="1" thickBot="1">
      <c r="A51" s="212" t="s">
        <v>97</v>
      </c>
      <c r="B51" s="6" t="s">
        <v>124</v>
      </c>
      <c r="C51" s="48"/>
      <c r="D51" s="48"/>
      <c r="E51" s="271"/>
    </row>
    <row r="52" spans="1:5" ht="12" customHeight="1" thickBot="1">
      <c r="A52" s="80" t="s">
        <v>7</v>
      </c>
      <c r="B52" s="58" t="s">
        <v>321</v>
      </c>
      <c r="C52" s="121">
        <f>SUM(C53:C55)</f>
        <v>0</v>
      </c>
      <c r="D52" s="121">
        <f>SUM(D53:D55)</f>
        <v>0</v>
      </c>
      <c r="E52" s="149">
        <f>SUM(E53:E55)</f>
        <v>0</v>
      </c>
    </row>
    <row r="53" spans="1:5" s="220" customFormat="1" ht="12" customHeight="1">
      <c r="A53" s="212" t="s">
        <v>69</v>
      </c>
      <c r="B53" s="7" t="s">
        <v>143</v>
      </c>
      <c r="C53" s="275"/>
      <c r="D53" s="275"/>
      <c r="E53" s="273"/>
    </row>
    <row r="54" spans="1:5" ht="12" customHeight="1">
      <c r="A54" s="212" t="s">
        <v>70</v>
      </c>
      <c r="B54" s="6" t="s">
        <v>126</v>
      </c>
      <c r="C54" s="48"/>
      <c r="D54" s="48"/>
      <c r="E54" s="271"/>
    </row>
    <row r="55" spans="1:5" ht="12" customHeight="1">
      <c r="A55" s="212" t="s">
        <v>71</v>
      </c>
      <c r="B55" s="6" t="s">
        <v>41</v>
      </c>
      <c r="C55" s="48"/>
      <c r="D55" s="48"/>
      <c r="E55" s="271"/>
    </row>
    <row r="56" spans="1:5" ht="12" customHeight="1" thickBot="1">
      <c r="A56" s="212" t="s">
        <v>72</v>
      </c>
      <c r="B56" s="6" t="s">
        <v>410</v>
      </c>
      <c r="C56" s="48"/>
      <c r="D56" s="48"/>
      <c r="E56" s="271"/>
    </row>
    <row r="57" spans="1:5" ht="12" customHeight="1" thickBot="1">
      <c r="A57" s="80" t="s">
        <v>8</v>
      </c>
      <c r="B57" s="58" t="s">
        <v>2</v>
      </c>
      <c r="C57" s="298"/>
      <c r="D57" s="298"/>
      <c r="E57" s="148"/>
    </row>
    <row r="58" spans="1:5" ht="15" customHeight="1" thickBot="1">
      <c r="A58" s="80" t="s">
        <v>9</v>
      </c>
      <c r="B58" s="92" t="s">
        <v>414</v>
      </c>
      <c r="C58" s="299">
        <f>+C46+C52+C57</f>
        <v>0</v>
      </c>
      <c r="D58" s="299">
        <f>+D46+D52+D57</f>
        <v>0</v>
      </c>
      <c r="E58" s="152">
        <f>+E46+E52+E57</f>
        <v>0</v>
      </c>
    </row>
    <row r="59" spans="3:5" ht="13.5" thickBot="1">
      <c r="C59" s="662">
        <f>C42-C58</f>
        <v>0</v>
      </c>
      <c r="D59" s="662">
        <f>D42-D58</f>
        <v>0</v>
      </c>
      <c r="E59" s="153"/>
    </row>
    <row r="60" spans="1:5" ht="15" customHeight="1" thickBot="1">
      <c r="A60" s="303" t="s">
        <v>485</v>
      </c>
      <c r="B60" s="304"/>
      <c r="C60" s="293"/>
      <c r="D60" s="293"/>
      <c r="E60" s="292"/>
    </row>
    <row r="61" spans="1:5" ht="14.25" customHeight="1" thickBot="1">
      <c r="A61" s="305" t="s">
        <v>486</v>
      </c>
      <c r="B61" s="306"/>
      <c r="C61" s="293"/>
      <c r="D61" s="293"/>
      <c r="E61" s="292"/>
    </row>
  </sheetData>
  <sheetProtection sheet="1" formatCells="0"/>
  <mergeCells count="5">
    <mergeCell ref="B2:D2"/>
    <mergeCell ref="B3:D3"/>
    <mergeCell ref="A7:E7"/>
    <mergeCell ref="A45:E45"/>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1.xml><?xml version="1.0" encoding="utf-8"?>
<worksheet xmlns="http://schemas.openxmlformats.org/spreadsheetml/2006/main" xmlns:r="http://schemas.openxmlformats.org/officeDocument/2006/relationships">
  <sheetPr>
    <tabColor rgb="FF92D050"/>
  </sheetPr>
  <dimension ref="A1:E61"/>
  <sheetViews>
    <sheetView zoomScale="120" zoomScaleNormal="120" workbookViewId="0" topLeftCell="A40">
      <selection activeCell="E61" sqref="E61"/>
    </sheetView>
  </sheetViews>
  <sheetFormatPr defaultColWidth="9.00390625" defaultRowHeight="12.75"/>
  <cols>
    <col min="1" max="1" width="13.00390625" style="93" customWidth="1"/>
    <col min="2" max="2" width="59.00390625" style="94" customWidth="1"/>
    <col min="3" max="5" width="15.875" style="94" customWidth="1"/>
    <col min="6" max="16384" width="9.375" style="94" customWidth="1"/>
  </cols>
  <sheetData>
    <row r="1" spans="1:5" s="84" customFormat="1" ht="21" customHeight="1" thickBot="1">
      <c r="A1" s="325"/>
      <c r="B1" s="865" t="str">
        <f>CONCATENATE("6.2.3. melléklet ",Z_ALAPADATOK!A7," ",Z_ALAPADATOK!B7," ",Z_ALAPADATOK!C7," ",Z_ALAPADATOK!D7," ",Z_ALAPADATOK!E7," ",Z_ALAPADATOK!F7," ",Z_ALAPADATOK!G7," ",Z_ALAPADATOK!H7)</f>
        <v>6.2.3. melléklet a 4 / 2020. ( VII.17. ) önkormányzati rendelethez</v>
      </c>
      <c r="C1" s="866"/>
      <c r="D1" s="866"/>
      <c r="E1" s="866"/>
    </row>
    <row r="2" spans="1:5" s="216" customFormat="1" ht="24.75" thickBot="1">
      <c r="A2" s="326" t="s">
        <v>453</v>
      </c>
      <c r="B2" s="862" t="str">
        <f>CONCATENATE('Z_6.2.2.sz.mell'!B2:D2)</f>
        <v>Polgármesteri /közös/ hivatal</v>
      </c>
      <c r="C2" s="863"/>
      <c r="D2" s="864"/>
      <c r="E2" s="327" t="s">
        <v>42</v>
      </c>
    </row>
    <row r="3" spans="1:5" s="216" customFormat="1" ht="24.75" thickBot="1">
      <c r="A3" s="326" t="s">
        <v>135</v>
      </c>
      <c r="B3" s="862" t="s">
        <v>415</v>
      </c>
      <c r="C3" s="863"/>
      <c r="D3" s="864"/>
      <c r="E3" s="327" t="s">
        <v>332</v>
      </c>
    </row>
    <row r="4" spans="1:5" s="217" customFormat="1" ht="15.75" customHeight="1" thickBot="1">
      <c r="A4" s="328"/>
      <c r="B4" s="328"/>
      <c r="C4" s="329"/>
      <c r="D4" s="330"/>
      <c r="E4" s="329" t="str">
        <f>'Z_6.2.2.sz.mell'!E4</f>
        <v> Forintban!</v>
      </c>
    </row>
    <row r="5" spans="1:5" ht="24.75" thickBot="1">
      <c r="A5" s="331" t="s">
        <v>136</v>
      </c>
      <c r="B5" s="332" t="s">
        <v>484</v>
      </c>
      <c r="C5" s="332" t="s">
        <v>449</v>
      </c>
      <c r="D5" s="333" t="s">
        <v>450</v>
      </c>
      <c r="E5" s="316" t="str">
        <f>CONCATENATE('Z_6.2.2.sz.mell'!E5)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180000</v>
      </c>
      <c r="D8" s="121">
        <f>SUM(D9:D19)</f>
        <v>364029</v>
      </c>
      <c r="E8" s="149">
        <f>SUM(E9:E19)</f>
        <v>390746</v>
      </c>
    </row>
    <row r="9" spans="1:5" s="154" customFormat="1" ht="12" customHeight="1">
      <c r="A9" s="211" t="s">
        <v>63</v>
      </c>
      <c r="B9" s="8" t="s">
        <v>183</v>
      </c>
      <c r="C9" s="276"/>
      <c r="D9" s="276"/>
      <c r="E9" s="296"/>
    </row>
    <row r="10" spans="1:5" s="154" customFormat="1" ht="12" customHeight="1">
      <c r="A10" s="212" t="s">
        <v>64</v>
      </c>
      <c r="B10" s="6" t="s">
        <v>184</v>
      </c>
      <c r="C10" s="118">
        <v>180000</v>
      </c>
      <c r="D10" s="118">
        <v>180000</v>
      </c>
      <c r="E10" s="268">
        <v>185000</v>
      </c>
    </row>
    <row r="11" spans="1:5" s="154" customFormat="1" ht="12" customHeight="1">
      <c r="A11" s="212" t="s">
        <v>65</v>
      </c>
      <c r="B11" s="6" t="s">
        <v>185</v>
      </c>
      <c r="C11" s="118"/>
      <c r="D11" s="118"/>
      <c r="E11" s="268"/>
    </row>
    <row r="12" spans="1:5" s="154" customFormat="1" ht="12" customHeight="1">
      <c r="A12" s="212" t="s">
        <v>66</v>
      </c>
      <c r="B12" s="6" t="s">
        <v>186</v>
      </c>
      <c r="C12" s="118"/>
      <c r="D12" s="118"/>
      <c r="E12" s="268"/>
    </row>
    <row r="13" spans="1:5" s="154" customFormat="1" ht="12" customHeight="1">
      <c r="A13" s="212" t="s">
        <v>97</v>
      </c>
      <c r="B13" s="6" t="s">
        <v>187</v>
      </c>
      <c r="C13" s="118"/>
      <c r="D13" s="118"/>
      <c r="E13" s="268"/>
    </row>
    <row r="14" spans="1:5" s="154" customFormat="1" ht="12" customHeight="1">
      <c r="A14" s="212" t="s">
        <v>67</v>
      </c>
      <c r="B14" s="6" t="s">
        <v>304</v>
      </c>
      <c r="C14" s="118"/>
      <c r="D14" s="118">
        <v>14517</v>
      </c>
      <c r="E14" s="268">
        <v>17931</v>
      </c>
    </row>
    <row r="15" spans="1:5" s="154" customFormat="1" ht="12" customHeight="1">
      <c r="A15" s="212" t="s">
        <v>68</v>
      </c>
      <c r="B15" s="5" t="s">
        <v>305</v>
      </c>
      <c r="C15" s="118"/>
      <c r="D15" s="118"/>
      <c r="E15" s="268"/>
    </row>
    <row r="16" spans="1:5" s="154" customFormat="1" ht="12" customHeight="1">
      <c r="A16" s="212" t="s">
        <v>76</v>
      </c>
      <c r="B16" s="6" t="s">
        <v>190</v>
      </c>
      <c r="C16" s="274"/>
      <c r="D16" s="274">
        <v>4850</v>
      </c>
      <c r="E16" s="272">
        <v>8896</v>
      </c>
    </row>
    <row r="17" spans="1:5" s="219" customFormat="1" ht="12" customHeight="1">
      <c r="A17" s="212" t="s">
        <v>77</v>
      </c>
      <c r="B17" s="6" t="s">
        <v>191</v>
      </c>
      <c r="C17" s="118"/>
      <c r="D17" s="118"/>
      <c r="E17" s="268"/>
    </row>
    <row r="18" spans="1:5" s="219" customFormat="1" ht="12" customHeight="1">
      <c r="A18" s="212" t="s">
        <v>78</v>
      </c>
      <c r="B18" s="6" t="s">
        <v>337</v>
      </c>
      <c r="C18" s="120"/>
      <c r="D18" s="120"/>
      <c r="E18" s="269"/>
    </row>
    <row r="19" spans="1:5" s="219" customFormat="1" ht="12" customHeight="1" thickBot="1">
      <c r="A19" s="212" t="s">
        <v>79</v>
      </c>
      <c r="B19" s="5" t="s">
        <v>192</v>
      </c>
      <c r="C19" s="120"/>
      <c r="D19" s="120">
        <v>164662</v>
      </c>
      <c r="E19" s="269">
        <v>178919</v>
      </c>
    </row>
    <row r="20" spans="1:5" s="154" customFormat="1" ht="12" customHeight="1" thickBot="1">
      <c r="A20" s="76" t="s">
        <v>7</v>
      </c>
      <c r="B20" s="85" t="s">
        <v>306</v>
      </c>
      <c r="C20" s="121">
        <f>SUM(C21:C23)</f>
        <v>0</v>
      </c>
      <c r="D20" s="121">
        <f>SUM(D21:D23)</f>
        <v>3675652</v>
      </c>
      <c r="E20" s="149">
        <f>SUM(E21:E23)</f>
        <v>17373962</v>
      </c>
    </row>
    <row r="21" spans="1:5" s="219" customFormat="1" ht="12" customHeight="1">
      <c r="A21" s="212" t="s">
        <v>69</v>
      </c>
      <c r="B21" s="7" t="s">
        <v>167</v>
      </c>
      <c r="C21" s="118"/>
      <c r="D21" s="118"/>
      <c r="E21" s="268"/>
    </row>
    <row r="22" spans="1:5" s="219" customFormat="1" ht="12" customHeight="1">
      <c r="A22" s="212" t="s">
        <v>70</v>
      </c>
      <c r="B22" s="6" t="s">
        <v>307</v>
      </c>
      <c r="C22" s="118"/>
      <c r="D22" s="118"/>
      <c r="E22" s="268"/>
    </row>
    <row r="23" spans="1:5" s="219" customFormat="1" ht="12" customHeight="1">
      <c r="A23" s="212" t="s">
        <v>71</v>
      </c>
      <c r="B23" s="6" t="s">
        <v>308</v>
      </c>
      <c r="C23" s="118"/>
      <c r="D23" s="118">
        <v>3675652</v>
      </c>
      <c r="E23" s="268">
        <v>17373962</v>
      </c>
    </row>
    <row r="24" spans="1:5" s="219" customFormat="1" ht="12" customHeight="1" thickBot="1">
      <c r="A24" s="212" t="s">
        <v>72</v>
      </c>
      <c r="B24" s="6" t="s">
        <v>407</v>
      </c>
      <c r="C24" s="118"/>
      <c r="D24" s="118"/>
      <c r="E24" s="268"/>
    </row>
    <row r="25" spans="1:5" s="219" customFormat="1" ht="12" customHeight="1" thickBot="1">
      <c r="A25" s="80" t="s">
        <v>8</v>
      </c>
      <c r="B25" s="58" t="s">
        <v>113</v>
      </c>
      <c r="C25" s="298"/>
      <c r="D25" s="298"/>
      <c r="E25" s="148"/>
    </row>
    <row r="26" spans="1:5" s="219" customFormat="1" ht="12" customHeight="1" thickBot="1">
      <c r="A26" s="80" t="s">
        <v>9</v>
      </c>
      <c r="B26" s="58" t="s">
        <v>408</v>
      </c>
      <c r="C26" s="121">
        <f>+C27+C28+C29</f>
        <v>0</v>
      </c>
      <c r="D26" s="121">
        <f>+D27+D28+D29</f>
        <v>0</v>
      </c>
      <c r="E26" s="149">
        <f>+E27+E28+E29</f>
        <v>0</v>
      </c>
    </row>
    <row r="27" spans="1:5" s="219" customFormat="1" ht="12" customHeight="1">
      <c r="A27" s="213" t="s">
        <v>176</v>
      </c>
      <c r="B27" s="214" t="s">
        <v>172</v>
      </c>
      <c r="C27" s="275"/>
      <c r="D27" s="275"/>
      <c r="E27" s="273"/>
    </row>
    <row r="28" spans="1:5" s="219" customFormat="1" ht="12" customHeight="1">
      <c r="A28" s="213" t="s">
        <v>177</v>
      </c>
      <c r="B28" s="214" t="s">
        <v>307</v>
      </c>
      <c r="C28" s="118"/>
      <c r="D28" s="118"/>
      <c r="E28" s="268"/>
    </row>
    <row r="29" spans="1:5" s="219" customFormat="1" ht="12" customHeight="1">
      <c r="A29" s="213" t="s">
        <v>178</v>
      </c>
      <c r="B29" s="215" t="s">
        <v>310</v>
      </c>
      <c r="C29" s="118"/>
      <c r="D29" s="118"/>
      <c r="E29" s="268"/>
    </row>
    <row r="30" spans="1:5" s="219" customFormat="1" ht="12" customHeight="1" thickBot="1">
      <c r="A30" s="212" t="s">
        <v>179</v>
      </c>
      <c r="B30" s="63" t="s">
        <v>409</v>
      </c>
      <c r="C30" s="49"/>
      <c r="D30" s="49"/>
      <c r="E30" s="297"/>
    </row>
    <row r="31" spans="1:5" s="219" customFormat="1" ht="12" customHeight="1" thickBot="1">
      <c r="A31" s="80" t="s">
        <v>10</v>
      </c>
      <c r="B31" s="58" t="s">
        <v>311</v>
      </c>
      <c r="C31" s="121">
        <f>+C32+C33+C34</f>
        <v>0</v>
      </c>
      <c r="D31" s="121">
        <f>+D32+D33+D34</f>
        <v>0</v>
      </c>
      <c r="E31" s="149">
        <f>+E32+E33+E34</f>
        <v>0</v>
      </c>
    </row>
    <row r="32" spans="1:5" s="219" customFormat="1" ht="12" customHeight="1">
      <c r="A32" s="213" t="s">
        <v>56</v>
      </c>
      <c r="B32" s="214" t="s">
        <v>197</v>
      </c>
      <c r="C32" s="275"/>
      <c r="D32" s="275"/>
      <c r="E32" s="273"/>
    </row>
    <row r="33" spans="1:5" s="219" customFormat="1" ht="12" customHeight="1">
      <c r="A33" s="213" t="s">
        <v>57</v>
      </c>
      <c r="B33" s="215" t="s">
        <v>198</v>
      </c>
      <c r="C33" s="122"/>
      <c r="D33" s="122"/>
      <c r="E33" s="270"/>
    </row>
    <row r="34" spans="1:5" s="219" customFormat="1" ht="12" customHeight="1" thickBot="1">
      <c r="A34" s="212" t="s">
        <v>58</v>
      </c>
      <c r="B34" s="63" t="s">
        <v>199</v>
      </c>
      <c r="C34" s="49"/>
      <c r="D34" s="49"/>
      <c r="E34" s="297"/>
    </row>
    <row r="35" spans="1:5" s="154" customFormat="1" ht="12" customHeight="1" thickBot="1">
      <c r="A35" s="80" t="s">
        <v>11</v>
      </c>
      <c r="B35" s="58" t="s">
        <v>282</v>
      </c>
      <c r="C35" s="298"/>
      <c r="D35" s="298"/>
      <c r="E35" s="148"/>
    </row>
    <row r="36" spans="1:5" s="154" customFormat="1" ht="12" customHeight="1" thickBot="1">
      <c r="A36" s="80" t="s">
        <v>12</v>
      </c>
      <c r="B36" s="58" t="s">
        <v>312</v>
      </c>
      <c r="C36" s="298"/>
      <c r="D36" s="298"/>
      <c r="E36" s="148"/>
    </row>
    <row r="37" spans="1:5" s="154" customFormat="1" ht="12" customHeight="1" thickBot="1">
      <c r="A37" s="76" t="s">
        <v>13</v>
      </c>
      <c r="B37" s="58" t="s">
        <v>313</v>
      </c>
      <c r="C37" s="121">
        <f>+C8+C20+C25+C26+C31+C35+C36</f>
        <v>180000</v>
      </c>
      <c r="D37" s="121">
        <f>+D8+D20+D25+D26+D31+D35+D36</f>
        <v>4039681</v>
      </c>
      <c r="E37" s="149">
        <f>+E8+E20+E25+E26+E31+E35+E36</f>
        <v>17764708</v>
      </c>
    </row>
    <row r="38" spans="1:5" s="154" customFormat="1" ht="12" customHeight="1" thickBot="1">
      <c r="A38" s="86" t="s">
        <v>14</v>
      </c>
      <c r="B38" s="58" t="s">
        <v>314</v>
      </c>
      <c r="C38" s="121">
        <f>+C39+C40+C41</f>
        <v>69990203</v>
      </c>
      <c r="D38" s="121">
        <f>+D39+D40+D41</f>
        <v>77980387</v>
      </c>
      <c r="E38" s="149">
        <f>+E39+E40+E41</f>
        <v>108566001</v>
      </c>
    </row>
    <row r="39" spans="1:5" s="154" customFormat="1" ht="12" customHeight="1">
      <c r="A39" s="213" t="s">
        <v>315</v>
      </c>
      <c r="B39" s="214" t="s">
        <v>149</v>
      </c>
      <c r="C39" s="275"/>
      <c r="D39" s="275">
        <v>7990184</v>
      </c>
      <c r="E39" s="273">
        <v>37394105</v>
      </c>
    </row>
    <row r="40" spans="1:5" s="154" customFormat="1" ht="12" customHeight="1">
      <c r="A40" s="213" t="s">
        <v>316</v>
      </c>
      <c r="B40" s="215" t="s">
        <v>0</v>
      </c>
      <c r="C40" s="122"/>
      <c r="D40" s="122"/>
      <c r="E40" s="270"/>
    </row>
    <row r="41" spans="1:5" s="219" customFormat="1" ht="12" customHeight="1" thickBot="1">
      <c r="A41" s="212" t="s">
        <v>317</v>
      </c>
      <c r="B41" s="63" t="s">
        <v>318</v>
      </c>
      <c r="C41" s="49">
        <v>69990203</v>
      </c>
      <c r="D41" s="49">
        <v>69990203</v>
      </c>
      <c r="E41" s="297">
        <v>71171896</v>
      </c>
    </row>
    <row r="42" spans="1:5" s="219" customFormat="1" ht="15" customHeight="1" thickBot="1">
      <c r="A42" s="86" t="s">
        <v>15</v>
      </c>
      <c r="B42" s="87" t="s">
        <v>319</v>
      </c>
      <c r="C42" s="299">
        <f>+C37+C38</f>
        <v>70170203</v>
      </c>
      <c r="D42" s="299">
        <f>+D37+D38</f>
        <v>82020068</v>
      </c>
      <c r="E42" s="152">
        <f>+E37+E38</f>
        <v>126330709</v>
      </c>
    </row>
    <row r="43" spans="1:3" s="219" customFormat="1" ht="15" customHeight="1">
      <c r="A43" s="88"/>
      <c r="B43" s="89"/>
      <c r="C43" s="150"/>
    </row>
    <row r="44" spans="1:3" ht="13.5" thickBot="1">
      <c r="A44" s="90"/>
      <c r="B44" s="91"/>
      <c r="C44" s="151"/>
    </row>
    <row r="45" spans="1:5" s="218" customFormat="1" ht="16.5" customHeight="1" thickBot="1">
      <c r="A45" s="856" t="s">
        <v>40</v>
      </c>
      <c r="B45" s="857"/>
      <c r="C45" s="857"/>
      <c r="D45" s="857"/>
      <c r="E45" s="858"/>
    </row>
    <row r="46" spans="1:5" s="220" customFormat="1" ht="12" customHeight="1" thickBot="1">
      <c r="A46" s="80" t="s">
        <v>6</v>
      </c>
      <c r="B46" s="58" t="s">
        <v>320</v>
      </c>
      <c r="C46" s="121">
        <f>SUM(C47:C51)</f>
        <v>70170203</v>
      </c>
      <c r="D46" s="121">
        <f>SUM(D47:D51)</f>
        <v>81414078</v>
      </c>
      <c r="E46" s="149">
        <f>SUM(E47:E51)</f>
        <v>76218304</v>
      </c>
    </row>
    <row r="47" spans="1:5" ht="12" customHeight="1">
      <c r="A47" s="212" t="s">
        <v>63</v>
      </c>
      <c r="B47" s="7" t="s">
        <v>35</v>
      </c>
      <c r="C47" s="275">
        <v>51094360</v>
      </c>
      <c r="D47" s="275">
        <v>59214890</v>
      </c>
      <c r="E47" s="273">
        <v>56514548</v>
      </c>
    </row>
    <row r="48" spans="1:5" ht="12" customHeight="1">
      <c r="A48" s="212" t="s">
        <v>64</v>
      </c>
      <c r="B48" s="6" t="s">
        <v>122</v>
      </c>
      <c r="C48" s="48">
        <v>10115258</v>
      </c>
      <c r="D48" s="48">
        <v>11115100</v>
      </c>
      <c r="E48" s="271">
        <v>11115100</v>
      </c>
    </row>
    <row r="49" spans="1:5" ht="12" customHeight="1">
      <c r="A49" s="212" t="s">
        <v>65</v>
      </c>
      <c r="B49" s="6" t="s">
        <v>90</v>
      </c>
      <c r="C49" s="48">
        <v>8960585</v>
      </c>
      <c r="D49" s="48">
        <v>11084088</v>
      </c>
      <c r="E49" s="271">
        <v>8588656</v>
      </c>
    </row>
    <row r="50" spans="1:5" ht="12" customHeight="1">
      <c r="A50" s="212" t="s">
        <v>66</v>
      </c>
      <c r="B50" s="6" t="s">
        <v>123</v>
      </c>
      <c r="C50" s="48"/>
      <c r="D50" s="48"/>
      <c r="E50" s="271"/>
    </row>
    <row r="51" spans="1:5" ht="12" customHeight="1" thickBot="1">
      <c r="A51" s="212" t="s">
        <v>97</v>
      </c>
      <c r="B51" s="6" t="s">
        <v>124</v>
      </c>
      <c r="C51" s="48"/>
      <c r="D51" s="48"/>
      <c r="E51" s="271"/>
    </row>
    <row r="52" spans="1:5" ht="12" customHeight="1" thickBot="1">
      <c r="A52" s="80" t="s">
        <v>7</v>
      </c>
      <c r="B52" s="58" t="s">
        <v>321</v>
      </c>
      <c r="C52" s="121">
        <f>SUM(C53:C55)</f>
        <v>0</v>
      </c>
      <c r="D52" s="121">
        <f>SUM(D53:D55)</f>
        <v>605990</v>
      </c>
      <c r="E52" s="149">
        <f>SUM(E53:E55)</f>
        <v>605990</v>
      </c>
    </row>
    <row r="53" spans="1:5" s="220" customFormat="1" ht="12" customHeight="1">
      <c r="A53" s="212" t="s">
        <v>69</v>
      </c>
      <c r="B53" s="7" t="s">
        <v>143</v>
      </c>
      <c r="C53" s="275"/>
      <c r="D53" s="275">
        <v>605990</v>
      </c>
      <c r="E53" s="273">
        <v>605990</v>
      </c>
    </row>
    <row r="54" spans="1:5" ht="12" customHeight="1">
      <c r="A54" s="212" t="s">
        <v>70</v>
      </c>
      <c r="B54" s="6" t="s">
        <v>126</v>
      </c>
      <c r="C54" s="48"/>
      <c r="D54" s="48"/>
      <c r="E54" s="271"/>
    </row>
    <row r="55" spans="1:5" ht="12" customHeight="1">
      <c r="A55" s="212" t="s">
        <v>71</v>
      </c>
      <c r="B55" s="6" t="s">
        <v>41</v>
      </c>
      <c r="C55" s="48"/>
      <c r="D55" s="48"/>
      <c r="E55" s="271"/>
    </row>
    <row r="56" spans="1:5" ht="12" customHeight="1" thickBot="1">
      <c r="A56" s="212" t="s">
        <v>72</v>
      </c>
      <c r="B56" s="6" t="s">
        <v>410</v>
      </c>
      <c r="C56" s="48"/>
      <c r="D56" s="48"/>
      <c r="E56" s="271"/>
    </row>
    <row r="57" spans="1:5" ht="12" customHeight="1" thickBot="1">
      <c r="A57" s="80" t="s">
        <v>8</v>
      </c>
      <c r="B57" s="58" t="s">
        <v>2</v>
      </c>
      <c r="C57" s="298"/>
      <c r="D57" s="298"/>
      <c r="E57" s="148"/>
    </row>
    <row r="58" spans="1:5" ht="15" customHeight="1" thickBot="1">
      <c r="A58" s="80" t="s">
        <v>9</v>
      </c>
      <c r="B58" s="92" t="s">
        <v>414</v>
      </c>
      <c r="C58" s="299">
        <f>+C46+C52+C57</f>
        <v>70170203</v>
      </c>
      <c r="D58" s="299">
        <f>+D46+D52+D57</f>
        <v>82020068</v>
      </c>
      <c r="E58" s="152">
        <f>+E46+E52+E57</f>
        <v>76824294</v>
      </c>
    </row>
    <row r="59" spans="3:5" ht="13.5" thickBot="1">
      <c r="C59" s="662">
        <f>C42-C58</f>
        <v>0</v>
      </c>
      <c r="D59" s="662">
        <f>D42-D58</f>
        <v>0</v>
      </c>
      <c r="E59" s="153"/>
    </row>
    <row r="60" spans="1:5" ht="15" customHeight="1" thickBot="1">
      <c r="A60" s="303" t="s">
        <v>485</v>
      </c>
      <c r="B60" s="304"/>
      <c r="C60" s="293">
        <v>14</v>
      </c>
      <c r="D60" s="293">
        <v>14</v>
      </c>
      <c r="E60" s="292">
        <v>16</v>
      </c>
    </row>
    <row r="61" spans="1:5" ht="14.25" customHeight="1" thickBot="1">
      <c r="A61" s="305" t="s">
        <v>486</v>
      </c>
      <c r="B61" s="306"/>
      <c r="C61" s="293"/>
      <c r="D61" s="293"/>
      <c r="E61" s="292"/>
    </row>
  </sheetData>
  <sheetProtection formatCells="0"/>
  <mergeCells count="5">
    <mergeCell ref="B2:D2"/>
    <mergeCell ref="B3:D3"/>
    <mergeCell ref="A7:E7"/>
    <mergeCell ref="A45:E45"/>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2.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L46" sqref="L46"/>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0" t="str">
        <f>CONCATENATE(Z_ALAPADATOK!M13," melléklet ",Z_ALAPADATOK!A7," ",Z_ALAPADATOK!B7," ",Z_ALAPADATOK!C7," ",Z_ALAPADATOK!D7," ",Z_ALAPADATOK!E7," ",Z_ALAPADATOK!F7," ",Z_ALAPADATOK!G7," ",Z_ALAPADATOK!H7)</f>
        <v>6.3. melléklet a 4 / 2020. ( VII.17. ) önkormányzati rendelethez</v>
      </c>
      <c r="C1" s="861"/>
      <c r="D1" s="861"/>
      <c r="E1" s="861"/>
    </row>
    <row r="2" spans="1:5" s="216" customFormat="1" ht="25.5" customHeight="1" thickBot="1">
      <c r="A2" s="326" t="s">
        <v>453</v>
      </c>
      <c r="B2" s="862" t="str">
        <f>CONCATENATE(Z_ALAPADATOK!B13)</f>
        <v>Kállósemjéni Polgármesteri Hivatal</v>
      </c>
      <c r="C2" s="863"/>
      <c r="D2" s="864"/>
      <c r="E2" s="327" t="s">
        <v>43</v>
      </c>
    </row>
    <row r="3" spans="1:5" s="216" customFormat="1" ht="24.75" thickBot="1">
      <c r="A3" s="326" t="s">
        <v>135</v>
      </c>
      <c r="B3" s="862" t="s">
        <v>302</v>
      </c>
      <c r="C3" s="863"/>
      <c r="D3" s="864"/>
      <c r="E3" s="327" t="s">
        <v>38</v>
      </c>
    </row>
    <row r="4" spans="1:5" s="217" customFormat="1" ht="15.75" customHeight="1" thickBot="1">
      <c r="A4" s="328"/>
      <c r="B4" s="328"/>
      <c r="C4" s="329"/>
      <c r="D4" s="330"/>
      <c r="E4" s="329" t="str">
        <f>'Z_6.2.3.sz.mell'!E4</f>
        <v> Forintban!</v>
      </c>
    </row>
    <row r="5" spans="1:5" ht="24.75" thickBot="1">
      <c r="A5" s="331" t="s">
        <v>136</v>
      </c>
      <c r="B5" s="332" t="s">
        <v>484</v>
      </c>
      <c r="C5" s="332" t="s">
        <v>449</v>
      </c>
      <c r="D5" s="333" t="s">
        <v>450</v>
      </c>
      <c r="E5" s="316" t="str">
        <f>CONCATENATE('Z_6.2.3.sz.mell'!E5)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180000</v>
      </c>
      <c r="D8" s="121">
        <f>SUM(D9:D19)</f>
        <v>364029</v>
      </c>
      <c r="E8" s="123">
        <f>SUM(E9:E19)</f>
        <v>390746</v>
      </c>
    </row>
    <row r="9" spans="1:5" s="154" customFormat="1" ht="12" customHeight="1">
      <c r="A9" s="211" t="s">
        <v>63</v>
      </c>
      <c r="B9" s="8" t="s">
        <v>183</v>
      </c>
      <c r="C9" s="276"/>
      <c r="D9" s="276"/>
      <c r="E9" s="296"/>
    </row>
    <row r="10" spans="1:5" s="154" customFormat="1" ht="12" customHeight="1">
      <c r="A10" s="212" t="s">
        <v>64</v>
      </c>
      <c r="B10" s="6" t="s">
        <v>184</v>
      </c>
      <c r="C10" s="118">
        <v>180000</v>
      </c>
      <c r="D10" s="263">
        <v>180000</v>
      </c>
      <c r="E10" s="268">
        <v>185000</v>
      </c>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v>14517</v>
      </c>
      <c r="E14" s="268">
        <v>17931</v>
      </c>
    </row>
    <row r="15" spans="1:5" s="154" customFormat="1" ht="12" customHeight="1">
      <c r="A15" s="212" t="s">
        <v>68</v>
      </c>
      <c r="B15" s="5" t="s">
        <v>305</v>
      </c>
      <c r="C15" s="118"/>
      <c r="D15" s="263"/>
      <c r="E15" s="268"/>
    </row>
    <row r="16" spans="1:5" s="154" customFormat="1" ht="12" customHeight="1">
      <c r="A16" s="212" t="s">
        <v>76</v>
      </c>
      <c r="B16" s="6" t="s">
        <v>190</v>
      </c>
      <c r="C16" s="274"/>
      <c r="D16" s="301">
        <v>4850</v>
      </c>
      <c r="E16" s="272">
        <v>8896</v>
      </c>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v>164662</v>
      </c>
      <c r="E19" s="269">
        <v>178919</v>
      </c>
    </row>
    <row r="20" spans="1:5" s="154" customFormat="1" ht="12" customHeight="1" thickBot="1">
      <c r="A20" s="76" t="s">
        <v>7</v>
      </c>
      <c r="B20" s="85" t="s">
        <v>306</v>
      </c>
      <c r="C20" s="121">
        <f>SUM(C21:C23)</f>
        <v>0</v>
      </c>
      <c r="D20" s="265">
        <f>SUM(D21:D23)</f>
        <v>3675652</v>
      </c>
      <c r="E20" s="149">
        <f>SUM(E21:E23)</f>
        <v>17373962</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v>3675652</v>
      </c>
      <c r="E23" s="268">
        <v>17373962</v>
      </c>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180000</v>
      </c>
      <c r="D36" s="265">
        <f>+D8+D20+D25+D26+D30+D34+D35</f>
        <v>4039681</v>
      </c>
      <c r="E36" s="149">
        <f>+E8+E20+E25+E26+E30+E34+E35</f>
        <v>17764708</v>
      </c>
    </row>
    <row r="37" spans="1:5" s="154" customFormat="1" ht="12" customHeight="1" thickBot="1">
      <c r="A37" s="86" t="s">
        <v>14</v>
      </c>
      <c r="B37" s="58" t="s">
        <v>314</v>
      </c>
      <c r="C37" s="121">
        <f>+C38+C39+C40</f>
        <v>69990203</v>
      </c>
      <c r="D37" s="265">
        <f>+D38+D39+D40</f>
        <v>77980387</v>
      </c>
      <c r="E37" s="149">
        <f>+E38+E39+E40</f>
        <v>108566001</v>
      </c>
    </row>
    <row r="38" spans="1:5" s="154" customFormat="1" ht="12" customHeight="1">
      <c r="A38" s="213" t="s">
        <v>315</v>
      </c>
      <c r="B38" s="214" t="s">
        <v>149</v>
      </c>
      <c r="C38" s="275"/>
      <c r="D38" s="60">
        <v>7990184</v>
      </c>
      <c r="E38" s="273">
        <v>37394105</v>
      </c>
    </row>
    <row r="39" spans="1:5" s="154" customFormat="1" ht="12" customHeight="1">
      <c r="A39" s="213" t="s">
        <v>316</v>
      </c>
      <c r="B39" s="215" t="s">
        <v>0</v>
      </c>
      <c r="C39" s="122"/>
      <c r="D39" s="266"/>
      <c r="E39" s="270"/>
    </row>
    <row r="40" spans="1:5" s="219" customFormat="1" ht="12" customHeight="1" thickBot="1">
      <c r="A40" s="212" t="s">
        <v>317</v>
      </c>
      <c r="B40" s="63" t="s">
        <v>318</v>
      </c>
      <c r="C40" s="49">
        <v>69990203</v>
      </c>
      <c r="D40" s="302">
        <v>69990203</v>
      </c>
      <c r="E40" s="297">
        <v>71171896</v>
      </c>
    </row>
    <row r="41" spans="1:5" s="219" customFormat="1" ht="15" customHeight="1" thickBot="1">
      <c r="A41" s="86" t="s">
        <v>15</v>
      </c>
      <c r="B41" s="87" t="s">
        <v>319</v>
      </c>
      <c r="C41" s="299">
        <f>+C36+C37</f>
        <v>70170203</v>
      </c>
      <c r="D41" s="295">
        <f>+D36+D37</f>
        <v>82020068</v>
      </c>
      <c r="E41" s="152">
        <f>+E36+E37</f>
        <v>126330709</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70170203</v>
      </c>
      <c r="D45" s="265">
        <f>SUM(D46:D50)</f>
        <v>81414078</v>
      </c>
      <c r="E45" s="149">
        <f>SUM(E46:E50)</f>
        <v>76218304</v>
      </c>
    </row>
    <row r="46" spans="1:5" ht="12" customHeight="1">
      <c r="A46" s="212" t="s">
        <v>63</v>
      </c>
      <c r="B46" s="7" t="s">
        <v>35</v>
      </c>
      <c r="C46" s="275">
        <v>51094360</v>
      </c>
      <c r="D46" s="60">
        <v>59214890</v>
      </c>
      <c r="E46" s="273">
        <v>56514548</v>
      </c>
    </row>
    <row r="47" spans="1:5" ht="12" customHeight="1">
      <c r="A47" s="212" t="s">
        <v>64</v>
      </c>
      <c r="B47" s="6" t="s">
        <v>122</v>
      </c>
      <c r="C47" s="48">
        <v>10115258</v>
      </c>
      <c r="D47" s="61">
        <v>11115100</v>
      </c>
      <c r="E47" s="271">
        <v>11115100</v>
      </c>
    </row>
    <row r="48" spans="1:5" ht="12" customHeight="1">
      <c r="A48" s="212" t="s">
        <v>65</v>
      </c>
      <c r="B48" s="6" t="s">
        <v>90</v>
      </c>
      <c r="C48" s="48">
        <v>8960585</v>
      </c>
      <c r="D48" s="61">
        <v>11084088</v>
      </c>
      <c r="E48" s="271">
        <v>8588656</v>
      </c>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605990</v>
      </c>
      <c r="E51" s="149">
        <f>SUM(E52:E54)</f>
        <v>605990</v>
      </c>
    </row>
    <row r="52" spans="1:5" s="220" customFormat="1" ht="12" customHeight="1">
      <c r="A52" s="212" t="s">
        <v>69</v>
      </c>
      <c r="B52" s="7" t="s">
        <v>143</v>
      </c>
      <c r="C52" s="275"/>
      <c r="D52" s="60">
        <v>605990</v>
      </c>
      <c r="E52" s="273">
        <v>605990</v>
      </c>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70170203</v>
      </c>
      <c r="D57" s="295">
        <f>+D45+D51+D56</f>
        <v>82020068</v>
      </c>
      <c r="E57" s="152">
        <f>+E45+E51+E56</f>
        <v>76824294</v>
      </c>
    </row>
    <row r="58" spans="3:4" ht="15" customHeight="1" thickBot="1">
      <c r="C58" s="662">
        <f>C41-C57</f>
        <v>0</v>
      </c>
      <c r="D58" s="662">
        <f>D41-D57</f>
        <v>0</v>
      </c>
    </row>
    <row r="59" spans="1:5" ht="14.25" customHeight="1" thickBot="1">
      <c r="A59" s="303" t="s">
        <v>485</v>
      </c>
      <c r="B59" s="304"/>
      <c r="C59" s="293">
        <v>14</v>
      </c>
      <c r="D59" s="293">
        <v>14</v>
      </c>
      <c r="E59" s="292">
        <v>16</v>
      </c>
    </row>
    <row r="60" spans="1:5" ht="13.5" thickBot="1">
      <c r="A60" s="305" t="s">
        <v>486</v>
      </c>
      <c r="B60" s="306"/>
      <c r="C60" s="293"/>
      <c r="D60" s="293"/>
      <c r="E60" s="292"/>
    </row>
  </sheetData>
  <sheetProtection formatCells="0"/>
  <mergeCells count="5">
    <mergeCell ref="B2:D2"/>
    <mergeCell ref="B3:D3"/>
    <mergeCell ref="A7:E7"/>
    <mergeCell ref="A44:E44"/>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3.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43">
      <selection activeCell="H13" sqref="H13"/>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CONCATENATE(Z_ALAPADATOK!M13,"1. melléklet ",Z_ALAPADATOK!A7," ",Z_ALAPADATOK!B7," ",Z_ALAPADATOK!C7," ",Z_ALAPADATOK!D7," ",Z_ALAPADATOK!E7," ",Z_ALAPADATOK!F7," ",Z_ALAPADATOK!G7," ",Z_ALAPADATOK!H7)</f>
        <v>6.3.1. melléklet a 4 / 2020. ( VII.17. ) önkormányzati rendelethez</v>
      </c>
      <c r="C1" s="866"/>
      <c r="D1" s="866"/>
      <c r="E1" s="866"/>
    </row>
    <row r="2" spans="1:5" s="216" customFormat="1" ht="25.5" customHeight="1" thickBot="1">
      <c r="A2" s="326" t="s">
        <v>453</v>
      </c>
      <c r="B2" s="862" t="str">
        <f>CONCATENATE('Z_6.3.sz.mell'!B2:D2)</f>
        <v>Kállósemjéni Polgármesteri Hivatal</v>
      </c>
      <c r="C2" s="863"/>
      <c r="D2" s="864"/>
      <c r="E2" s="327" t="s">
        <v>43</v>
      </c>
    </row>
    <row r="3" spans="1:5" s="216" customFormat="1" ht="24.75" thickBot="1">
      <c r="A3" s="326" t="s">
        <v>135</v>
      </c>
      <c r="B3" s="862" t="s">
        <v>322</v>
      </c>
      <c r="C3" s="863"/>
      <c r="D3" s="864"/>
      <c r="E3" s="327" t="s">
        <v>42</v>
      </c>
    </row>
    <row r="4" spans="1:5" s="217" customFormat="1" ht="15.75" customHeight="1" thickBot="1">
      <c r="A4" s="328"/>
      <c r="B4" s="328"/>
      <c r="C4" s="329"/>
      <c r="D4" s="330"/>
      <c r="E4" s="329" t="str">
        <f>'Z_6.3.sz.mell'!E4</f>
        <v> Forintban!</v>
      </c>
    </row>
    <row r="5" spans="1:5" ht="24.75" thickBot="1">
      <c r="A5" s="331" t="s">
        <v>136</v>
      </c>
      <c r="B5" s="332" t="s">
        <v>484</v>
      </c>
      <c r="C5" s="332" t="s">
        <v>449</v>
      </c>
      <c r="D5" s="333" t="s">
        <v>450</v>
      </c>
      <c r="E5" s="316" t="str">
        <f>CONCATENATE('Z_6.3.sz.mell'!E5)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23">
        <f>SUM(E9:E19)</f>
        <v>0</v>
      </c>
    </row>
    <row r="9" spans="1:5" s="154" customFormat="1" ht="12" customHeight="1">
      <c r="A9" s="211" t="s">
        <v>63</v>
      </c>
      <c r="B9" s="8" t="s">
        <v>183</v>
      </c>
      <c r="C9" s="276"/>
      <c r="D9" s="276"/>
      <c r="E9" s="296"/>
    </row>
    <row r="10" spans="1:5" s="154" customFormat="1" ht="12" customHeight="1">
      <c r="A10" s="212" t="s">
        <v>64</v>
      </c>
      <c r="B10" s="6" t="s">
        <v>184</v>
      </c>
      <c r="C10" s="118"/>
      <c r="D10" s="263"/>
      <c r="E10" s="268"/>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c r="E14" s="268"/>
    </row>
    <row r="15" spans="1:5" s="154" customFormat="1" ht="12" customHeight="1">
      <c r="A15" s="212" t="s">
        <v>68</v>
      </c>
      <c r="B15" s="5" t="s">
        <v>305</v>
      </c>
      <c r="C15" s="118"/>
      <c r="D15" s="263"/>
      <c r="E15" s="268"/>
    </row>
    <row r="16" spans="1:5" s="154" customFormat="1" ht="12" customHeight="1">
      <c r="A16" s="212" t="s">
        <v>76</v>
      </c>
      <c r="B16" s="6" t="s">
        <v>190</v>
      </c>
      <c r="C16" s="274"/>
      <c r="D16" s="301"/>
      <c r="E16" s="272"/>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c r="E19" s="269"/>
    </row>
    <row r="20" spans="1:5" s="154" customFormat="1" ht="12" customHeight="1" thickBot="1">
      <c r="A20" s="76" t="s">
        <v>7</v>
      </c>
      <c r="B20" s="85" t="s">
        <v>306</v>
      </c>
      <c r="C20" s="121">
        <f>SUM(C21:C23)</f>
        <v>0</v>
      </c>
      <c r="D20" s="265">
        <f>SUM(D21:D23)</f>
        <v>0</v>
      </c>
      <c r="E20" s="149">
        <f>SUM(E21:E23)</f>
        <v>0</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c r="E23" s="268"/>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0</v>
      </c>
      <c r="D36" s="265">
        <f>+D8+D20+D25+D26+D30+D34+D35</f>
        <v>0</v>
      </c>
      <c r="E36" s="149">
        <f>+E8+E20+E25+E26+E30+E34+E35</f>
        <v>0</v>
      </c>
    </row>
    <row r="37" spans="1:5" s="154" customFormat="1" ht="12" customHeight="1" thickBot="1">
      <c r="A37" s="86" t="s">
        <v>14</v>
      </c>
      <c r="B37" s="58" t="s">
        <v>314</v>
      </c>
      <c r="C37" s="121">
        <f>+C38+C39+C40</f>
        <v>0</v>
      </c>
      <c r="D37" s="265">
        <f>+D38+D39+D40</f>
        <v>0</v>
      </c>
      <c r="E37" s="149">
        <f>+E38+E39+E40</f>
        <v>0</v>
      </c>
    </row>
    <row r="38" spans="1:5" s="154" customFormat="1" ht="12" customHeight="1">
      <c r="A38" s="213" t="s">
        <v>315</v>
      </c>
      <c r="B38" s="214" t="s">
        <v>149</v>
      </c>
      <c r="C38" s="275"/>
      <c r="D38" s="60"/>
      <c r="E38" s="273"/>
    </row>
    <row r="39" spans="1:5" s="154" customFormat="1" ht="12" customHeight="1">
      <c r="A39" s="213" t="s">
        <v>316</v>
      </c>
      <c r="B39" s="215" t="s">
        <v>0</v>
      </c>
      <c r="C39" s="122"/>
      <c r="D39" s="266"/>
      <c r="E39" s="270"/>
    </row>
    <row r="40" spans="1:5" s="219" customFormat="1" ht="12" customHeight="1" thickBot="1">
      <c r="A40" s="212" t="s">
        <v>317</v>
      </c>
      <c r="B40" s="63" t="s">
        <v>318</v>
      </c>
      <c r="C40" s="49"/>
      <c r="D40" s="302"/>
      <c r="E40" s="297"/>
    </row>
    <row r="41" spans="1:5" s="219" customFormat="1" ht="15" customHeight="1" thickBot="1">
      <c r="A41" s="86" t="s">
        <v>15</v>
      </c>
      <c r="B41" s="87" t="s">
        <v>319</v>
      </c>
      <c r="C41" s="299">
        <f>+C36+C37</f>
        <v>0</v>
      </c>
      <c r="D41" s="295">
        <f>+D36+D37</f>
        <v>0</v>
      </c>
      <c r="E41" s="152">
        <f>+E36+E37</f>
        <v>0</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0</v>
      </c>
      <c r="D45" s="265">
        <f>SUM(D46:D50)</f>
        <v>0</v>
      </c>
      <c r="E45" s="149">
        <f>SUM(E46:E50)</f>
        <v>0</v>
      </c>
    </row>
    <row r="46" spans="1:5" ht="12" customHeight="1">
      <c r="A46" s="212" t="s">
        <v>63</v>
      </c>
      <c r="B46" s="7" t="s">
        <v>35</v>
      </c>
      <c r="C46" s="275"/>
      <c r="D46" s="60"/>
      <c r="E46" s="273"/>
    </row>
    <row r="47" spans="1:5" ht="12" customHeight="1">
      <c r="A47" s="212" t="s">
        <v>64</v>
      </c>
      <c r="B47" s="6" t="s">
        <v>122</v>
      </c>
      <c r="C47" s="48"/>
      <c r="D47" s="61"/>
      <c r="E47" s="271"/>
    </row>
    <row r="48" spans="1:5" ht="12" customHeight="1">
      <c r="A48" s="212" t="s">
        <v>65</v>
      </c>
      <c r="B48" s="6" t="s">
        <v>90</v>
      </c>
      <c r="C48" s="48"/>
      <c r="D48" s="61"/>
      <c r="E48" s="271"/>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0</v>
      </c>
      <c r="E51" s="149">
        <f>SUM(E52:E54)</f>
        <v>0</v>
      </c>
    </row>
    <row r="52" spans="1:5" s="220" customFormat="1" ht="12" customHeight="1">
      <c r="A52" s="212" t="s">
        <v>69</v>
      </c>
      <c r="B52" s="7" t="s">
        <v>143</v>
      </c>
      <c r="C52" s="275"/>
      <c r="D52" s="60"/>
      <c r="E52" s="273"/>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0</v>
      </c>
      <c r="D57" s="295">
        <f>+D45+D51+D56</f>
        <v>0</v>
      </c>
      <c r="E57" s="152">
        <f>+E45+E51+E56</f>
        <v>0</v>
      </c>
    </row>
    <row r="58" spans="3:4" ht="15" customHeight="1" thickBot="1">
      <c r="C58" s="662">
        <f>C41-C57</f>
        <v>0</v>
      </c>
      <c r="D58" s="662">
        <f>D41-D57</f>
        <v>0</v>
      </c>
    </row>
    <row r="59" spans="1:5" ht="14.25" customHeight="1" thickBot="1">
      <c r="A59" s="303" t="s">
        <v>485</v>
      </c>
      <c r="B59" s="304"/>
      <c r="C59" s="293"/>
      <c r="D59" s="293"/>
      <c r="E59" s="292"/>
    </row>
    <row r="60" spans="1:5" ht="13.5" thickBot="1">
      <c r="A60" s="305" t="s">
        <v>486</v>
      </c>
      <c r="B60" s="306"/>
      <c r="C60" s="293"/>
      <c r="D60" s="293"/>
      <c r="E60" s="292"/>
    </row>
  </sheetData>
  <sheetProtection sheet="1" formatCells="0"/>
  <mergeCells count="5">
    <mergeCell ref="B2:D2"/>
    <mergeCell ref="B3:D3"/>
    <mergeCell ref="A7:E7"/>
    <mergeCell ref="A44:E44"/>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4.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H14" sqref="H14"/>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CONCATENATE(Z_ALAPADATOK!M13,"2. melléklet ",Z_ALAPADATOK!A7," ",Z_ALAPADATOK!B7," ",Z_ALAPADATOK!C7," ",Z_ALAPADATOK!D7," ",Z_ALAPADATOK!E7," ",Z_ALAPADATOK!F7," ",Z_ALAPADATOK!G7," ",Z_ALAPADATOK!H7)</f>
        <v>6.3.2. melléklet a 4 / 2020. ( VII.17. ) önkormányzati rendelethez</v>
      </c>
      <c r="C1" s="866"/>
      <c r="D1" s="866"/>
      <c r="E1" s="866"/>
    </row>
    <row r="2" spans="1:5" s="216" customFormat="1" ht="25.5" customHeight="1" thickBot="1">
      <c r="A2" s="326" t="s">
        <v>453</v>
      </c>
      <c r="B2" s="862" t="str">
        <f>CONCATENATE('Z_6.3.1.sz.mell'!B2:D2)</f>
        <v>Kállósemjéni Polgármesteri Hivatal</v>
      </c>
      <c r="C2" s="863"/>
      <c r="D2" s="864"/>
      <c r="E2" s="327" t="s">
        <v>43</v>
      </c>
    </row>
    <row r="3" spans="1:5" s="216" customFormat="1" ht="24.75" thickBot="1">
      <c r="A3" s="326" t="s">
        <v>135</v>
      </c>
      <c r="B3" s="862" t="s">
        <v>323</v>
      </c>
      <c r="C3" s="863"/>
      <c r="D3" s="864"/>
      <c r="E3" s="327" t="s">
        <v>43</v>
      </c>
    </row>
    <row r="4" spans="1:5" s="217" customFormat="1" ht="15.75" customHeight="1" thickBot="1">
      <c r="A4" s="328"/>
      <c r="B4" s="328"/>
      <c r="C4" s="329"/>
      <c r="D4" s="330"/>
      <c r="E4" s="329" t="str">
        <f>'Z_6.3.1.sz.mell'!E4</f>
        <v> Forintban!</v>
      </c>
    </row>
    <row r="5" spans="1:5" ht="24.75" thickBot="1">
      <c r="A5" s="331" t="s">
        <v>136</v>
      </c>
      <c r="B5" s="332" t="s">
        <v>484</v>
      </c>
      <c r="C5" s="332" t="s">
        <v>449</v>
      </c>
      <c r="D5" s="333" t="s">
        <v>450</v>
      </c>
      <c r="E5" s="316" t="str">
        <f>+CONCATENATE("Teljesítés",CHAR(10),LEFT(Z_ÖSSZEFÜGGÉSEK!A6,4),". XII. 31.")</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23">
        <f>SUM(E9:E19)</f>
        <v>0</v>
      </c>
    </row>
    <row r="9" spans="1:5" s="154" customFormat="1" ht="12" customHeight="1">
      <c r="A9" s="211" t="s">
        <v>63</v>
      </c>
      <c r="B9" s="8" t="s">
        <v>183</v>
      </c>
      <c r="C9" s="276"/>
      <c r="D9" s="276"/>
      <c r="E9" s="296"/>
    </row>
    <row r="10" spans="1:5" s="154" customFormat="1" ht="12" customHeight="1">
      <c r="A10" s="212" t="s">
        <v>64</v>
      </c>
      <c r="B10" s="6" t="s">
        <v>184</v>
      </c>
      <c r="C10" s="118"/>
      <c r="D10" s="263"/>
      <c r="E10" s="268"/>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c r="E14" s="268"/>
    </row>
    <row r="15" spans="1:5" s="154" customFormat="1" ht="12" customHeight="1">
      <c r="A15" s="212" t="s">
        <v>68</v>
      </c>
      <c r="B15" s="5" t="s">
        <v>305</v>
      </c>
      <c r="C15" s="118"/>
      <c r="D15" s="263"/>
      <c r="E15" s="268"/>
    </row>
    <row r="16" spans="1:5" s="154" customFormat="1" ht="12" customHeight="1">
      <c r="A16" s="212" t="s">
        <v>76</v>
      </c>
      <c r="B16" s="6" t="s">
        <v>190</v>
      </c>
      <c r="C16" s="274"/>
      <c r="D16" s="301"/>
      <c r="E16" s="272"/>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c r="E19" s="269"/>
    </row>
    <row r="20" spans="1:5" s="154" customFormat="1" ht="12" customHeight="1" thickBot="1">
      <c r="A20" s="76" t="s">
        <v>7</v>
      </c>
      <c r="B20" s="85" t="s">
        <v>306</v>
      </c>
      <c r="C20" s="121">
        <f>SUM(C21:C23)</f>
        <v>0</v>
      </c>
      <c r="D20" s="265">
        <f>SUM(D21:D23)</f>
        <v>0</v>
      </c>
      <c r="E20" s="149">
        <f>SUM(E21:E23)</f>
        <v>0</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c r="E23" s="268"/>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0</v>
      </c>
      <c r="D36" s="265">
        <f>+D8+D20+D25+D26+D30+D34+D35</f>
        <v>0</v>
      </c>
      <c r="E36" s="149">
        <f>+E8+E20+E25+E26+E30+E34+E35</f>
        <v>0</v>
      </c>
    </row>
    <row r="37" spans="1:5" s="154" customFormat="1" ht="12" customHeight="1" thickBot="1">
      <c r="A37" s="86" t="s">
        <v>14</v>
      </c>
      <c r="B37" s="58" t="s">
        <v>314</v>
      </c>
      <c r="C37" s="121">
        <f>+C38+C39+C40</f>
        <v>0</v>
      </c>
      <c r="D37" s="265">
        <f>+D38+D39+D40</f>
        <v>0</v>
      </c>
      <c r="E37" s="149">
        <f>+E38+E39+E40</f>
        <v>0</v>
      </c>
    </row>
    <row r="38" spans="1:5" s="154" customFormat="1" ht="12" customHeight="1">
      <c r="A38" s="213" t="s">
        <v>315</v>
      </c>
      <c r="B38" s="214" t="s">
        <v>149</v>
      </c>
      <c r="C38" s="275"/>
      <c r="D38" s="60"/>
      <c r="E38" s="273"/>
    </row>
    <row r="39" spans="1:5" s="154" customFormat="1" ht="12" customHeight="1">
      <c r="A39" s="213" t="s">
        <v>316</v>
      </c>
      <c r="B39" s="215" t="s">
        <v>0</v>
      </c>
      <c r="C39" s="122"/>
      <c r="D39" s="266"/>
      <c r="E39" s="270"/>
    </row>
    <row r="40" spans="1:5" s="219" customFormat="1" ht="12" customHeight="1" thickBot="1">
      <c r="A40" s="212" t="s">
        <v>317</v>
      </c>
      <c r="B40" s="63" t="s">
        <v>318</v>
      </c>
      <c r="C40" s="49"/>
      <c r="D40" s="302"/>
      <c r="E40" s="297"/>
    </row>
    <row r="41" spans="1:5" s="219" customFormat="1" ht="15" customHeight="1" thickBot="1">
      <c r="A41" s="86" t="s">
        <v>15</v>
      </c>
      <c r="B41" s="87" t="s">
        <v>319</v>
      </c>
      <c r="C41" s="299">
        <f>+C36+C37</f>
        <v>0</v>
      </c>
      <c r="D41" s="295">
        <f>+D36+D37</f>
        <v>0</v>
      </c>
      <c r="E41" s="152">
        <f>+E36+E37</f>
        <v>0</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0</v>
      </c>
      <c r="D45" s="265">
        <f>SUM(D46:D50)</f>
        <v>0</v>
      </c>
      <c r="E45" s="149">
        <f>SUM(E46:E50)</f>
        <v>0</v>
      </c>
    </row>
    <row r="46" spans="1:5" ht="12" customHeight="1">
      <c r="A46" s="212" t="s">
        <v>63</v>
      </c>
      <c r="B46" s="7" t="s">
        <v>35</v>
      </c>
      <c r="C46" s="275"/>
      <c r="D46" s="60"/>
      <c r="E46" s="273"/>
    </row>
    <row r="47" spans="1:5" ht="12" customHeight="1">
      <c r="A47" s="212" t="s">
        <v>64</v>
      </c>
      <c r="B47" s="6" t="s">
        <v>122</v>
      </c>
      <c r="C47" s="48"/>
      <c r="D47" s="61"/>
      <c r="E47" s="271"/>
    </row>
    <row r="48" spans="1:5" ht="12" customHeight="1">
      <c r="A48" s="212" t="s">
        <v>65</v>
      </c>
      <c r="B48" s="6" t="s">
        <v>90</v>
      </c>
      <c r="C48" s="48"/>
      <c r="D48" s="61"/>
      <c r="E48" s="271"/>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0</v>
      </c>
      <c r="E51" s="149">
        <f>SUM(E52:E54)</f>
        <v>0</v>
      </c>
    </row>
    <row r="52" spans="1:5" s="220" customFormat="1" ht="12" customHeight="1">
      <c r="A52" s="212" t="s">
        <v>69</v>
      </c>
      <c r="B52" s="7" t="s">
        <v>143</v>
      </c>
      <c r="C52" s="275"/>
      <c r="D52" s="60"/>
      <c r="E52" s="273"/>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0</v>
      </c>
      <c r="D57" s="295">
        <f>+D45+D51+D56</f>
        <v>0</v>
      </c>
      <c r="E57" s="152">
        <f>+E45+E51+E56</f>
        <v>0</v>
      </c>
    </row>
    <row r="58" spans="3:4" ht="15" customHeight="1" thickBot="1">
      <c r="C58" s="662">
        <f>C41-C57</f>
        <v>0</v>
      </c>
      <c r="D58" s="662">
        <f>D41-D57</f>
        <v>0</v>
      </c>
    </row>
    <row r="59" spans="1:5" ht="14.25" customHeight="1" thickBot="1">
      <c r="A59" s="303" t="s">
        <v>485</v>
      </c>
      <c r="B59" s="304"/>
      <c r="C59" s="293"/>
      <c r="D59" s="293"/>
      <c r="E59" s="292"/>
    </row>
    <row r="60" spans="1:5" ht="13.5" thickBot="1">
      <c r="A60" s="305" t="s">
        <v>486</v>
      </c>
      <c r="B60" s="306"/>
      <c r="C60" s="293"/>
      <c r="D60" s="293"/>
      <c r="E60" s="292"/>
    </row>
  </sheetData>
  <sheetProtection sheet="1" formatCells="0"/>
  <mergeCells count="5">
    <mergeCell ref="B2:D2"/>
    <mergeCell ref="B3:D3"/>
    <mergeCell ref="A7:E7"/>
    <mergeCell ref="A44:E44"/>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5.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31">
      <selection activeCell="E60" sqref="E60"/>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CONCATENATE(Z_ALAPADATOK!M13,"3. melléklet ",Z_ALAPADATOK!A7," ",Z_ALAPADATOK!B7," ",Z_ALAPADATOK!C7," ",Z_ALAPADATOK!D7," ",Z_ALAPADATOK!E7," ",Z_ALAPADATOK!F7," ",Z_ALAPADATOK!G7," ",Z_ALAPADATOK!H7)</f>
        <v>6.3.3. melléklet a 4 / 2020. ( VII.17. ) önkormányzati rendelethez</v>
      </c>
      <c r="C1" s="866"/>
      <c r="D1" s="866"/>
      <c r="E1" s="866"/>
    </row>
    <row r="2" spans="1:5" s="216" customFormat="1" ht="25.5" customHeight="1" thickBot="1">
      <c r="A2" s="326" t="s">
        <v>453</v>
      </c>
      <c r="B2" s="862" t="str">
        <f>CONCATENATE('Z_6.3.2.sz.mell'!B2:D2)</f>
        <v>Kállósemjéni Polgármesteri Hivatal</v>
      </c>
      <c r="C2" s="863"/>
      <c r="D2" s="864"/>
      <c r="E2" s="327" t="s">
        <v>43</v>
      </c>
    </row>
    <row r="3" spans="1:5" s="216" customFormat="1" ht="24.75" thickBot="1">
      <c r="A3" s="326" t="s">
        <v>135</v>
      </c>
      <c r="B3" s="862" t="s">
        <v>415</v>
      </c>
      <c r="C3" s="863"/>
      <c r="D3" s="864"/>
      <c r="E3" s="327" t="s">
        <v>332</v>
      </c>
    </row>
    <row r="4" spans="1:5" s="217" customFormat="1" ht="15.75" customHeight="1" thickBot="1">
      <c r="A4" s="328"/>
      <c r="B4" s="328"/>
      <c r="C4" s="329"/>
      <c r="D4" s="330"/>
      <c r="E4" s="329" t="str">
        <f>'Z_6.3.2.sz.mell'!E4</f>
        <v> Forintban!</v>
      </c>
    </row>
    <row r="5" spans="1:5" ht="24.75" thickBot="1">
      <c r="A5" s="331" t="s">
        <v>136</v>
      </c>
      <c r="B5" s="332" t="s">
        <v>484</v>
      </c>
      <c r="C5" s="332" t="s">
        <v>449</v>
      </c>
      <c r="D5" s="333" t="s">
        <v>450</v>
      </c>
      <c r="E5" s="316" t="str">
        <f>CONCATENATE('Z_6.3.2.sz.mell'!E5)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180000</v>
      </c>
      <c r="D8" s="121">
        <f>SUM(D9:D19)</f>
        <v>364029</v>
      </c>
      <c r="E8" s="123">
        <f>SUM(E9:E19)</f>
        <v>390746</v>
      </c>
    </row>
    <row r="9" spans="1:5" s="154" customFormat="1" ht="12" customHeight="1">
      <c r="A9" s="211" t="s">
        <v>63</v>
      </c>
      <c r="B9" s="8" t="s">
        <v>183</v>
      </c>
      <c r="C9" s="276"/>
      <c r="D9" s="276"/>
      <c r="E9" s="296"/>
    </row>
    <row r="10" spans="1:5" s="154" customFormat="1" ht="12" customHeight="1">
      <c r="A10" s="212" t="s">
        <v>64</v>
      </c>
      <c r="B10" s="6" t="s">
        <v>184</v>
      </c>
      <c r="C10" s="118">
        <v>180000</v>
      </c>
      <c r="D10" s="263">
        <v>180000</v>
      </c>
      <c r="E10" s="268">
        <v>185000</v>
      </c>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v>14517</v>
      </c>
      <c r="E14" s="268">
        <v>17931</v>
      </c>
    </row>
    <row r="15" spans="1:5" s="154" customFormat="1" ht="12" customHeight="1">
      <c r="A15" s="212" t="s">
        <v>68</v>
      </c>
      <c r="B15" s="5" t="s">
        <v>305</v>
      </c>
      <c r="C15" s="118"/>
      <c r="D15" s="263"/>
      <c r="E15" s="268"/>
    </row>
    <row r="16" spans="1:5" s="154" customFormat="1" ht="12" customHeight="1">
      <c r="A16" s="212" t="s">
        <v>76</v>
      </c>
      <c r="B16" s="6" t="s">
        <v>190</v>
      </c>
      <c r="C16" s="274"/>
      <c r="D16" s="301">
        <v>4850</v>
      </c>
      <c r="E16" s="272">
        <v>8896</v>
      </c>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v>164662</v>
      </c>
      <c r="E19" s="269">
        <v>178919</v>
      </c>
    </row>
    <row r="20" spans="1:5" s="154" customFormat="1" ht="12" customHeight="1" thickBot="1">
      <c r="A20" s="76" t="s">
        <v>7</v>
      </c>
      <c r="B20" s="85" t="s">
        <v>306</v>
      </c>
      <c r="C20" s="121">
        <f>SUM(C21:C23)</f>
        <v>0</v>
      </c>
      <c r="D20" s="265">
        <f>SUM(D21:D23)</f>
        <v>3675652</v>
      </c>
      <c r="E20" s="149">
        <f>SUM(E21:E23)</f>
        <v>17373962</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v>3675652</v>
      </c>
      <c r="E23" s="268">
        <v>17373962</v>
      </c>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180000</v>
      </c>
      <c r="D36" s="265">
        <f>+D8+D20+D25+D26+D30+D34+D35</f>
        <v>4039681</v>
      </c>
      <c r="E36" s="149">
        <f>+E8+E20+E25+E26+E30+E34+E35</f>
        <v>17764708</v>
      </c>
    </row>
    <row r="37" spans="1:5" s="154" customFormat="1" ht="12" customHeight="1" thickBot="1">
      <c r="A37" s="86" t="s">
        <v>14</v>
      </c>
      <c r="B37" s="58" t="s">
        <v>314</v>
      </c>
      <c r="C37" s="121">
        <f>+C38+C39+C40</f>
        <v>69990203</v>
      </c>
      <c r="D37" s="265">
        <f>+D38+D39+D40</f>
        <v>77980387</v>
      </c>
      <c r="E37" s="149">
        <f>+E38+E39+E40</f>
        <v>108566001</v>
      </c>
    </row>
    <row r="38" spans="1:5" s="154" customFormat="1" ht="12" customHeight="1">
      <c r="A38" s="213" t="s">
        <v>315</v>
      </c>
      <c r="B38" s="214" t="s">
        <v>149</v>
      </c>
      <c r="C38" s="275"/>
      <c r="D38" s="60">
        <v>7990184</v>
      </c>
      <c r="E38" s="273">
        <v>37394105</v>
      </c>
    </row>
    <row r="39" spans="1:5" s="154" customFormat="1" ht="12" customHeight="1">
      <c r="A39" s="213" t="s">
        <v>316</v>
      </c>
      <c r="B39" s="215" t="s">
        <v>0</v>
      </c>
      <c r="C39" s="122"/>
      <c r="D39" s="266"/>
      <c r="E39" s="270"/>
    </row>
    <row r="40" spans="1:5" s="219" customFormat="1" ht="12" customHeight="1" thickBot="1">
      <c r="A40" s="212" t="s">
        <v>317</v>
      </c>
      <c r="B40" s="63" t="s">
        <v>318</v>
      </c>
      <c r="C40" s="49">
        <v>69990203</v>
      </c>
      <c r="D40" s="302">
        <v>69990203</v>
      </c>
      <c r="E40" s="297">
        <v>71171896</v>
      </c>
    </row>
    <row r="41" spans="1:5" s="219" customFormat="1" ht="15" customHeight="1" thickBot="1">
      <c r="A41" s="86" t="s">
        <v>15</v>
      </c>
      <c r="B41" s="87" t="s">
        <v>319</v>
      </c>
      <c r="C41" s="299">
        <f>+C36+C37</f>
        <v>70170203</v>
      </c>
      <c r="D41" s="295">
        <f>+D36+D37</f>
        <v>82020068</v>
      </c>
      <c r="E41" s="152">
        <f>+E36+E37</f>
        <v>126330709</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70170203</v>
      </c>
      <c r="D45" s="265">
        <f>SUM(D46:D50)</f>
        <v>81414078</v>
      </c>
      <c r="E45" s="149">
        <f>SUM(E46:E50)</f>
        <v>76218304</v>
      </c>
    </row>
    <row r="46" spans="1:5" ht="12" customHeight="1">
      <c r="A46" s="212" t="s">
        <v>63</v>
      </c>
      <c r="B46" s="7" t="s">
        <v>35</v>
      </c>
      <c r="C46" s="275">
        <v>51094360</v>
      </c>
      <c r="D46" s="60">
        <v>59214890</v>
      </c>
      <c r="E46" s="273">
        <v>56514548</v>
      </c>
    </row>
    <row r="47" spans="1:5" ht="12" customHeight="1">
      <c r="A47" s="212" t="s">
        <v>64</v>
      </c>
      <c r="B47" s="6" t="s">
        <v>122</v>
      </c>
      <c r="C47" s="48">
        <v>10115258</v>
      </c>
      <c r="D47" s="61">
        <v>11115100</v>
      </c>
      <c r="E47" s="271">
        <v>11115100</v>
      </c>
    </row>
    <row r="48" spans="1:5" ht="12" customHeight="1">
      <c r="A48" s="212" t="s">
        <v>65</v>
      </c>
      <c r="B48" s="6" t="s">
        <v>90</v>
      </c>
      <c r="C48" s="48">
        <v>8960585</v>
      </c>
      <c r="D48" s="61">
        <v>11084088</v>
      </c>
      <c r="E48" s="271">
        <v>8588656</v>
      </c>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605990</v>
      </c>
      <c r="E51" s="149">
        <f>SUM(E52:E54)</f>
        <v>605990</v>
      </c>
    </row>
    <row r="52" spans="1:5" s="220" customFormat="1" ht="12" customHeight="1">
      <c r="A52" s="212" t="s">
        <v>69</v>
      </c>
      <c r="B52" s="7" t="s">
        <v>143</v>
      </c>
      <c r="C52" s="275"/>
      <c r="D52" s="60">
        <v>605990</v>
      </c>
      <c r="E52" s="273">
        <v>605990</v>
      </c>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70170203</v>
      </c>
      <c r="D57" s="295">
        <f>+D45+D51+D56</f>
        <v>82020068</v>
      </c>
      <c r="E57" s="152">
        <f>+E45+E51+E56</f>
        <v>76824294</v>
      </c>
    </row>
    <row r="58" spans="3:4" ht="15" customHeight="1" thickBot="1">
      <c r="C58" s="662">
        <f>C41-C57</f>
        <v>0</v>
      </c>
      <c r="D58" s="662">
        <f>D41-D57</f>
        <v>0</v>
      </c>
    </row>
    <row r="59" spans="1:5" ht="14.25" customHeight="1" thickBot="1">
      <c r="A59" s="303" t="s">
        <v>485</v>
      </c>
      <c r="B59" s="304"/>
      <c r="C59" s="293">
        <v>14</v>
      </c>
      <c r="D59" s="293">
        <v>14</v>
      </c>
      <c r="E59" s="292">
        <v>16</v>
      </c>
    </row>
    <row r="60" spans="1:5" ht="13.5" thickBot="1">
      <c r="A60" s="305" t="s">
        <v>486</v>
      </c>
      <c r="B60" s="306"/>
      <c r="C60" s="293"/>
      <c r="D60" s="293"/>
      <c r="E60" s="292"/>
    </row>
  </sheetData>
  <sheetProtection formatCells="0"/>
  <mergeCells count="5">
    <mergeCell ref="B2:D2"/>
    <mergeCell ref="B3:D3"/>
    <mergeCell ref="A7:E7"/>
    <mergeCell ref="A44:E44"/>
    <mergeCell ref="B1:E1"/>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6.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P64" sqref="P64"/>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0" t="str">
        <f>CONCATENATE(Z_ALAPADATOK!M15," melléklet ",Z_ALAPADATOK!A7," ",Z_ALAPADATOK!B7," ",Z_ALAPADATOK!C7," ",Z_ALAPADATOK!D7," ",Z_ALAPADATOK!E7," ",Z_ALAPADATOK!F7," ",Z_ALAPADATOK!G7," ",Z_ALAPADATOK!H7)</f>
        <v>6.4. melléklet a 4 / 2020. ( VII.17. ) önkormányzati rendelethez</v>
      </c>
      <c r="C1" s="861"/>
      <c r="D1" s="861"/>
      <c r="E1" s="861"/>
    </row>
    <row r="2" spans="1:5" s="216" customFormat="1" ht="25.5" customHeight="1" thickBot="1">
      <c r="A2" s="326" t="s">
        <v>453</v>
      </c>
      <c r="B2" s="862" t="str">
        <f>CONCATENATE(Z_ALAPADATOK!B15)</f>
        <v>Ficánka Óvoda, Mini Bölcsőde és Konyha</v>
      </c>
      <c r="C2" s="863"/>
      <c r="D2" s="864"/>
      <c r="E2" s="327" t="s">
        <v>332</v>
      </c>
    </row>
    <row r="3" spans="1:5" s="216" customFormat="1" ht="24.75" thickBot="1">
      <c r="A3" s="326" t="s">
        <v>135</v>
      </c>
      <c r="B3" s="862" t="s">
        <v>302</v>
      </c>
      <c r="C3" s="863"/>
      <c r="D3" s="864"/>
      <c r="E3" s="327" t="s">
        <v>38</v>
      </c>
    </row>
    <row r="4" spans="1:5" s="217" customFormat="1" ht="15.75" customHeight="1" thickBot="1">
      <c r="A4" s="328"/>
      <c r="B4" s="328"/>
      <c r="C4" s="329"/>
      <c r="D4" s="330"/>
      <c r="E4" s="329" t="str">
        <f>'Z_6.2.3.sz.mell'!E4</f>
        <v> Forintban!</v>
      </c>
    </row>
    <row r="5" spans="1:5" ht="24.75" thickBot="1">
      <c r="A5" s="331" t="s">
        <v>136</v>
      </c>
      <c r="B5" s="332" t="s">
        <v>484</v>
      </c>
      <c r="C5" s="332" t="s">
        <v>449</v>
      </c>
      <c r="D5" s="333" t="s">
        <v>450</v>
      </c>
      <c r="E5" s="316" t="str">
        <f>CONCATENATE('Z_6.3.3.sz.mell'!E5)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37213454</v>
      </c>
      <c r="D8" s="121">
        <f>SUM(D9:D19)</f>
        <v>38687768</v>
      </c>
      <c r="E8" s="123">
        <f>SUM(E9:E19)</f>
        <v>45114201</v>
      </c>
    </row>
    <row r="9" spans="1:5" s="154" customFormat="1" ht="12" customHeight="1">
      <c r="A9" s="211" t="s">
        <v>63</v>
      </c>
      <c r="B9" s="8" t="s">
        <v>183</v>
      </c>
      <c r="C9" s="276"/>
      <c r="D9" s="276"/>
      <c r="E9" s="296"/>
    </row>
    <row r="10" spans="1:5" s="154" customFormat="1" ht="12" customHeight="1">
      <c r="A10" s="212" t="s">
        <v>64</v>
      </c>
      <c r="B10" s="6" t="s">
        <v>184</v>
      </c>
      <c r="C10" s="118"/>
      <c r="D10" s="263">
        <v>1448046</v>
      </c>
      <c r="E10" s="268">
        <v>4865447</v>
      </c>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v>29301932</v>
      </c>
      <c r="D13" s="263">
        <v>29301932</v>
      </c>
      <c r="E13" s="268">
        <v>22798029</v>
      </c>
    </row>
    <row r="14" spans="1:5" s="154" customFormat="1" ht="12" customHeight="1">
      <c r="A14" s="212" t="s">
        <v>67</v>
      </c>
      <c r="B14" s="6" t="s">
        <v>304</v>
      </c>
      <c r="C14" s="118">
        <v>7911522</v>
      </c>
      <c r="D14" s="263">
        <v>7911522</v>
      </c>
      <c r="E14" s="268">
        <v>9500114</v>
      </c>
    </row>
    <row r="15" spans="1:5" s="154" customFormat="1" ht="12" customHeight="1">
      <c r="A15" s="212" t="s">
        <v>68</v>
      </c>
      <c r="B15" s="5" t="s">
        <v>305</v>
      </c>
      <c r="C15" s="118"/>
      <c r="D15" s="263"/>
      <c r="E15" s="268"/>
    </row>
    <row r="16" spans="1:5" s="154" customFormat="1" ht="12" customHeight="1">
      <c r="A16" s="212" t="s">
        <v>76</v>
      </c>
      <c r="B16" s="6" t="s">
        <v>190</v>
      </c>
      <c r="C16" s="274"/>
      <c r="D16" s="301"/>
      <c r="E16" s="272">
        <v>114</v>
      </c>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v>26268</v>
      </c>
      <c r="E19" s="269">
        <v>7950497</v>
      </c>
    </row>
    <row r="20" spans="1:5" s="154" customFormat="1" ht="12" customHeight="1" thickBot="1">
      <c r="A20" s="76" t="s">
        <v>7</v>
      </c>
      <c r="B20" s="85" t="s">
        <v>306</v>
      </c>
      <c r="C20" s="121">
        <f>SUM(C21:C23)</f>
        <v>0</v>
      </c>
      <c r="D20" s="265">
        <f>SUM(D21:D23)</f>
        <v>100000</v>
      </c>
      <c r="E20" s="149">
        <f>SUM(E21:E23)</f>
        <v>435966</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v>100000</v>
      </c>
      <c r="E23" s="268">
        <v>435966</v>
      </c>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25.5"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v>523800</v>
      </c>
      <c r="E35" s="148">
        <v>1110200</v>
      </c>
    </row>
    <row r="36" spans="1:5" s="154" customFormat="1" ht="12" customHeight="1" thickBot="1">
      <c r="A36" s="76" t="s">
        <v>13</v>
      </c>
      <c r="B36" s="58" t="s">
        <v>413</v>
      </c>
      <c r="C36" s="121">
        <f>+C8+C20+C25+C26+C30+C34+C35</f>
        <v>37213454</v>
      </c>
      <c r="D36" s="265">
        <f>+D8+D20+D25+D26+D30+D34+D35</f>
        <v>39311568</v>
      </c>
      <c r="E36" s="149">
        <f>+E8+E20+E25+E26+E30+E34+E35</f>
        <v>46660367</v>
      </c>
    </row>
    <row r="37" spans="1:5" s="154" customFormat="1" ht="12" customHeight="1" thickBot="1">
      <c r="A37" s="86" t="s">
        <v>14</v>
      </c>
      <c r="B37" s="58" t="s">
        <v>314</v>
      </c>
      <c r="C37" s="121">
        <f>+C38+C39+C40</f>
        <v>120278376</v>
      </c>
      <c r="D37" s="265">
        <f>+D38+D39+D40</f>
        <v>124582271</v>
      </c>
      <c r="E37" s="149">
        <f>+E38+E39+E40</f>
        <v>116050106</v>
      </c>
    </row>
    <row r="38" spans="1:5" s="154" customFormat="1" ht="12" customHeight="1">
      <c r="A38" s="213" t="s">
        <v>315</v>
      </c>
      <c r="B38" s="214" t="s">
        <v>149</v>
      </c>
      <c r="C38" s="275"/>
      <c r="D38" s="60">
        <v>4303895</v>
      </c>
      <c r="E38" s="273">
        <v>11491854</v>
      </c>
    </row>
    <row r="39" spans="1:5" s="154" customFormat="1" ht="12" customHeight="1">
      <c r="A39" s="213" t="s">
        <v>316</v>
      </c>
      <c r="B39" s="215" t="s">
        <v>0</v>
      </c>
      <c r="C39" s="122"/>
      <c r="D39" s="266"/>
      <c r="E39" s="270"/>
    </row>
    <row r="40" spans="1:5" s="219" customFormat="1" ht="12" customHeight="1" thickBot="1">
      <c r="A40" s="212" t="s">
        <v>317</v>
      </c>
      <c r="B40" s="63" t="s">
        <v>318</v>
      </c>
      <c r="C40" s="49">
        <v>120278376</v>
      </c>
      <c r="D40" s="302">
        <v>120278376</v>
      </c>
      <c r="E40" s="297">
        <v>104558252</v>
      </c>
    </row>
    <row r="41" spans="1:5" s="219" customFormat="1" ht="15" customHeight="1" thickBot="1">
      <c r="A41" s="86" t="s">
        <v>15</v>
      </c>
      <c r="B41" s="87" t="s">
        <v>319</v>
      </c>
      <c r="C41" s="299">
        <f>+C36+C37</f>
        <v>157491830</v>
      </c>
      <c r="D41" s="295">
        <f>+D36+D37</f>
        <v>163893839</v>
      </c>
      <c r="E41" s="152">
        <f>+E36+E37</f>
        <v>162710473</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151906070</v>
      </c>
      <c r="D45" s="265">
        <f>SUM(D46:D50)</f>
        <v>157784279</v>
      </c>
      <c r="E45" s="149">
        <f>SUM(E46:E50)</f>
        <v>146287437</v>
      </c>
    </row>
    <row r="46" spans="1:5" ht="12" customHeight="1">
      <c r="A46" s="212" t="s">
        <v>63</v>
      </c>
      <c r="B46" s="7" t="s">
        <v>35</v>
      </c>
      <c r="C46" s="275">
        <v>71581440</v>
      </c>
      <c r="D46" s="60">
        <v>71616223</v>
      </c>
      <c r="E46" s="273">
        <v>70960258</v>
      </c>
    </row>
    <row r="47" spans="1:5" ht="12" customHeight="1">
      <c r="A47" s="212" t="s">
        <v>64</v>
      </c>
      <c r="B47" s="6" t="s">
        <v>122</v>
      </c>
      <c r="C47" s="48">
        <v>13958381</v>
      </c>
      <c r="D47" s="61">
        <v>13958381</v>
      </c>
      <c r="E47" s="271">
        <v>13471885</v>
      </c>
    </row>
    <row r="48" spans="1:5" ht="12" customHeight="1">
      <c r="A48" s="212" t="s">
        <v>65</v>
      </c>
      <c r="B48" s="6" t="s">
        <v>90</v>
      </c>
      <c r="C48" s="48">
        <v>66366249</v>
      </c>
      <c r="D48" s="61">
        <v>72209675</v>
      </c>
      <c r="E48" s="271">
        <v>61855294</v>
      </c>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5585760</v>
      </c>
      <c r="D51" s="265">
        <f>SUM(D52:D54)</f>
        <v>6109560</v>
      </c>
      <c r="E51" s="149">
        <f>SUM(E52:E54)</f>
        <v>5285968</v>
      </c>
    </row>
    <row r="52" spans="1:5" s="220" customFormat="1" ht="12" customHeight="1">
      <c r="A52" s="212" t="s">
        <v>69</v>
      </c>
      <c r="B52" s="7" t="s">
        <v>143</v>
      </c>
      <c r="C52" s="275">
        <v>5585760</v>
      </c>
      <c r="D52" s="60">
        <v>6109560</v>
      </c>
      <c r="E52" s="273">
        <v>5285968</v>
      </c>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157491830</v>
      </c>
      <c r="D57" s="295">
        <f>+D45+D51+D56</f>
        <v>163893839</v>
      </c>
      <c r="E57" s="152">
        <f>+E45+E51+E56</f>
        <v>151573405</v>
      </c>
    </row>
    <row r="58" spans="3:4" ht="15" customHeight="1" thickBot="1">
      <c r="C58" s="662">
        <f>C41-C57</f>
        <v>0</v>
      </c>
      <c r="D58" s="662">
        <f>D41-D57</f>
        <v>0</v>
      </c>
    </row>
    <row r="59" spans="1:5" ht="14.25" customHeight="1" thickBot="1">
      <c r="A59" s="303" t="s">
        <v>485</v>
      </c>
      <c r="B59" s="304"/>
      <c r="C59" s="293">
        <v>23</v>
      </c>
      <c r="D59" s="293">
        <v>23</v>
      </c>
      <c r="E59" s="292">
        <v>23</v>
      </c>
    </row>
    <row r="60" spans="1:5" ht="13.5" thickBot="1">
      <c r="A60" s="305" t="s">
        <v>486</v>
      </c>
      <c r="B60" s="306"/>
      <c r="C60" s="293"/>
      <c r="D60" s="293"/>
      <c r="E60" s="292"/>
    </row>
  </sheetData>
  <sheetProtection formatCells="0"/>
  <mergeCells count="5">
    <mergeCell ref="B1:E1"/>
    <mergeCell ref="B2:D2"/>
    <mergeCell ref="B3:D3"/>
    <mergeCell ref="A7:E7"/>
    <mergeCell ref="A44:E44"/>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7.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M54" sqref="M54"/>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CONCATENATE(Z_ALAPADATOK!M15,"1. melléklet ",Z_ALAPADATOK!A7," ",Z_ALAPADATOK!B7," ",Z_ALAPADATOK!C7," ",Z_ALAPADATOK!D7," ",Z_ALAPADATOK!E7," ",Z_ALAPADATOK!F7," ",Z_ALAPADATOK!G7," ",Z_ALAPADATOK!H7)</f>
        <v>6.4.1. melléklet a 4 / 2020. ( VII.17. ) önkormányzati rendelethez</v>
      </c>
      <c r="C1" s="866"/>
      <c r="D1" s="866"/>
      <c r="E1" s="866"/>
    </row>
    <row r="2" spans="1:5" s="216" customFormat="1" ht="25.5" customHeight="1" thickBot="1">
      <c r="A2" s="326" t="s">
        <v>453</v>
      </c>
      <c r="B2" s="862" t="str">
        <f>CONCATENATE('Z_6.4.sz.mell'!B2:D2)</f>
        <v>Ficánka Óvoda, Mini Bölcsőde és Konyha</v>
      </c>
      <c r="C2" s="863"/>
      <c r="D2" s="864"/>
      <c r="E2" s="327" t="s">
        <v>332</v>
      </c>
    </row>
    <row r="3" spans="1:5" s="216" customFormat="1" ht="24.75" thickBot="1">
      <c r="A3" s="326" t="s">
        <v>135</v>
      </c>
      <c r="B3" s="862" t="s">
        <v>322</v>
      </c>
      <c r="C3" s="863"/>
      <c r="D3" s="864"/>
      <c r="E3" s="327" t="s">
        <v>42</v>
      </c>
    </row>
    <row r="4" spans="1:5" s="217" customFormat="1" ht="15.75" customHeight="1" thickBot="1">
      <c r="A4" s="328"/>
      <c r="B4" s="328"/>
      <c r="C4" s="329"/>
      <c r="D4" s="330"/>
      <c r="E4" s="329" t="str">
        <f>'Z_6.4.sz.mell'!E4</f>
        <v> Forintban!</v>
      </c>
    </row>
    <row r="5" spans="1:5" ht="24.75" thickBot="1">
      <c r="A5" s="331" t="s">
        <v>136</v>
      </c>
      <c r="B5" s="332" t="s">
        <v>484</v>
      </c>
      <c r="C5" s="332" t="s">
        <v>449</v>
      </c>
      <c r="D5" s="333" t="s">
        <v>450</v>
      </c>
      <c r="E5" s="316" t="str">
        <f>CONCATENATE('Z_6.4.sz.mell'!E5)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37213454</v>
      </c>
      <c r="D8" s="121">
        <f>SUM(D9:D19)</f>
        <v>38687768</v>
      </c>
      <c r="E8" s="123">
        <f>SUM(E9:E19)</f>
        <v>45114201</v>
      </c>
    </row>
    <row r="9" spans="1:5" s="154" customFormat="1" ht="12" customHeight="1">
      <c r="A9" s="211" t="s">
        <v>63</v>
      </c>
      <c r="B9" s="8" t="s">
        <v>183</v>
      </c>
      <c r="C9" s="276"/>
      <c r="D9" s="276"/>
      <c r="E9" s="296"/>
    </row>
    <row r="10" spans="1:5" s="154" customFormat="1" ht="12" customHeight="1">
      <c r="A10" s="212" t="s">
        <v>64</v>
      </c>
      <c r="B10" s="6" t="s">
        <v>184</v>
      </c>
      <c r="C10" s="118"/>
      <c r="D10" s="263">
        <v>1448046</v>
      </c>
      <c r="E10" s="268">
        <v>4865447</v>
      </c>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v>29301932</v>
      </c>
      <c r="D13" s="263">
        <v>29301932</v>
      </c>
      <c r="E13" s="268">
        <v>22798029</v>
      </c>
    </row>
    <row r="14" spans="1:5" s="154" customFormat="1" ht="12" customHeight="1">
      <c r="A14" s="212" t="s">
        <v>67</v>
      </c>
      <c r="B14" s="6" t="s">
        <v>304</v>
      </c>
      <c r="C14" s="118">
        <v>7911522</v>
      </c>
      <c r="D14" s="263">
        <v>7911522</v>
      </c>
      <c r="E14" s="268">
        <v>9500114</v>
      </c>
    </row>
    <row r="15" spans="1:5" s="154" customFormat="1" ht="12" customHeight="1">
      <c r="A15" s="212" t="s">
        <v>68</v>
      </c>
      <c r="B15" s="5" t="s">
        <v>305</v>
      </c>
      <c r="C15" s="118"/>
      <c r="D15" s="263"/>
      <c r="E15" s="268"/>
    </row>
    <row r="16" spans="1:5" s="154" customFormat="1" ht="12" customHeight="1">
      <c r="A16" s="212" t="s">
        <v>76</v>
      </c>
      <c r="B16" s="6" t="s">
        <v>190</v>
      </c>
      <c r="C16" s="274"/>
      <c r="D16" s="301"/>
      <c r="E16" s="272">
        <v>114</v>
      </c>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v>26268</v>
      </c>
      <c r="E19" s="269">
        <v>7950497</v>
      </c>
    </row>
    <row r="20" spans="1:5" s="154" customFormat="1" ht="12" customHeight="1" thickBot="1">
      <c r="A20" s="76" t="s">
        <v>7</v>
      </c>
      <c r="B20" s="85" t="s">
        <v>306</v>
      </c>
      <c r="C20" s="121">
        <f>SUM(C21:C23)</f>
        <v>0</v>
      </c>
      <c r="D20" s="265">
        <f>SUM(D21:D23)</f>
        <v>100000</v>
      </c>
      <c r="E20" s="149">
        <f>SUM(E21:E23)</f>
        <v>435966</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v>100000</v>
      </c>
      <c r="E23" s="268">
        <v>435966</v>
      </c>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v>523800</v>
      </c>
      <c r="E35" s="148">
        <v>1110200</v>
      </c>
    </row>
    <row r="36" spans="1:5" s="154" customFormat="1" ht="12" customHeight="1" thickBot="1">
      <c r="A36" s="76" t="s">
        <v>13</v>
      </c>
      <c r="B36" s="58" t="s">
        <v>413</v>
      </c>
      <c r="C36" s="121">
        <f>+C8+C20+C25+C26+C30+C34+C35</f>
        <v>37213454</v>
      </c>
      <c r="D36" s="265">
        <f>+D8+D20+D25+D26+D30+D34+D35</f>
        <v>39311568</v>
      </c>
      <c r="E36" s="149">
        <f>+E8+E20+E25+E26+E30+E34+E35</f>
        <v>46660367</v>
      </c>
    </row>
    <row r="37" spans="1:5" s="154" customFormat="1" ht="12" customHeight="1" thickBot="1">
      <c r="A37" s="86" t="s">
        <v>14</v>
      </c>
      <c r="B37" s="58" t="s">
        <v>314</v>
      </c>
      <c r="C37" s="121">
        <f>+C38+C39+C40</f>
        <v>120278376</v>
      </c>
      <c r="D37" s="265">
        <f>+D38+D39+D40</f>
        <v>124582271</v>
      </c>
      <c r="E37" s="149">
        <f>+E38+E39+E40</f>
        <v>116050106</v>
      </c>
    </row>
    <row r="38" spans="1:5" s="154" customFormat="1" ht="12" customHeight="1">
      <c r="A38" s="213" t="s">
        <v>315</v>
      </c>
      <c r="B38" s="214" t="s">
        <v>149</v>
      </c>
      <c r="C38" s="275"/>
      <c r="D38" s="60">
        <v>4303895</v>
      </c>
      <c r="E38" s="273">
        <v>11491854</v>
      </c>
    </row>
    <row r="39" spans="1:5" s="154" customFormat="1" ht="12" customHeight="1">
      <c r="A39" s="213" t="s">
        <v>316</v>
      </c>
      <c r="B39" s="215" t="s">
        <v>0</v>
      </c>
      <c r="C39" s="122"/>
      <c r="D39" s="266"/>
      <c r="E39" s="270"/>
    </row>
    <row r="40" spans="1:5" s="219" customFormat="1" ht="12" customHeight="1" thickBot="1">
      <c r="A40" s="212" t="s">
        <v>317</v>
      </c>
      <c r="B40" s="63" t="s">
        <v>318</v>
      </c>
      <c r="C40" s="49">
        <v>120278376</v>
      </c>
      <c r="D40" s="302">
        <v>120278376</v>
      </c>
      <c r="E40" s="297">
        <v>104558252</v>
      </c>
    </row>
    <row r="41" spans="1:5" s="219" customFormat="1" ht="15" customHeight="1" thickBot="1">
      <c r="A41" s="86" t="s">
        <v>15</v>
      </c>
      <c r="B41" s="87" t="s">
        <v>319</v>
      </c>
      <c r="C41" s="299">
        <f>+C36+C37</f>
        <v>157491830</v>
      </c>
      <c r="D41" s="295">
        <f>+D36+D37</f>
        <v>163893839</v>
      </c>
      <c r="E41" s="152">
        <f>+E36+E37</f>
        <v>162710473</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151906070</v>
      </c>
      <c r="D45" s="265">
        <f>SUM(D46:D50)</f>
        <v>157784279</v>
      </c>
      <c r="E45" s="149">
        <f>SUM(E46:E50)</f>
        <v>146287437</v>
      </c>
    </row>
    <row r="46" spans="1:5" ht="12" customHeight="1">
      <c r="A46" s="212" t="s">
        <v>63</v>
      </c>
      <c r="B46" s="7" t="s">
        <v>35</v>
      </c>
      <c r="C46" s="275">
        <v>71581440</v>
      </c>
      <c r="D46" s="60">
        <v>71616223</v>
      </c>
      <c r="E46" s="273">
        <v>70960258</v>
      </c>
    </row>
    <row r="47" spans="1:5" ht="12" customHeight="1">
      <c r="A47" s="212" t="s">
        <v>64</v>
      </c>
      <c r="B47" s="6" t="s">
        <v>122</v>
      </c>
      <c r="C47" s="48">
        <v>13958381</v>
      </c>
      <c r="D47" s="61">
        <v>13958381</v>
      </c>
      <c r="E47" s="271">
        <v>13471885</v>
      </c>
    </row>
    <row r="48" spans="1:5" ht="12" customHeight="1">
      <c r="A48" s="212" t="s">
        <v>65</v>
      </c>
      <c r="B48" s="6" t="s">
        <v>90</v>
      </c>
      <c r="C48" s="48">
        <v>66366249</v>
      </c>
      <c r="D48" s="61">
        <v>72209675</v>
      </c>
      <c r="E48" s="271">
        <v>61855294</v>
      </c>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5585760</v>
      </c>
      <c r="D51" s="265">
        <f>SUM(D52:D54)</f>
        <v>6109560</v>
      </c>
      <c r="E51" s="149">
        <f>SUM(E52:E54)</f>
        <v>5285968</v>
      </c>
    </row>
    <row r="52" spans="1:5" s="220" customFormat="1" ht="12" customHeight="1">
      <c r="A52" s="212" t="s">
        <v>69</v>
      </c>
      <c r="B52" s="7" t="s">
        <v>143</v>
      </c>
      <c r="C52" s="275">
        <v>5585760</v>
      </c>
      <c r="D52" s="60">
        <v>6109560</v>
      </c>
      <c r="E52" s="273">
        <v>5285968</v>
      </c>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157491830</v>
      </c>
      <c r="D57" s="295">
        <f>+D45+D51+D56</f>
        <v>163893839</v>
      </c>
      <c r="E57" s="152">
        <f>+E45+E51+E56</f>
        <v>151573405</v>
      </c>
    </row>
    <row r="58" spans="3:4" ht="15" customHeight="1" thickBot="1">
      <c r="C58" s="662">
        <f>C41-C57</f>
        <v>0</v>
      </c>
      <c r="D58" s="662">
        <f>D41-D57</f>
        <v>0</v>
      </c>
    </row>
    <row r="59" spans="1:5" ht="14.25" customHeight="1" thickBot="1">
      <c r="A59" s="303" t="s">
        <v>485</v>
      </c>
      <c r="B59" s="304"/>
      <c r="C59" s="293">
        <v>23</v>
      </c>
      <c r="D59" s="293">
        <v>23</v>
      </c>
      <c r="E59" s="292">
        <v>23</v>
      </c>
    </row>
    <row r="60" spans="1:5" ht="13.5" thickBot="1">
      <c r="A60" s="305" t="s">
        <v>486</v>
      </c>
      <c r="B60" s="306"/>
      <c r="C60" s="293"/>
      <c r="D60" s="293"/>
      <c r="E60" s="292"/>
    </row>
  </sheetData>
  <sheetProtection formatCells="0"/>
  <mergeCells count="5">
    <mergeCell ref="B1:E1"/>
    <mergeCell ref="B2:D2"/>
    <mergeCell ref="B3:D3"/>
    <mergeCell ref="A7:E7"/>
    <mergeCell ref="A44:E44"/>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8.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J17" sqref="J17"/>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CONCATENATE(Z_ALAPADATOK!M15,"2. melléklet ",Z_ALAPADATOK!A7," ",Z_ALAPADATOK!B7," ",Z_ALAPADATOK!C7," ",Z_ALAPADATOK!D7," ",Z_ALAPADATOK!E7," ",Z_ALAPADATOK!F7," ",Z_ALAPADATOK!G7," ",Z_ALAPADATOK!H7)</f>
        <v>6.4.2. melléklet a 4 / 2020. ( VII.17. ) önkormányzati rendelethez</v>
      </c>
      <c r="C1" s="866"/>
      <c r="D1" s="866"/>
      <c r="E1" s="866"/>
    </row>
    <row r="2" spans="1:5" s="216" customFormat="1" ht="25.5" customHeight="1" thickBot="1">
      <c r="A2" s="326" t="s">
        <v>453</v>
      </c>
      <c r="B2" s="862" t="str">
        <f>CONCATENATE('Z_6.4.1.sz.mell'!B2:D2)</f>
        <v>Ficánka Óvoda, Mini Bölcsőde és Konyha</v>
      </c>
      <c r="C2" s="863"/>
      <c r="D2" s="864"/>
      <c r="E2" s="327" t="s">
        <v>332</v>
      </c>
    </row>
    <row r="3" spans="1:5" s="216" customFormat="1" ht="24.75" thickBot="1">
      <c r="A3" s="326" t="s">
        <v>135</v>
      </c>
      <c r="B3" s="862" t="s">
        <v>323</v>
      </c>
      <c r="C3" s="863"/>
      <c r="D3" s="864"/>
      <c r="E3" s="327" t="s">
        <v>43</v>
      </c>
    </row>
    <row r="4" spans="1:5" s="217" customFormat="1" ht="15.75" customHeight="1" thickBot="1">
      <c r="A4" s="328"/>
      <c r="B4" s="328"/>
      <c r="C4" s="329"/>
      <c r="D4" s="330"/>
      <c r="E4" s="329" t="str">
        <f>'Z_6.4.1.sz.mell'!E4</f>
        <v> Forintban!</v>
      </c>
    </row>
    <row r="5" spans="1:5" ht="24.75" thickBot="1">
      <c r="A5" s="331" t="s">
        <v>136</v>
      </c>
      <c r="B5" s="332" t="s">
        <v>484</v>
      </c>
      <c r="C5" s="332" t="s">
        <v>449</v>
      </c>
      <c r="D5" s="333" t="s">
        <v>450</v>
      </c>
      <c r="E5" s="316" t="str">
        <f>CONCATENATE('Z_6.4.1.sz.mell'!E5)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23">
        <f>SUM(E9:E19)</f>
        <v>0</v>
      </c>
    </row>
    <row r="9" spans="1:5" s="154" customFormat="1" ht="12" customHeight="1">
      <c r="A9" s="211" t="s">
        <v>63</v>
      </c>
      <c r="B9" s="8" t="s">
        <v>183</v>
      </c>
      <c r="C9" s="276"/>
      <c r="D9" s="276"/>
      <c r="E9" s="296"/>
    </row>
    <row r="10" spans="1:5" s="154" customFormat="1" ht="12" customHeight="1">
      <c r="A10" s="212" t="s">
        <v>64</v>
      </c>
      <c r="B10" s="6" t="s">
        <v>184</v>
      </c>
      <c r="C10" s="118"/>
      <c r="D10" s="263"/>
      <c r="E10" s="268"/>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c r="E14" s="268"/>
    </row>
    <row r="15" spans="1:5" s="154" customFormat="1" ht="12" customHeight="1">
      <c r="A15" s="212" t="s">
        <v>68</v>
      </c>
      <c r="B15" s="5" t="s">
        <v>305</v>
      </c>
      <c r="C15" s="118"/>
      <c r="D15" s="263"/>
      <c r="E15" s="268"/>
    </row>
    <row r="16" spans="1:5" s="154" customFormat="1" ht="12" customHeight="1">
      <c r="A16" s="212" t="s">
        <v>76</v>
      </c>
      <c r="B16" s="6" t="s">
        <v>190</v>
      </c>
      <c r="C16" s="274"/>
      <c r="D16" s="301"/>
      <c r="E16" s="272"/>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c r="E19" s="269"/>
    </row>
    <row r="20" spans="1:5" s="154" customFormat="1" ht="12" customHeight="1" thickBot="1">
      <c r="A20" s="76" t="s">
        <v>7</v>
      </c>
      <c r="B20" s="85" t="s">
        <v>306</v>
      </c>
      <c r="C20" s="121">
        <f>SUM(C21:C23)</f>
        <v>0</v>
      </c>
      <c r="D20" s="265">
        <f>SUM(D21:D23)</f>
        <v>0</v>
      </c>
      <c r="E20" s="149">
        <f>SUM(E21:E23)</f>
        <v>0</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c r="E23" s="268"/>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0</v>
      </c>
      <c r="D36" s="265">
        <f>+D8+D20+D25+D26+D30+D34+D35</f>
        <v>0</v>
      </c>
      <c r="E36" s="149">
        <f>+E8+E20+E25+E26+E30+E34+E35</f>
        <v>0</v>
      </c>
    </row>
    <row r="37" spans="1:5" s="154" customFormat="1" ht="12" customHeight="1" thickBot="1">
      <c r="A37" s="86" t="s">
        <v>14</v>
      </c>
      <c r="B37" s="58" t="s">
        <v>314</v>
      </c>
      <c r="C37" s="121">
        <f>+C38+C39+C40</f>
        <v>0</v>
      </c>
      <c r="D37" s="265">
        <f>+D38+D39+D40</f>
        <v>0</v>
      </c>
      <c r="E37" s="149">
        <f>+E38+E39+E40</f>
        <v>0</v>
      </c>
    </row>
    <row r="38" spans="1:5" s="154" customFormat="1" ht="12" customHeight="1">
      <c r="A38" s="213" t="s">
        <v>315</v>
      </c>
      <c r="B38" s="214" t="s">
        <v>149</v>
      </c>
      <c r="C38" s="275"/>
      <c r="D38" s="60"/>
      <c r="E38" s="273"/>
    </row>
    <row r="39" spans="1:5" s="154" customFormat="1" ht="12" customHeight="1">
      <c r="A39" s="213" t="s">
        <v>316</v>
      </c>
      <c r="B39" s="215" t="s">
        <v>0</v>
      </c>
      <c r="C39" s="122"/>
      <c r="D39" s="266"/>
      <c r="E39" s="270"/>
    </row>
    <row r="40" spans="1:5" s="219" customFormat="1" ht="12" customHeight="1" thickBot="1">
      <c r="A40" s="212" t="s">
        <v>317</v>
      </c>
      <c r="B40" s="63" t="s">
        <v>318</v>
      </c>
      <c r="C40" s="49"/>
      <c r="D40" s="302"/>
      <c r="E40" s="297"/>
    </row>
    <row r="41" spans="1:5" s="219" customFormat="1" ht="15" customHeight="1" thickBot="1">
      <c r="A41" s="86" t="s">
        <v>15</v>
      </c>
      <c r="B41" s="87" t="s">
        <v>319</v>
      </c>
      <c r="C41" s="299">
        <f>+C36+C37</f>
        <v>0</v>
      </c>
      <c r="D41" s="295">
        <f>+D36+D37</f>
        <v>0</v>
      </c>
      <c r="E41" s="152">
        <f>+E36+E37</f>
        <v>0</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0</v>
      </c>
      <c r="D45" s="265">
        <f>SUM(D46:D50)</f>
        <v>0</v>
      </c>
      <c r="E45" s="149">
        <f>SUM(E46:E50)</f>
        <v>0</v>
      </c>
    </row>
    <row r="46" spans="1:5" ht="12" customHeight="1">
      <c r="A46" s="212" t="s">
        <v>63</v>
      </c>
      <c r="B46" s="7" t="s">
        <v>35</v>
      </c>
      <c r="C46" s="275"/>
      <c r="D46" s="60"/>
      <c r="E46" s="273"/>
    </row>
    <row r="47" spans="1:5" ht="12" customHeight="1">
      <c r="A47" s="212" t="s">
        <v>64</v>
      </c>
      <c r="B47" s="6" t="s">
        <v>122</v>
      </c>
      <c r="C47" s="48"/>
      <c r="D47" s="61"/>
      <c r="E47" s="271"/>
    </row>
    <row r="48" spans="1:5" ht="12" customHeight="1">
      <c r="A48" s="212" t="s">
        <v>65</v>
      </c>
      <c r="B48" s="6" t="s">
        <v>90</v>
      </c>
      <c r="C48" s="48"/>
      <c r="D48" s="61"/>
      <c r="E48" s="271"/>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0</v>
      </c>
      <c r="E51" s="149">
        <f>SUM(E52:E54)</f>
        <v>0</v>
      </c>
    </row>
    <row r="52" spans="1:5" s="220" customFormat="1" ht="12" customHeight="1">
      <c r="A52" s="212" t="s">
        <v>69</v>
      </c>
      <c r="B52" s="7" t="s">
        <v>143</v>
      </c>
      <c r="C52" s="275"/>
      <c r="D52" s="60"/>
      <c r="E52" s="273"/>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0</v>
      </c>
      <c r="D57" s="295">
        <f>+D45+D51+D56</f>
        <v>0</v>
      </c>
      <c r="E57" s="152">
        <f>+E45+E51+E56</f>
        <v>0</v>
      </c>
    </row>
    <row r="58" spans="3:4" ht="15" customHeight="1" thickBot="1">
      <c r="C58" s="662">
        <f>C41-C57</f>
        <v>0</v>
      </c>
      <c r="D58" s="662">
        <f>D41-D57</f>
        <v>0</v>
      </c>
    </row>
    <row r="59" spans="1:5" ht="14.25" customHeight="1" thickBot="1">
      <c r="A59" s="303" t="s">
        <v>485</v>
      </c>
      <c r="B59" s="304"/>
      <c r="C59" s="293"/>
      <c r="D59" s="293"/>
      <c r="E59" s="292"/>
    </row>
    <row r="60" spans="1:5" ht="13.5" thickBot="1">
      <c r="A60" s="305" t="s">
        <v>486</v>
      </c>
      <c r="B60" s="306"/>
      <c r="C60" s="293"/>
      <c r="D60" s="293"/>
      <c r="E60" s="292"/>
    </row>
  </sheetData>
  <sheetProtection sheet="1" formatCells="0"/>
  <mergeCells count="5">
    <mergeCell ref="B1:E1"/>
    <mergeCell ref="B2:D2"/>
    <mergeCell ref="B3:D3"/>
    <mergeCell ref="A7:E7"/>
    <mergeCell ref="A44:E44"/>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29.xml><?xml version="1.0" encoding="utf-8"?>
<worksheet xmlns="http://schemas.openxmlformats.org/spreadsheetml/2006/main" xmlns:r="http://schemas.openxmlformats.org/officeDocument/2006/relationships">
  <sheetPr>
    <tabColor rgb="FF92D050"/>
  </sheetPr>
  <dimension ref="A1:E60"/>
  <sheetViews>
    <sheetView zoomScale="120" zoomScaleNormal="120" workbookViewId="0" topLeftCell="A1">
      <selection activeCell="E4" sqref="E4"/>
    </sheetView>
  </sheetViews>
  <sheetFormatPr defaultColWidth="9.00390625" defaultRowHeight="12.75"/>
  <cols>
    <col min="1" max="1" width="13.875" style="93" customWidth="1"/>
    <col min="2" max="2" width="54.50390625" style="94" customWidth="1"/>
    <col min="3" max="5" width="15.875" style="94" customWidth="1"/>
    <col min="6" max="16384" width="9.375" style="94" customWidth="1"/>
  </cols>
  <sheetData>
    <row r="1" spans="1:5" s="84" customFormat="1" ht="16.5" thickBot="1">
      <c r="A1" s="325"/>
      <c r="B1" s="865" t="str">
        <f>CONCATENATE(Z_ALAPADATOK!M15,"3. melléklet ",Z_ALAPADATOK!A7," ",Z_ALAPADATOK!B7," ",Z_ALAPADATOK!C7," ",Z_ALAPADATOK!D7," ",Z_ALAPADATOK!E7," ",Z_ALAPADATOK!F7," ",Z_ALAPADATOK!G7," ",Z_ALAPADATOK!H7)</f>
        <v>6.4.3. melléklet a 4 / 2020. ( VII.17. ) önkormányzati rendelethez</v>
      </c>
      <c r="C1" s="866"/>
      <c r="D1" s="866"/>
      <c r="E1" s="866"/>
    </row>
    <row r="2" spans="1:5" s="216" customFormat="1" ht="25.5" customHeight="1" thickBot="1">
      <c r="A2" s="326" t="s">
        <v>453</v>
      </c>
      <c r="B2" s="862" t="str">
        <f>CONCATENATE('Z_6.4.2.sz.mell'!B2:D2)</f>
        <v>Ficánka Óvoda, Mini Bölcsőde és Konyha</v>
      </c>
      <c r="C2" s="863"/>
      <c r="D2" s="864"/>
      <c r="E2" s="327" t="s">
        <v>332</v>
      </c>
    </row>
    <row r="3" spans="1:5" s="216" customFormat="1" ht="24.75" thickBot="1">
      <c r="A3" s="326" t="s">
        <v>135</v>
      </c>
      <c r="B3" s="862" t="s">
        <v>415</v>
      </c>
      <c r="C3" s="863"/>
      <c r="D3" s="864"/>
      <c r="E3" s="327" t="s">
        <v>332</v>
      </c>
    </row>
    <row r="4" spans="1:5" s="217" customFormat="1" ht="15.75" customHeight="1" thickBot="1">
      <c r="A4" s="328"/>
      <c r="B4" s="328"/>
      <c r="C4" s="329"/>
      <c r="D4" s="330"/>
      <c r="E4" s="329" t="str">
        <f>'Z_6.4.2.sz.mell'!E4</f>
        <v> Forintban!</v>
      </c>
    </row>
    <row r="5" spans="1:5" ht="24.75" thickBot="1">
      <c r="A5" s="331" t="s">
        <v>136</v>
      </c>
      <c r="B5" s="332" t="s">
        <v>484</v>
      </c>
      <c r="C5" s="332" t="s">
        <v>449</v>
      </c>
      <c r="D5" s="333" t="s">
        <v>450</v>
      </c>
      <c r="E5" s="316" t="str">
        <f>CONCATENATE('Z_6.4.2.sz.mell'!E5)</f>
        <v>Teljesítés
2019. XII. 31.</v>
      </c>
    </row>
    <row r="6" spans="1:5" s="218" customFormat="1" ht="12.75" customHeight="1" thickBot="1">
      <c r="A6" s="364" t="s">
        <v>385</v>
      </c>
      <c r="B6" s="365" t="s">
        <v>386</v>
      </c>
      <c r="C6" s="365" t="s">
        <v>387</v>
      </c>
      <c r="D6" s="366" t="s">
        <v>389</v>
      </c>
      <c r="E6" s="367" t="s">
        <v>388</v>
      </c>
    </row>
    <row r="7" spans="1:5" s="218" customFormat="1" ht="15.75" customHeight="1" thickBot="1">
      <c r="A7" s="856" t="s">
        <v>39</v>
      </c>
      <c r="B7" s="857"/>
      <c r="C7" s="857"/>
      <c r="D7" s="857"/>
      <c r="E7" s="858"/>
    </row>
    <row r="8" spans="1:5" s="154" customFormat="1" ht="12" customHeight="1" thickBot="1">
      <c r="A8" s="76" t="s">
        <v>6</v>
      </c>
      <c r="B8" s="85" t="s">
        <v>406</v>
      </c>
      <c r="C8" s="121">
        <f>SUM(C9:C19)</f>
        <v>0</v>
      </c>
      <c r="D8" s="121">
        <f>SUM(D9:D19)</f>
        <v>0</v>
      </c>
      <c r="E8" s="123">
        <f>SUM(E9:E19)</f>
        <v>0</v>
      </c>
    </row>
    <row r="9" spans="1:5" s="154" customFormat="1" ht="12" customHeight="1">
      <c r="A9" s="211" t="s">
        <v>63</v>
      </c>
      <c r="B9" s="8" t="s">
        <v>183</v>
      </c>
      <c r="C9" s="276"/>
      <c r="D9" s="276"/>
      <c r="E9" s="296"/>
    </row>
    <row r="10" spans="1:5" s="154" customFormat="1" ht="12" customHeight="1">
      <c r="A10" s="212" t="s">
        <v>64</v>
      </c>
      <c r="B10" s="6" t="s">
        <v>184</v>
      </c>
      <c r="C10" s="118"/>
      <c r="D10" s="263"/>
      <c r="E10" s="268"/>
    </row>
    <row r="11" spans="1:5" s="154" customFormat="1" ht="12" customHeight="1">
      <c r="A11" s="212" t="s">
        <v>65</v>
      </c>
      <c r="B11" s="6" t="s">
        <v>185</v>
      </c>
      <c r="C11" s="118"/>
      <c r="D11" s="263"/>
      <c r="E11" s="268"/>
    </row>
    <row r="12" spans="1:5" s="154" customFormat="1" ht="12" customHeight="1">
      <c r="A12" s="212" t="s">
        <v>66</v>
      </c>
      <c r="B12" s="6" t="s">
        <v>186</v>
      </c>
      <c r="C12" s="118"/>
      <c r="D12" s="263"/>
      <c r="E12" s="268"/>
    </row>
    <row r="13" spans="1:5" s="154" customFormat="1" ht="12" customHeight="1">
      <c r="A13" s="212" t="s">
        <v>97</v>
      </c>
      <c r="B13" s="6" t="s">
        <v>187</v>
      </c>
      <c r="C13" s="118"/>
      <c r="D13" s="263"/>
      <c r="E13" s="268"/>
    </row>
    <row r="14" spans="1:5" s="154" customFormat="1" ht="12" customHeight="1">
      <c r="A14" s="212" t="s">
        <v>67</v>
      </c>
      <c r="B14" s="6" t="s">
        <v>304</v>
      </c>
      <c r="C14" s="118"/>
      <c r="D14" s="263"/>
      <c r="E14" s="268"/>
    </row>
    <row r="15" spans="1:5" s="154" customFormat="1" ht="12" customHeight="1">
      <c r="A15" s="212" t="s">
        <v>68</v>
      </c>
      <c r="B15" s="5" t="s">
        <v>305</v>
      </c>
      <c r="C15" s="118"/>
      <c r="D15" s="263"/>
      <c r="E15" s="268"/>
    </row>
    <row r="16" spans="1:5" s="154" customFormat="1" ht="12" customHeight="1">
      <c r="A16" s="212" t="s">
        <v>76</v>
      </c>
      <c r="B16" s="6" t="s">
        <v>190</v>
      </c>
      <c r="C16" s="274"/>
      <c r="D16" s="301"/>
      <c r="E16" s="272"/>
    </row>
    <row r="17" spans="1:5" s="219" customFormat="1" ht="12" customHeight="1">
      <c r="A17" s="212" t="s">
        <v>77</v>
      </c>
      <c r="B17" s="6" t="s">
        <v>191</v>
      </c>
      <c r="C17" s="118"/>
      <c r="D17" s="263"/>
      <c r="E17" s="268"/>
    </row>
    <row r="18" spans="1:5" s="219" customFormat="1" ht="12" customHeight="1">
      <c r="A18" s="212" t="s">
        <v>78</v>
      </c>
      <c r="B18" s="6" t="s">
        <v>337</v>
      </c>
      <c r="C18" s="120"/>
      <c r="D18" s="264"/>
      <c r="E18" s="269"/>
    </row>
    <row r="19" spans="1:5" s="219" customFormat="1" ht="12" customHeight="1" thickBot="1">
      <c r="A19" s="212" t="s">
        <v>79</v>
      </c>
      <c r="B19" s="5" t="s">
        <v>192</v>
      </c>
      <c r="C19" s="120"/>
      <c r="D19" s="264"/>
      <c r="E19" s="269"/>
    </row>
    <row r="20" spans="1:5" s="154" customFormat="1" ht="12" customHeight="1" thickBot="1">
      <c r="A20" s="76" t="s">
        <v>7</v>
      </c>
      <c r="B20" s="85" t="s">
        <v>306</v>
      </c>
      <c r="C20" s="121">
        <f>SUM(C21:C23)</f>
        <v>0</v>
      </c>
      <c r="D20" s="265">
        <f>SUM(D21:D23)</f>
        <v>0</v>
      </c>
      <c r="E20" s="149">
        <f>SUM(E21:E23)</f>
        <v>0</v>
      </c>
    </row>
    <row r="21" spans="1:5" s="219" customFormat="1" ht="12" customHeight="1">
      <c r="A21" s="212" t="s">
        <v>69</v>
      </c>
      <c r="B21" s="7" t="s">
        <v>167</v>
      </c>
      <c r="C21" s="118"/>
      <c r="D21" s="263"/>
      <c r="E21" s="268"/>
    </row>
    <row r="22" spans="1:5" s="219" customFormat="1" ht="12" customHeight="1">
      <c r="A22" s="212" t="s">
        <v>70</v>
      </c>
      <c r="B22" s="6" t="s">
        <v>307</v>
      </c>
      <c r="C22" s="118"/>
      <c r="D22" s="263"/>
      <c r="E22" s="268"/>
    </row>
    <row r="23" spans="1:5" s="219" customFormat="1" ht="12" customHeight="1">
      <c r="A23" s="212" t="s">
        <v>71</v>
      </c>
      <c r="B23" s="6" t="s">
        <v>308</v>
      </c>
      <c r="C23" s="118"/>
      <c r="D23" s="263"/>
      <c r="E23" s="268"/>
    </row>
    <row r="24" spans="1:5" s="219" customFormat="1" ht="12" customHeight="1" thickBot="1">
      <c r="A24" s="212" t="s">
        <v>72</v>
      </c>
      <c r="B24" s="6" t="s">
        <v>411</v>
      </c>
      <c r="C24" s="118"/>
      <c r="D24" s="263"/>
      <c r="E24" s="268"/>
    </row>
    <row r="25" spans="1:5" s="219" customFormat="1" ht="12" customHeight="1" thickBot="1">
      <c r="A25" s="80" t="s">
        <v>8</v>
      </c>
      <c r="B25" s="58" t="s">
        <v>113</v>
      </c>
      <c r="C25" s="298"/>
      <c r="D25" s="300"/>
      <c r="E25" s="148"/>
    </row>
    <row r="26" spans="1:5" s="219" customFormat="1" ht="12" customHeight="1" thickBot="1">
      <c r="A26" s="80" t="s">
        <v>9</v>
      </c>
      <c r="B26" s="58" t="s">
        <v>309</v>
      </c>
      <c r="C26" s="121">
        <f>+C27+C28</f>
        <v>0</v>
      </c>
      <c r="D26" s="265">
        <f>+D27+D28</f>
        <v>0</v>
      </c>
      <c r="E26" s="149">
        <f>+E27+E28</f>
        <v>0</v>
      </c>
    </row>
    <row r="27" spans="1:5" s="219" customFormat="1" ht="12" customHeight="1">
      <c r="A27" s="213" t="s">
        <v>176</v>
      </c>
      <c r="B27" s="214" t="s">
        <v>307</v>
      </c>
      <c r="C27" s="275"/>
      <c r="D27" s="60"/>
      <c r="E27" s="273"/>
    </row>
    <row r="28" spans="1:5" s="219" customFormat="1" ht="12" customHeight="1">
      <c r="A28" s="213" t="s">
        <v>177</v>
      </c>
      <c r="B28" s="215" t="s">
        <v>310</v>
      </c>
      <c r="C28" s="122"/>
      <c r="D28" s="266"/>
      <c r="E28" s="270"/>
    </row>
    <row r="29" spans="1:5" s="219" customFormat="1" ht="12" customHeight="1" thickBot="1">
      <c r="A29" s="212" t="s">
        <v>178</v>
      </c>
      <c r="B29" s="63" t="s">
        <v>412</v>
      </c>
      <c r="C29" s="49"/>
      <c r="D29" s="302"/>
      <c r="E29" s="297"/>
    </row>
    <row r="30" spans="1:5" s="219" customFormat="1" ht="12" customHeight="1" thickBot="1">
      <c r="A30" s="80" t="s">
        <v>10</v>
      </c>
      <c r="B30" s="58" t="s">
        <v>311</v>
      </c>
      <c r="C30" s="121">
        <f>+C31+C32+C33</f>
        <v>0</v>
      </c>
      <c r="D30" s="265">
        <f>+D31+D32+D33</f>
        <v>0</v>
      </c>
      <c r="E30" s="149">
        <f>+E31+E32+E33</f>
        <v>0</v>
      </c>
    </row>
    <row r="31" spans="1:5" s="219" customFormat="1" ht="12" customHeight="1">
      <c r="A31" s="213" t="s">
        <v>56</v>
      </c>
      <c r="B31" s="214" t="s">
        <v>197</v>
      </c>
      <c r="C31" s="275"/>
      <c r="D31" s="60"/>
      <c r="E31" s="273"/>
    </row>
    <row r="32" spans="1:5" s="219" customFormat="1" ht="12" customHeight="1">
      <c r="A32" s="213" t="s">
        <v>57</v>
      </c>
      <c r="B32" s="215" t="s">
        <v>198</v>
      </c>
      <c r="C32" s="122"/>
      <c r="D32" s="266"/>
      <c r="E32" s="270"/>
    </row>
    <row r="33" spans="1:5" s="219" customFormat="1" ht="12" customHeight="1" thickBot="1">
      <c r="A33" s="212" t="s">
        <v>58</v>
      </c>
      <c r="B33" s="63" t="s">
        <v>199</v>
      </c>
      <c r="C33" s="49"/>
      <c r="D33" s="302"/>
      <c r="E33" s="297"/>
    </row>
    <row r="34" spans="1:5" s="154" customFormat="1" ht="12" customHeight="1" thickBot="1">
      <c r="A34" s="80" t="s">
        <v>11</v>
      </c>
      <c r="B34" s="58" t="s">
        <v>282</v>
      </c>
      <c r="C34" s="298"/>
      <c r="D34" s="300"/>
      <c r="E34" s="148"/>
    </row>
    <row r="35" spans="1:5" s="154" customFormat="1" ht="12" customHeight="1" thickBot="1">
      <c r="A35" s="80" t="s">
        <v>12</v>
      </c>
      <c r="B35" s="58" t="s">
        <v>312</v>
      </c>
      <c r="C35" s="298"/>
      <c r="D35" s="300"/>
      <c r="E35" s="148"/>
    </row>
    <row r="36" spans="1:5" s="154" customFormat="1" ht="12" customHeight="1" thickBot="1">
      <c r="A36" s="76" t="s">
        <v>13</v>
      </c>
      <c r="B36" s="58" t="s">
        <v>413</v>
      </c>
      <c r="C36" s="121">
        <f>+C8+C20+C25+C26+C30+C34+C35</f>
        <v>0</v>
      </c>
      <c r="D36" s="265">
        <f>+D8+D20+D25+D26+D30+D34+D35</f>
        <v>0</v>
      </c>
      <c r="E36" s="149">
        <f>+E8+E20+E25+E26+E30+E34+E35</f>
        <v>0</v>
      </c>
    </row>
    <row r="37" spans="1:5" s="154" customFormat="1" ht="12" customHeight="1" thickBot="1">
      <c r="A37" s="86" t="s">
        <v>14</v>
      </c>
      <c r="B37" s="58" t="s">
        <v>314</v>
      </c>
      <c r="C37" s="121">
        <f>+C38+C39+C40</f>
        <v>0</v>
      </c>
      <c r="D37" s="265">
        <f>+D38+D39+D40</f>
        <v>0</v>
      </c>
      <c r="E37" s="149">
        <f>+E38+E39+E40</f>
        <v>0</v>
      </c>
    </row>
    <row r="38" spans="1:5" s="154" customFormat="1" ht="12" customHeight="1">
      <c r="A38" s="213" t="s">
        <v>315</v>
      </c>
      <c r="B38" s="214" t="s">
        <v>149</v>
      </c>
      <c r="C38" s="275"/>
      <c r="D38" s="60"/>
      <c r="E38" s="273"/>
    </row>
    <row r="39" spans="1:5" s="154" customFormat="1" ht="12" customHeight="1">
      <c r="A39" s="213" t="s">
        <v>316</v>
      </c>
      <c r="B39" s="215" t="s">
        <v>0</v>
      </c>
      <c r="C39" s="122"/>
      <c r="D39" s="266"/>
      <c r="E39" s="270"/>
    </row>
    <row r="40" spans="1:5" s="219" customFormat="1" ht="12" customHeight="1" thickBot="1">
      <c r="A40" s="212" t="s">
        <v>317</v>
      </c>
      <c r="B40" s="63" t="s">
        <v>318</v>
      </c>
      <c r="C40" s="49"/>
      <c r="D40" s="302"/>
      <c r="E40" s="297"/>
    </row>
    <row r="41" spans="1:5" s="219" customFormat="1" ht="15" customHeight="1" thickBot="1">
      <c r="A41" s="86" t="s">
        <v>15</v>
      </c>
      <c r="B41" s="87" t="s">
        <v>319</v>
      </c>
      <c r="C41" s="299">
        <f>+C36+C37</f>
        <v>0</v>
      </c>
      <c r="D41" s="295">
        <f>+D36+D37</f>
        <v>0</v>
      </c>
      <c r="E41" s="152">
        <f>+E36+E37</f>
        <v>0</v>
      </c>
    </row>
    <row r="42" spans="1:3" s="219" customFormat="1" ht="15" customHeight="1">
      <c r="A42" s="88"/>
      <c r="B42" s="89"/>
      <c r="C42" s="150"/>
    </row>
    <row r="43" spans="1:3" ht="13.5" thickBot="1">
      <c r="A43" s="90"/>
      <c r="B43" s="91"/>
      <c r="C43" s="151"/>
    </row>
    <row r="44" spans="1:5" s="218" customFormat="1" ht="16.5" customHeight="1" thickBot="1">
      <c r="A44" s="856" t="s">
        <v>40</v>
      </c>
      <c r="B44" s="857"/>
      <c r="C44" s="857"/>
      <c r="D44" s="857"/>
      <c r="E44" s="858"/>
    </row>
    <row r="45" spans="1:5" s="220" customFormat="1" ht="12" customHeight="1" thickBot="1">
      <c r="A45" s="80" t="s">
        <v>6</v>
      </c>
      <c r="B45" s="58" t="s">
        <v>320</v>
      </c>
      <c r="C45" s="121">
        <f>SUM(C46:C50)</f>
        <v>0</v>
      </c>
      <c r="D45" s="265">
        <f>SUM(D46:D50)</f>
        <v>0</v>
      </c>
      <c r="E45" s="149">
        <f>SUM(E46:E50)</f>
        <v>0</v>
      </c>
    </row>
    <row r="46" spans="1:5" ht="12" customHeight="1">
      <c r="A46" s="212" t="s">
        <v>63</v>
      </c>
      <c r="B46" s="7" t="s">
        <v>35</v>
      </c>
      <c r="C46" s="275"/>
      <c r="D46" s="60"/>
      <c r="E46" s="273"/>
    </row>
    <row r="47" spans="1:5" ht="12" customHeight="1">
      <c r="A47" s="212" t="s">
        <v>64</v>
      </c>
      <c r="B47" s="6" t="s">
        <v>122</v>
      </c>
      <c r="C47" s="48"/>
      <c r="D47" s="61"/>
      <c r="E47" s="271"/>
    </row>
    <row r="48" spans="1:5" ht="12" customHeight="1">
      <c r="A48" s="212" t="s">
        <v>65</v>
      </c>
      <c r="B48" s="6" t="s">
        <v>90</v>
      </c>
      <c r="C48" s="48"/>
      <c r="D48" s="61"/>
      <c r="E48" s="271"/>
    </row>
    <row r="49" spans="1:5" ht="12" customHeight="1">
      <c r="A49" s="212" t="s">
        <v>66</v>
      </c>
      <c r="B49" s="6" t="s">
        <v>123</v>
      </c>
      <c r="C49" s="48"/>
      <c r="D49" s="61"/>
      <c r="E49" s="271"/>
    </row>
    <row r="50" spans="1:5" ht="12" customHeight="1" thickBot="1">
      <c r="A50" s="212" t="s">
        <v>97</v>
      </c>
      <c r="B50" s="6" t="s">
        <v>124</v>
      </c>
      <c r="C50" s="48"/>
      <c r="D50" s="61"/>
      <c r="E50" s="271"/>
    </row>
    <row r="51" spans="1:5" ht="12" customHeight="1" thickBot="1">
      <c r="A51" s="80" t="s">
        <v>7</v>
      </c>
      <c r="B51" s="58" t="s">
        <v>321</v>
      </c>
      <c r="C51" s="121">
        <f>SUM(C52:C54)</f>
        <v>0</v>
      </c>
      <c r="D51" s="265">
        <f>SUM(D52:D54)</f>
        <v>0</v>
      </c>
      <c r="E51" s="149">
        <f>SUM(E52:E54)</f>
        <v>0</v>
      </c>
    </row>
    <row r="52" spans="1:5" s="220" customFormat="1" ht="12" customHeight="1">
      <c r="A52" s="212" t="s">
        <v>69</v>
      </c>
      <c r="B52" s="7" t="s">
        <v>143</v>
      </c>
      <c r="C52" s="275"/>
      <c r="D52" s="60"/>
      <c r="E52" s="273"/>
    </row>
    <row r="53" spans="1:5" ht="12" customHeight="1">
      <c r="A53" s="212" t="s">
        <v>70</v>
      </c>
      <c r="B53" s="6" t="s">
        <v>126</v>
      </c>
      <c r="C53" s="48"/>
      <c r="D53" s="61"/>
      <c r="E53" s="271"/>
    </row>
    <row r="54" spans="1:5" ht="12" customHeight="1">
      <c r="A54" s="212" t="s">
        <v>71</v>
      </c>
      <c r="B54" s="6" t="s">
        <v>41</v>
      </c>
      <c r="C54" s="48"/>
      <c r="D54" s="61"/>
      <c r="E54" s="271"/>
    </row>
    <row r="55" spans="1:5" ht="12" customHeight="1" thickBot="1">
      <c r="A55" s="212" t="s">
        <v>72</v>
      </c>
      <c r="B55" s="6" t="s">
        <v>410</v>
      </c>
      <c r="C55" s="48"/>
      <c r="D55" s="61"/>
      <c r="E55" s="271"/>
    </row>
    <row r="56" spans="1:5" ht="15" customHeight="1" thickBot="1">
      <c r="A56" s="80" t="s">
        <v>8</v>
      </c>
      <c r="B56" s="58" t="s">
        <v>2</v>
      </c>
      <c r="C56" s="298"/>
      <c r="D56" s="300"/>
      <c r="E56" s="148"/>
    </row>
    <row r="57" spans="1:5" ht="13.5" thickBot="1">
      <c r="A57" s="80" t="s">
        <v>9</v>
      </c>
      <c r="B57" s="92" t="s">
        <v>414</v>
      </c>
      <c r="C57" s="299">
        <f>+C45+C51+C56</f>
        <v>0</v>
      </c>
      <c r="D57" s="295">
        <f>+D45+D51+D56</f>
        <v>0</v>
      </c>
      <c r="E57" s="152">
        <f>+E45+E51+E56</f>
        <v>0</v>
      </c>
    </row>
    <row r="58" spans="3:4" ht="15" customHeight="1" thickBot="1">
      <c r="C58" s="662">
        <f>C41-C57</f>
        <v>0</v>
      </c>
      <c r="D58" s="662">
        <f>D41-D57</f>
        <v>0</v>
      </c>
    </row>
    <row r="59" spans="1:5" ht="14.25" customHeight="1" thickBot="1">
      <c r="A59" s="303" t="s">
        <v>485</v>
      </c>
      <c r="B59" s="304"/>
      <c r="C59" s="293"/>
      <c r="D59" s="293"/>
      <c r="E59" s="292"/>
    </row>
    <row r="60" spans="1:5" ht="13.5" thickBot="1">
      <c r="A60" s="305" t="s">
        <v>486</v>
      </c>
      <c r="B60" s="306"/>
      <c r="C60" s="293"/>
      <c r="D60" s="293"/>
      <c r="E60" s="292"/>
    </row>
  </sheetData>
  <sheetProtection sheet="1" formatCells="0"/>
  <mergeCells count="5">
    <mergeCell ref="B1:E1"/>
    <mergeCell ref="B2:D2"/>
    <mergeCell ref="B3:D3"/>
    <mergeCell ref="A7:E7"/>
    <mergeCell ref="A44:E44"/>
  </mergeCells>
  <printOptions horizontalCentered="1"/>
  <pageMargins left="0.7874015748031497" right="0.7874015748031497" top="0.984251968503937" bottom="0.984251968503937" header="0.7874015748031497" footer="0.7874015748031497"/>
  <pageSetup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B41"/>
  <sheetViews>
    <sheetView zoomScale="120" zoomScaleNormal="120" workbookViewId="0" topLeftCell="A13">
      <selection activeCell="A6" sqref="A6"/>
    </sheetView>
  </sheetViews>
  <sheetFormatPr defaultColWidth="9.00390625" defaultRowHeight="12.75"/>
  <cols>
    <col min="1" max="1" width="48.50390625" style="0" customWidth="1"/>
    <col min="2" max="2" width="73.50390625" style="0" customWidth="1"/>
    <col min="3" max="3" width="16.875" style="0" customWidth="1"/>
  </cols>
  <sheetData>
    <row r="1" spans="1:2" ht="18.75">
      <c r="A1" s="277" t="s">
        <v>515</v>
      </c>
      <c r="B1" s="81"/>
    </row>
    <row r="2" spans="1:2" ht="12.75">
      <c r="A2" s="81"/>
      <c r="B2" s="81"/>
    </row>
    <row r="3" spans="1:2" ht="12.75">
      <c r="A3" s="279"/>
      <c r="B3" s="279"/>
    </row>
    <row r="4" spans="1:2" ht="15.75">
      <c r="A4" s="83"/>
      <c r="B4" s="283"/>
    </row>
    <row r="5" spans="1:2" ht="15.75">
      <c r="A5" s="83"/>
      <c r="B5" s="283"/>
    </row>
    <row r="6" spans="1:2" s="68" customFormat="1" ht="15.75">
      <c r="A6" s="83" t="str">
        <f>CONCATENATE(Z_ALAPADATOK!B1,". évi eredeti előirányzat BEVÉTELEK")</f>
        <v>2019. évi eredeti előirányzat BEVÉTELEK</v>
      </c>
      <c r="B6" s="279"/>
    </row>
    <row r="7" spans="1:2" s="68" customFormat="1" ht="12.75">
      <c r="A7" s="279"/>
      <c r="B7" s="279"/>
    </row>
    <row r="8" spans="1:2" s="68" customFormat="1" ht="12.75">
      <c r="A8" s="279"/>
      <c r="B8" s="279"/>
    </row>
    <row r="9" spans="1:2" ht="12.75">
      <c r="A9" s="279" t="s">
        <v>456</v>
      </c>
      <c r="B9" s="279" t="s">
        <v>425</v>
      </c>
    </row>
    <row r="10" spans="1:2" ht="12.75">
      <c r="A10" s="279" t="s">
        <v>454</v>
      </c>
      <c r="B10" s="279" t="s">
        <v>431</v>
      </c>
    </row>
    <row r="11" spans="1:2" ht="12.75">
      <c r="A11" s="279" t="s">
        <v>455</v>
      </c>
      <c r="B11" s="279" t="s">
        <v>432</v>
      </c>
    </row>
    <row r="12" spans="1:2" ht="12.75">
      <c r="A12" s="279"/>
      <c r="B12" s="279"/>
    </row>
    <row r="13" spans="1:2" ht="15.75">
      <c r="A13" s="83" t="str">
        <f>+CONCATENATE(LEFT(A6,4),". évi módosított előirányzat BEVÉTELEK")</f>
        <v>2019. évi módosított előirányzat BEVÉTELEK</v>
      </c>
      <c r="B13" s="283"/>
    </row>
    <row r="14" spans="1:2" ht="12.75">
      <c r="A14" s="279"/>
      <c r="B14" s="279"/>
    </row>
    <row r="15" spans="1:2" s="68" customFormat="1" ht="12.75">
      <c r="A15" s="279" t="s">
        <v>457</v>
      </c>
      <c r="B15" s="279" t="s">
        <v>426</v>
      </c>
    </row>
    <row r="16" spans="1:2" ht="12.75">
      <c r="A16" s="279" t="s">
        <v>458</v>
      </c>
      <c r="B16" s="279" t="s">
        <v>433</v>
      </c>
    </row>
    <row r="17" spans="1:2" ht="12.75">
      <c r="A17" s="279" t="s">
        <v>459</v>
      </c>
      <c r="B17" s="279" t="s">
        <v>434</v>
      </c>
    </row>
    <row r="18" spans="1:2" ht="12.75">
      <c r="A18" s="279"/>
      <c r="B18" s="279"/>
    </row>
    <row r="19" spans="1:2" ht="14.25">
      <c r="A19" s="286" t="str">
        <f>+CONCATENATE(LEFT(A6,4),".évi teljesített BEVÉTELEK")</f>
        <v>2019.évi teljesített BEVÉTELEK</v>
      </c>
      <c r="B19" s="283"/>
    </row>
    <row r="20" spans="1:2" ht="12.75">
      <c r="A20" s="279"/>
      <c r="B20" s="279"/>
    </row>
    <row r="21" spans="1:2" ht="12.75">
      <c r="A21" s="279" t="s">
        <v>460</v>
      </c>
      <c r="B21" s="279" t="s">
        <v>427</v>
      </c>
    </row>
    <row r="22" spans="1:2" ht="12.75">
      <c r="A22" s="279" t="s">
        <v>461</v>
      </c>
      <c r="B22" s="279" t="s">
        <v>435</v>
      </c>
    </row>
    <row r="23" spans="1:2" ht="12.75">
      <c r="A23" s="279" t="s">
        <v>462</v>
      </c>
      <c r="B23" s="279" t="s">
        <v>436</v>
      </c>
    </row>
    <row r="24" spans="1:2" ht="12.75">
      <c r="A24" s="279"/>
      <c r="B24" s="279"/>
    </row>
    <row r="25" spans="1:2" ht="15.75">
      <c r="A25" s="83" t="str">
        <f>+CONCATENATE(LEFT(A6,4),". évi eredeti előirányzat KIADÁSOK")</f>
        <v>2019. évi eredeti előirányzat KIADÁSOK</v>
      </c>
      <c r="B25" s="283"/>
    </row>
    <row r="26" spans="1:2" ht="12.75">
      <c r="A26" s="279"/>
      <c r="B26" s="279"/>
    </row>
    <row r="27" spans="1:2" ht="12.75">
      <c r="A27" s="279" t="s">
        <v>463</v>
      </c>
      <c r="B27" s="279" t="s">
        <v>428</v>
      </c>
    </row>
    <row r="28" spans="1:2" ht="12.75">
      <c r="A28" s="279" t="s">
        <v>464</v>
      </c>
      <c r="B28" s="279" t="s">
        <v>437</v>
      </c>
    </row>
    <row r="29" spans="1:2" ht="12.75">
      <c r="A29" s="279" t="s">
        <v>465</v>
      </c>
      <c r="B29" s="279" t="s">
        <v>438</v>
      </c>
    </row>
    <row r="30" spans="1:2" ht="12.75">
      <c r="A30" s="279"/>
      <c r="B30" s="279"/>
    </row>
    <row r="31" spans="1:2" ht="15.75">
      <c r="A31" s="83" t="str">
        <f>+CONCATENATE(LEFT(A6,4),". évi módosított előirányzat KIADÁSOK")</f>
        <v>2019. évi módosított előirányzat KIADÁSOK</v>
      </c>
      <c r="B31" s="283"/>
    </row>
    <row r="32" spans="1:2" ht="12.75">
      <c r="A32" s="279"/>
      <c r="B32" s="279"/>
    </row>
    <row r="33" spans="1:2" ht="12.75">
      <c r="A33" s="279" t="s">
        <v>466</v>
      </c>
      <c r="B33" s="279" t="s">
        <v>429</v>
      </c>
    </row>
    <row r="34" spans="1:2" ht="12.75">
      <c r="A34" s="279" t="s">
        <v>467</v>
      </c>
      <c r="B34" s="279" t="s">
        <v>439</v>
      </c>
    </row>
    <row r="35" spans="1:2" ht="12.75">
      <c r="A35" s="279" t="s">
        <v>468</v>
      </c>
      <c r="B35" s="279" t="s">
        <v>440</v>
      </c>
    </row>
    <row r="36" spans="1:2" ht="12.75">
      <c r="A36" s="279"/>
      <c r="B36" s="279"/>
    </row>
    <row r="37" spans="1:2" ht="15.75">
      <c r="A37" s="285" t="str">
        <f>+CONCATENATE(LEFT(A6,4),".évi teljesített KIADÁSOK")</f>
        <v>2019.évi teljesített KIADÁSOK</v>
      </c>
      <c r="B37" s="283"/>
    </row>
    <row r="38" spans="1:2" ht="12.75">
      <c r="A38" s="279"/>
      <c r="B38" s="279"/>
    </row>
    <row r="39" spans="1:2" ht="12.75">
      <c r="A39" s="279" t="s">
        <v>469</v>
      </c>
      <c r="B39" s="279" t="s">
        <v>430</v>
      </c>
    </row>
    <row r="40" spans="1:2" ht="12.75">
      <c r="A40" s="279" t="s">
        <v>470</v>
      </c>
      <c r="B40" s="279" t="s">
        <v>441</v>
      </c>
    </row>
    <row r="41" spans="1:2" ht="12.75">
      <c r="A41" s="279" t="s">
        <v>471</v>
      </c>
      <c r="B41" s="279" t="s">
        <v>442</v>
      </c>
    </row>
  </sheetData>
  <sheetProtection sheet="1"/>
  <printOptions/>
  <pageMargins left="1.062992125984252" right="1.0236220472440944" top="0.7874015748031497" bottom="0.7874015748031497" header="0.7086614173228347" footer="0.7086614173228347"/>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92D050"/>
  </sheetPr>
  <dimension ref="A1:G40"/>
  <sheetViews>
    <sheetView zoomScale="120" zoomScaleNormal="120" workbookViewId="0" topLeftCell="A1">
      <selection activeCell="G5" sqref="G5"/>
    </sheetView>
  </sheetViews>
  <sheetFormatPr defaultColWidth="9.00390625" defaultRowHeight="12.75"/>
  <cols>
    <col min="1" max="1" width="7.00390625" style="691" customWidth="1"/>
    <col min="2" max="2" width="36.50390625" style="94" customWidth="1"/>
    <col min="3" max="3" width="15.125" style="94" customWidth="1"/>
    <col min="4" max="5" width="11.875" style="94" customWidth="1"/>
    <col min="6" max="6" width="15.125" style="94" customWidth="1"/>
    <col min="7" max="7" width="17.00390625" style="94" customWidth="1"/>
    <col min="8" max="16384" width="9.375" style="94" customWidth="1"/>
  </cols>
  <sheetData>
    <row r="1" spans="1:7" ht="18.75" customHeight="1">
      <c r="A1" s="871" t="str">
        <f>CONCATENATE("7. melléklet ",Z_ALAPADATOK!A7," ",Z_ALAPADATOK!B7," ",Z_ALAPADATOK!C7," ",Z_ALAPADATOK!D7," ",Z_ALAPADATOK!E7," ",Z_ALAPADATOK!F7," ",Z_ALAPADATOK!G7," ",Z_ALAPADATOK!H7)</f>
        <v>7. melléklet a 4 / 2020. ( VII.17. ) önkormányzati rendelethez</v>
      </c>
      <c r="B1" s="872"/>
      <c r="C1" s="872"/>
      <c r="D1" s="872"/>
      <c r="E1" s="872"/>
      <c r="F1" s="872"/>
      <c r="G1" s="872"/>
    </row>
    <row r="3" spans="1:7" ht="15.75">
      <c r="A3" s="869" t="s">
        <v>834</v>
      </c>
      <c r="B3" s="870"/>
      <c r="C3" s="870"/>
      <c r="D3" s="870"/>
      <c r="E3" s="870"/>
      <c r="F3" s="870"/>
      <c r="G3" s="870"/>
    </row>
    <row r="5" ht="14.25" thickBot="1">
      <c r="G5" s="692" t="s">
        <v>838</v>
      </c>
    </row>
    <row r="6" spans="1:7" ht="17.25" customHeight="1" thickBot="1">
      <c r="A6" s="873" t="s">
        <v>4</v>
      </c>
      <c r="B6" s="875" t="s">
        <v>826</v>
      </c>
      <c r="C6" s="875" t="s">
        <v>827</v>
      </c>
      <c r="D6" s="875" t="s">
        <v>828</v>
      </c>
      <c r="E6" s="877" t="s">
        <v>829</v>
      </c>
      <c r="F6" s="877"/>
      <c r="G6" s="878"/>
    </row>
    <row r="7" spans="1:7" s="695" customFormat="1" ht="57.75" customHeight="1" thickBot="1">
      <c r="A7" s="874"/>
      <c r="B7" s="876"/>
      <c r="C7" s="876"/>
      <c r="D7" s="876"/>
      <c r="E7" s="693" t="s">
        <v>830</v>
      </c>
      <c r="F7" s="693" t="s">
        <v>831</v>
      </c>
      <c r="G7" s="694" t="s">
        <v>832</v>
      </c>
    </row>
    <row r="8" spans="1:7" s="220" customFormat="1" ht="15" customHeight="1" thickBot="1">
      <c r="A8" s="76" t="s">
        <v>385</v>
      </c>
      <c r="B8" s="77" t="s">
        <v>386</v>
      </c>
      <c r="C8" s="77" t="s">
        <v>387</v>
      </c>
      <c r="D8" s="77" t="s">
        <v>389</v>
      </c>
      <c r="E8" s="77" t="s">
        <v>833</v>
      </c>
      <c r="F8" s="77" t="s">
        <v>390</v>
      </c>
      <c r="G8" s="78" t="s">
        <v>391</v>
      </c>
    </row>
    <row r="9" spans="1:7" ht="15" customHeight="1">
      <c r="A9" s="696" t="s">
        <v>6</v>
      </c>
      <c r="B9" s="697" t="s">
        <v>869</v>
      </c>
      <c r="C9" s="698">
        <v>362488053</v>
      </c>
      <c r="D9" s="698"/>
      <c r="E9" s="699">
        <f>C9-D9</f>
        <v>362488053</v>
      </c>
      <c r="F9" s="698">
        <v>16548446</v>
      </c>
      <c r="G9" s="700">
        <v>345939607</v>
      </c>
    </row>
    <row r="10" spans="1:7" ht="15" customHeight="1">
      <c r="A10" s="701" t="s">
        <v>7</v>
      </c>
      <c r="B10" s="702" t="s">
        <v>870</v>
      </c>
      <c r="C10" s="21">
        <v>49506415</v>
      </c>
      <c r="D10" s="21"/>
      <c r="E10" s="699">
        <f aca="true" t="shared" si="0" ref="E10:E39">C10-D10</f>
        <v>49506415</v>
      </c>
      <c r="F10" s="21">
        <v>49506415</v>
      </c>
      <c r="G10" s="456"/>
    </row>
    <row r="11" spans="1:7" ht="15" customHeight="1">
      <c r="A11" s="701" t="s">
        <v>8</v>
      </c>
      <c r="B11" s="702" t="s">
        <v>871</v>
      </c>
      <c r="C11" s="21">
        <v>11137068</v>
      </c>
      <c r="D11" s="21"/>
      <c r="E11" s="699">
        <f t="shared" si="0"/>
        <v>11137068</v>
      </c>
      <c r="F11" s="21">
        <v>11137068</v>
      </c>
      <c r="G11" s="456"/>
    </row>
    <row r="12" spans="1:7" ht="15" customHeight="1">
      <c r="A12" s="701" t="s">
        <v>9</v>
      </c>
      <c r="B12" s="702"/>
      <c r="C12" s="21"/>
      <c r="D12" s="21"/>
      <c r="E12" s="699">
        <f t="shared" si="0"/>
        <v>0</v>
      </c>
      <c r="F12" s="21"/>
      <c r="G12" s="456"/>
    </row>
    <row r="13" spans="1:7" ht="15" customHeight="1">
      <c r="A13" s="701" t="s">
        <v>10</v>
      </c>
      <c r="B13" s="702"/>
      <c r="C13" s="21"/>
      <c r="D13" s="21"/>
      <c r="E13" s="699">
        <f t="shared" si="0"/>
        <v>0</v>
      </c>
      <c r="F13" s="21"/>
      <c r="G13" s="456"/>
    </row>
    <row r="14" spans="1:7" ht="15" customHeight="1">
      <c r="A14" s="701" t="s">
        <v>11</v>
      </c>
      <c r="B14" s="702"/>
      <c r="C14" s="21"/>
      <c r="D14" s="21"/>
      <c r="E14" s="699">
        <f t="shared" si="0"/>
        <v>0</v>
      </c>
      <c r="F14" s="21"/>
      <c r="G14" s="456"/>
    </row>
    <row r="15" spans="1:7" ht="15" customHeight="1">
      <c r="A15" s="701" t="s">
        <v>12</v>
      </c>
      <c r="B15" s="702"/>
      <c r="C15" s="21"/>
      <c r="D15" s="21"/>
      <c r="E15" s="699">
        <f t="shared" si="0"/>
        <v>0</v>
      </c>
      <c r="F15" s="21"/>
      <c r="G15" s="456"/>
    </row>
    <row r="16" spans="1:7" ht="15" customHeight="1">
      <c r="A16" s="701" t="s">
        <v>13</v>
      </c>
      <c r="B16" s="702"/>
      <c r="C16" s="21"/>
      <c r="D16" s="21"/>
      <c r="E16" s="699">
        <f t="shared" si="0"/>
        <v>0</v>
      </c>
      <c r="F16" s="21"/>
      <c r="G16" s="456"/>
    </row>
    <row r="17" spans="1:7" ht="15" customHeight="1">
      <c r="A17" s="701" t="s">
        <v>14</v>
      </c>
      <c r="B17" s="702"/>
      <c r="C17" s="21"/>
      <c r="D17" s="21"/>
      <c r="E17" s="699">
        <f t="shared" si="0"/>
        <v>0</v>
      </c>
      <c r="F17" s="21"/>
      <c r="G17" s="456"/>
    </row>
    <row r="18" spans="1:7" ht="15" customHeight="1">
      <c r="A18" s="701" t="s">
        <v>15</v>
      </c>
      <c r="B18" s="702"/>
      <c r="C18" s="21"/>
      <c r="D18" s="21"/>
      <c r="E18" s="699">
        <f t="shared" si="0"/>
        <v>0</v>
      </c>
      <c r="F18" s="21"/>
      <c r="G18" s="456"/>
    </row>
    <row r="19" spans="1:7" ht="15" customHeight="1">
      <c r="A19" s="701" t="s">
        <v>16</v>
      </c>
      <c r="B19" s="702"/>
      <c r="C19" s="21"/>
      <c r="D19" s="21"/>
      <c r="E19" s="699">
        <f t="shared" si="0"/>
        <v>0</v>
      </c>
      <c r="F19" s="21"/>
      <c r="G19" s="456"/>
    </row>
    <row r="20" spans="1:7" ht="15" customHeight="1">
      <c r="A20" s="701" t="s">
        <v>17</v>
      </c>
      <c r="B20" s="702"/>
      <c r="C20" s="21"/>
      <c r="D20" s="21"/>
      <c r="E20" s="699">
        <f t="shared" si="0"/>
        <v>0</v>
      </c>
      <c r="F20" s="21"/>
      <c r="G20" s="456"/>
    </row>
    <row r="21" spans="1:7" ht="15" customHeight="1">
      <c r="A21" s="701" t="s">
        <v>18</v>
      </c>
      <c r="B21" s="702"/>
      <c r="C21" s="21"/>
      <c r="D21" s="21"/>
      <c r="E21" s="699">
        <f t="shared" si="0"/>
        <v>0</v>
      </c>
      <c r="F21" s="21"/>
      <c r="G21" s="456"/>
    </row>
    <row r="22" spans="1:7" ht="15" customHeight="1">
      <c r="A22" s="701" t="s">
        <v>19</v>
      </c>
      <c r="B22" s="702"/>
      <c r="C22" s="21"/>
      <c r="D22" s="21"/>
      <c r="E22" s="699">
        <f t="shared" si="0"/>
        <v>0</v>
      </c>
      <c r="F22" s="21"/>
      <c r="G22" s="456"/>
    </row>
    <row r="23" spans="1:7" ht="15" customHeight="1">
      <c r="A23" s="701" t="s">
        <v>20</v>
      </c>
      <c r="B23" s="702"/>
      <c r="C23" s="21"/>
      <c r="D23" s="21"/>
      <c r="E23" s="699">
        <f t="shared" si="0"/>
        <v>0</v>
      </c>
      <c r="F23" s="21"/>
      <c r="G23" s="456"/>
    </row>
    <row r="24" spans="1:7" ht="15" customHeight="1">
      <c r="A24" s="701" t="s">
        <v>21</v>
      </c>
      <c r="B24" s="702"/>
      <c r="C24" s="21"/>
      <c r="D24" s="21"/>
      <c r="E24" s="699">
        <f t="shared" si="0"/>
        <v>0</v>
      </c>
      <c r="F24" s="21"/>
      <c r="G24" s="456"/>
    </row>
    <row r="25" spans="1:7" ht="15" customHeight="1">
      <c r="A25" s="701" t="s">
        <v>22</v>
      </c>
      <c r="B25" s="702"/>
      <c r="C25" s="21"/>
      <c r="D25" s="21"/>
      <c r="E25" s="699">
        <f t="shared" si="0"/>
        <v>0</v>
      </c>
      <c r="F25" s="21"/>
      <c r="G25" s="456"/>
    </row>
    <row r="26" spans="1:7" ht="15" customHeight="1">
      <c r="A26" s="701" t="s">
        <v>23</v>
      </c>
      <c r="B26" s="702"/>
      <c r="C26" s="21"/>
      <c r="D26" s="21"/>
      <c r="E26" s="699">
        <f t="shared" si="0"/>
        <v>0</v>
      </c>
      <c r="F26" s="21"/>
      <c r="G26" s="456"/>
    </row>
    <row r="27" spans="1:7" ht="15" customHeight="1">
      <c r="A27" s="701" t="s">
        <v>24</v>
      </c>
      <c r="B27" s="702"/>
      <c r="C27" s="21"/>
      <c r="D27" s="21"/>
      <c r="E27" s="699">
        <f t="shared" si="0"/>
        <v>0</v>
      </c>
      <c r="F27" s="21"/>
      <c r="G27" s="456"/>
    </row>
    <row r="28" spans="1:7" ht="15" customHeight="1">
      <c r="A28" s="701" t="s">
        <v>25</v>
      </c>
      <c r="B28" s="702"/>
      <c r="C28" s="21"/>
      <c r="D28" s="21"/>
      <c r="E28" s="699">
        <f t="shared" si="0"/>
        <v>0</v>
      </c>
      <c r="F28" s="21"/>
      <c r="G28" s="456"/>
    </row>
    <row r="29" spans="1:7" ht="15" customHeight="1">
      <c r="A29" s="701" t="s">
        <v>26</v>
      </c>
      <c r="B29" s="702"/>
      <c r="C29" s="21"/>
      <c r="D29" s="21"/>
      <c r="E29" s="699">
        <f t="shared" si="0"/>
        <v>0</v>
      </c>
      <c r="F29" s="21"/>
      <c r="G29" s="456"/>
    </row>
    <row r="30" spans="1:7" ht="15" customHeight="1">
      <c r="A30" s="701" t="s">
        <v>27</v>
      </c>
      <c r="B30" s="702"/>
      <c r="C30" s="21"/>
      <c r="D30" s="21"/>
      <c r="E30" s="699">
        <f t="shared" si="0"/>
        <v>0</v>
      </c>
      <c r="F30" s="21"/>
      <c r="G30" s="456"/>
    </row>
    <row r="31" spans="1:7" ht="15" customHeight="1">
      <c r="A31" s="701" t="s">
        <v>28</v>
      </c>
      <c r="B31" s="702"/>
      <c r="C31" s="21"/>
      <c r="D31" s="21"/>
      <c r="E31" s="699">
        <f t="shared" si="0"/>
        <v>0</v>
      </c>
      <c r="F31" s="21"/>
      <c r="G31" s="456"/>
    </row>
    <row r="32" spans="1:7" ht="15" customHeight="1">
      <c r="A32" s="701" t="s">
        <v>29</v>
      </c>
      <c r="B32" s="702"/>
      <c r="C32" s="21"/>
      <c r="D32" s="21"/>
      <c r="E32" s="699">
        <f t="shared" si="0"/>
        <v>0</v>
      </c>
      <c r="F32" s="21"/>
      <c r="G32" s="456"/>
    </row>
    <row r="33" spans="1:7" ht="15" customHeight="1">
      <c r="A33" s="701" t="s">
        <v>30</v>
      </c>
      <c r="B33" s="702"/>
      <c r="C33" s="21"/>
      <c r="D33" s="21"/>
      <c r="E33" s="699">
        <f t="shared" si="0"/>
        <v>0</v>
      </c>
      <c r="F33" s="21"/>
      <c r="G33" s="456"/>
    </row>
    <row r="34" spans="1:7" ht="15" customHeight="1">
      <c r="A34" s="701" t="s">
        <v>31</v>
      </c>
      <c r="B34" s="702"/>
      <c r="C34" s="21"/>
      <c r="D34" s="21"/>
      <c r="E34" s="699">
        <f t="shared" si="0"/>
        <v>0</v>
      </c>
      <c r="F34" s="21"/>
      <c r="G34" s="456"/>
    </row>
    <row r="35" spans="1:7" ht="15" customHeight="1">
      <c r="A35" s="701" t="s">
        <v>32</v>
      </c>
      <c r="B35" s="702"/>
      <c r="C35" s="21"/>
      <c r="D35" s="21"/>
      <c r="E35" s="699">
        <f t="shared" si="0"/>
        <v>0</v>
      </c>
      <c r="F35" s="21"/>
      <c r="G35" s="456"/>
    </row>
    <row r="36" spans="1:7" ht="15" customHeight="1">
      <c r="A36" s="701" t="s">
        <v>33</v>
      </c>
      <c r="B36" s="702"/>
      <c r="C36" s="21"/>
      <c r="D36" s="21"/>
      <c r="E36" s="699">
        <f t="shared" si="0"/>
        <v>0</v>
      </c>
      <c r="F36" s="21"/>
      <c r="G36" s="456"/>
    </row>
    <row r="37" spans="1:7" ht="15" customHeight="1">
      <c r="A37" s="701" t="s">
        <v>597</v>
      </c>
      <c r="B37" s="702"/>
      <c r="C37" s="21"/>
      <c r="D37" s="21"/>
      <c r="E37" s="699">
        <f t="shared" si="0"/>
        <v>0</v>
      </c>
      <c r="F37" s="21"/>
      <c r="G37" s="456"/>
    </row>
    <row r="38" spans="1:7" ht="15" customHeight="1">
      <c r="A38" s="701" t="s">
        <v>598</v>
      </c>
      <c r="B38" s="702"/>
      <c r="C38" s="21"/>
      <c r="D38" s="21"/>
      <c r="E38" s="699">
        <f t="shared" si="0"/>
        <v>0</v>
      </c>
      <c r="F38" s="21"/>
      <c r="G38" s="456"/>
    </row>
    <row r="39" spans="1:7" ht="15" customHeight="1" thickBot="1">
      <c r="A39" s="701" t="s">
        <v>599</v>
      </c>
      <c r="B39" s="703"/>
      <c r="C39" s="22"/>
      <c r="D39" s="22"/>
      <c r="E39" s="699">
        <f t="shared" si="0"/>
        <v>0</v>
      </c>
      <c r="F39" s="22"/>
      <c r="G39" s="704"/>
    </row>
    <row r="40" spans="1:7" ht="15" customHeight="1" thickBot="1">
      <c r="A40" s="867" t="s">
        <v>37</v>
      </c>
      <c r="B40" s="868"/>
      <c r="C40" s="36">
        <f>SUM(C9:C39)</f>
        <v>423131536</v>
      </c>
      <c r="D40" s="36">
        <f>SUM(D9:D39)</f>
        <v>0</v>
      </c>
      <c r="E40" s="36">
        <f>SUM(E9:E39)</f>
        <v>423131536</v>
      </c>
      <c r="F40" s="36">
        <f>SUM(F9:F39)</f>
        <v>77191929</v>
      </c>
      <c r="G40" s="37">
        <f>SUM(G9:G39)</f>
        <v>345939607</v>
      </c>
    </row>
  </sheetData>
  <sheetProtection/>
  <mergeCells count="8">
    <mergeCell ref="A40:B40"/>
    <mergeCell ref="A3:G3"/>
    <mergeCell ref="A1:G1"/>
    <mergeCell ref="A6:A7"/>
    <mergeCell ref="B6:B7"/>
    <mergeCell ref="C6:C7"/>
    <mergeCell ref="D6:D7"/>
    <mergeCell ref="E6:G6"/>
  </mergeCells>
  <printOptions horizontalCentered="1"/>
  <pageMargins left="0.7874015748031497" right="0.7874015748031497" top="1.5748031496062993" bottom="0.984251968503937" header="0.7874015748031497" footer="0.7874015748031497"/>
  <pageSetup orientation="portrait" paperSize="9" scale="83" r:id="rId1"/>
  <headerFooter alignWithMargins="0">
    <oddHeader>&amp;C&amp;"Times New Roman CE,Félkövér"&amp;12
KÖLTSÉGVETÉSI SZERVEK PÉNZMARADVÁNYÁNAK ALAKULÁSA&amp;R&amp;"Times New Roman CE,Félkövér dőlt"&amp;12 
&amp;"Times New Roman CE,Dőlt"
</oddHeader>
  </headerFooter>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F26"/>
  <sheetViews>
    <sheetView zoomScale="120" zoomScaleNormal="120" zoomScalePageLayoutView="120" workbookViewId="0" topLeftCell="A1">
      <selection activeCell="P14" sqref="P14"/>
    </sheetView>
  </sheetViews>
  <sheetFormatPr defaultColWidth="9.00390625" defaultRowHeight="12.75"/>
  <cols>
    <col min="1" max="1" width="13.875" style="31" customWidth="1"/>
    <col min="2" max="2" width="88.625" style="31" customWidth="1"/>
    <col min="3" max="5" width="15.875" style="31" customWidth="1"/>
    <col min="6" max="6" width="4.875" style="690" customWidth="1"/>
    <col min="7" max="16384" width="9.375" style="31" customWidth="1"/>
  </cols>
  <sheetData>
    <row r="1" spans="2:6" ht="47.25" customHeight="1">
      <c r="B1" s="879" t="str">
        <f>CONCATENATE(Z_ALAPADATOK!B1,". évi általános működés és ágazati feladatok támogatásának alakulása jogcímenként")</f>
        <v>2019. évi általános működés és ágazati feladatok támogatásának alakulása jogcímenként</v>
      </c>
      <c r="C1" s="879"/>
      <c r="D1" s="879"/>
      <c r="E1" s="879"/>
      <c r="F1" s="880" t="str">
        <f>CONCATENATE("8. melléklet ",Z_ALAPADATOK!A7," ",Z_ALAPADATOK!B7," ",Z_ALAPADATOK!C7," ",Z_ALAPADATOK!D7," ",Z_ALAPADATOK!E7," ",Z_ALAPADATOK!F7," ",Z_ALAPADATOK!G7," ",Z_ALAPADATOK!H7)</f>
        <v>8. melléklet a 4 / 2020. ( VII.17. ) önkormányzati rendelethez</v>
      </c>
    </row>
    <row r="2" spans="2:6" ht="22.5" customHeight="1" thickBot="1">
      <c r="B2" s="881"/>
      <c r="C2" s="881"/>
      <c r="D2" s="881"/>
      <c r="E2" s="666" t="s">
        <v>823</v>
      </c>
      <c r="F2" s="880"/>
    </row>
    <row r="3" spans="1:6" s="32" customFormat="1" ht="54" customHeight="1" thickBot="1">
      <c r="A3" s="667" t="s">
        <v>849</v>
      </c>
      <c r="B3" s="668" t="s">
        <v>824</v>
      </c>
      <c r="C3" s="669" t="str">
        <f>+CONCATENATE(Z_ALAPADATOK!B1,". évi tervezett támogatás összesen")</f>
        <v>2019. évi tervezett támogatás összesen</v>
      </c>
      <c r="D3" s="669" t="s">
        <v>878</v>
      </c>
      <c r="E3" s="670" t="s">
        <v>825</v>
      </c>
      <c r="F3" s="880"/>
    </row>
    <row r="4" spans="1:6" s="675" customFormat="1" ht="13.5" thickBot="1">
      <c r="A4" s="671" t="s">
        <v>385</v>
      </c>
      <c r="B4" s="672" t="s">
        <v>386</v>
      </c>
      <c r="C4" s="775" t="s">
        <v>387</v>
      </c>
      <c r="D4" s="673" t="s">
        <v>389</v>
      </c>
      <c r="E4" s="674" t="s">
        <v>388</v>
      </c>
      <c r="F4" s="880"/>
    </row>
    <row r="5" spans="1:6" ht="12.75">
      <c r="A5" s="676"/>
      <c r="B5" s="677" t="s">
        <v>162</v>
      </c>
      <c r="C5" s="776">
        <v>127996975</v>
      </c>
      <c r="D5" s="777">
        <v>127996975</v>
      </c>
      <c r="E5" s="679">
        <v>130701805</v>
      </c>
      <c r="F5" s="880"/>
    </row>
    <row r="6" spans="1:6" ht="12.75" customHeight="1">
      <c r="A6" s="680"/>
      <c r="B6" s="681" t="s">
        <v>163</v>
      </c>
      <c r="C6" s="776">
        <v>57524400</v>
      </c>
      <c r="D6" s="777">
        <v>57524400</v>
      </c>
      <c r="E6" s="679">
        <v>59874484</v>
      </c>
      <c r="F6" s="880"/>
    </row>
    <row r="7" spans="1:6" ht="12.75">
      <c r="A7" s="680"/>
      <c r="B7" s="681" t="s">
        <v>164</v>
      </c>
      <c r="C7" s="776">
        <v>77966400</v>
      </c>
      <c r="D7" s="777">
        <v>77966400</v>
      </c>
      <c r="E7" s="679">
        <v>79081659</v>
      </c>
      <c r="F7" s="880"/>
    </row>
    <row r="8" spans="1:6" ht="12.75">
      <c r="A8" s="680"/>
      <c r="B8" s="681" t="s">
        <v>165</v>
      </c>
      <c r="C8" s="776">
        <v>4515720</v>
      </c>
      <c r="D8" s="777">
        <v>5647243</v>
      </c>
      <c r="E8" s="679">
        <v>6093331</v>
      </c>
      <c r="F8" s="880"/>
    </row>
    <row r="9" spans="1:6" ht="12.75">
      <c r="A9" s="680"/>
      <c r="B9" s="681" t="s">
        <v>393</v>
      </c>
      <c r="C9" s="776">
        <v>38082473</v>
      </c>
      <c r="D9" s="777">
        <v>38082473</v>
      </c>
      <c r="E9" s="679">
        <v>16633060</v>
      </c>
      <c r="F9" s="880"/>
    </row>
    <row r="10" spans="1:6" ht="12.75">
      <c r="A10" s="680"/>
      <c r="B10" s="681"/>
      <c r="C10" s="774"/>
      <c r="D10" s="678"/>
      <c r="E10" s="679"/>
      <c r="F10" s="880"/>
    </row>
    <row r="11" spans="1:6" ht="12.75">
      <c r="A11" s="680"/>
      <c r="B11" s="681"/>
      <c r="C11" s="678"/>
      <c r="D11" s="678"/>
      <c r="E11" s="679"/>
      <c r="F11" s="880"/>
    </row>
    <row r="12" spans="1:6" ht="12.75">
      <c r="A12" s="680"/>
      <c r="B12" s="681"/>
      <c r="C12" s="678"/>
      <c r="D12" s="678"/>
      <c r="E12" s="679"/>
      <c r="F12" s="880"/>
    </row>
    <row r="13" spans="1:6" ht="12.75" customHeight="1">
      <c r="A13" s="680"/>
      <c r="B13" s="681"/>
      <c r="C13" s="678"/>
      <c r="D13" s="678"/>
      <c r="E13" s="679"/>
      <c r="F13" s="880"/>
    </row>
    <row r="14" spans="1:6" ht="12.75">
      <c r="A14" s="680"/>
      <c r="B14" s="681"/>
      <c r="C14" s="678"/>
      <c r="D14" s="678"/>
      <c r="E14" s="679"/>
      <c r="F14" s="880"/>
    </row>
    <row r="15" spans="1:6" ht="12.75">
      <c r="A15" s="680"/>
      <c r="B15" s="681"/>
      <c r="C15" s="678"/>
      <c r="D15" s="678"/>
      <c r="E15" s="679"/>
      <c r="F15" s="880"/>
    </row>
    <row r="16" spans="1:6" ht="12.75">
      <c r="A16" s="680"/>
      <c r="B16" s="681"/>
      <c r="C16" s="678"/>
      <c r="D16" s="678"/>
      <c r="E16" s="679"/>
      <c r="F16" s="880"/>
    </row>
    <row r="17" spans="1:6" ht="12.75">
      <c r="A17" s="680"/>
      <c r="B17" s="681"/>
      <c r="C17" s="678"/>
      <c r="D17" s="678"/>
      <c r="E17" s="679"/>
      <c r="F17" s="880"/>
    </row>
    <row r="18" spans="1:6" ht="12.75">
      <c r="A18" s="680"/>
      <c r="B18" s="681"/>
      <c r="C18" s="678"/>
      <c r="D18" s="678"/>
      <c r="E18" s="679"/>
      <c r="F18" s="880"/>
    </row>
    <row r="19" spans="1:6" ht="12.75">
      <c r="A19" s="680"/>
      <c r="B19" s="681"/>
      <c r="C19" s="678"/>
      <c r="D19" s="678"/>
      <c r="E19" s="679"/>
      <c r="F19" s="880"/>
    </row>
    <row r="20" spans="1:6" ht="12.75">
      <c r="A20" s="680"/>
      <c r="B20" s="681"/>
      <c r="C20" s="678"/>
      <c r="D20" s="678"/>
      <c r="E20" s="679"/>
      <c r="F20" s="880"/>
    </row>
    <row r="21" spans="1:6" ht="12.75">
      <c r="A21" s="680"/>
      <c r="B21" s="681"/>
      <c r="C21" s="678"/>
      <c r="D21" s="678"/>
      <c r="E21" s="679"/>
      <c r="F21" s="880"/>
    </row>
    <row r="22" spans="1:6" ht="12.75">
      <c r="A22" s="680"/>
      <c r="B22" s="681"/>
      <c r="C22" s="678"/>
      <c r="D22" s="678"/>
      <c r="E22" s="679"/>
      <c r="F22" s="880"/>
    </row>
    <row r="23" spans="1:6" ht="12.75">
      <c r="A23" s="680"/>
      <c r="B23" s="681"/>
      <c r="C23" s="678"/>
      <c r="D23" s="678"/>
      <c r="E23" s="679"/>
      <c r="F23" s="880"/>
    </row>
    <row r="24" spans="1:6" ht="13.5" thickBot="1">
      <c r="A24" s="682"/>
      <c r="B24" s="683"/>
      <c r="C24" s="684"/>
      <c r="D24" s="684"/>
      <c r="E24" s="679"/>
      <c r="F24" s="880"/>
    </row>
    <row r="25" spans="1:6" s="689" customFormat="1" ht="19.5" customHeight="1" thickBot="1">
      <c r="A25" s="685"/>
      <c r="B25" s="686" t="s">
        <v>37</v>
      </c>
      <c r="C25" s="687">
        <f>SUM(C5:C24)</f>
        <v>306085968</v>
      </c>
      <c r="D25" s="687">
        <f>SUM(D5:D24)</f>
        <v>307217491</v>
      </c>
      <c r="E25" s="688">
        <f>SUM(E5:E24)</f>
        <v>292384339</v>
      </c>
      <c r="F25" s="880"/>
    </row>
    <row r="26" spans="1:2" ht="12.75">
      <c r="A26" s="882" t="s">
        <v>850</v>
      </c>
      <c r="B26" s="882"/>
    </row>
  </sheetData>
  <sheetProtection/>
  <mergeCells count="4">
    <mergeCell ref="B1:E1"/>
    <mergeCell ref="F1:F25"/>
    <mergeCell ref="B2:D2"/>
    <mergeCell ref="A26:B26"/>
  </mergeCells>
  <printOptions horizontalCentered="1"/>
  <pageMargins left="0.7874015748031497" right="0.7874015748031497" top="0.984251968503937" bottom="0.984251968503937" header="0.7874015748031497" footer="0.7874015748031497"/>
  <pageSetup fitToHeight="1" fitToWidth="1" orientation="landscape" paperSize="9" scale="93" r:id="rId1"/>
</worksheet>
</file>

<file path=xl/worksheets/sheet32.xml><?xml version="1.0" encoding="utf-8"?>
<worksheet xmlns="http://schemas.openxmlformats.org/spreadsheetml/2006/main" xmlns:r="http://schemas.openxmlformats.org/officeDocument/2006/relationships">
  <sheetPr>
    <tabColor rgb="FF92D050"/>
  </sheetPr>
  <dimension ref="A1:I156"/>
  <sheetViews>
    <sheetView zoomScale="120" zoomScaleNormal="120" zoomScaleSheetLayoutView="100" workbookViewId="0" topLeftCell="A121">
      <selection activeCell="E5" sqref="E5"/>
    </sheetView>
  </sheetViews>
  <sheetFormatPr defaultColWidth="9.00390625" defaultRowHeight="12.75"/>
  <cols>
    <col min="1" max="1" width="9.00390625" style="156" customWidth="1"/>
    <col min="2" max="2" width="68.875" style="156" customWidth="1"/>
    <col min="3" max="3" width="18.875" style="156" customWidth="1"/>
    <col min="4" max="5" width="18.875" style="157" customWidth="1"/>
    <col min="6" max="16384" width="9.375" style="178" customWidth="1"/>
  </cols>
  <sheetData>
    <row r="1" spans="1:5" ht="15.75">
      <c r="A1" s="797" t="str">
        <f>CONCATENATE("1. tájékoztató tábla ",Z_ALAPADATOK!A7," ",Z_ALAPADATOK!B7," ",Z_ALAPADATOK!C7," ",Z_ALAPADATOK!D7," ",Z_ALAPADATOK!E7," ",Z_ALAPADATOK!F7," ",Z_ALAPADATOK!G7," ",Z_ALAPADATOK!H7)</f>
        <v>1. tájékoztató tábla a 4 / 2020. ( VII.17. ) önkormányzati rendelethez</v>
      </c>
      <c r="B1" s="798"/>
      <c r="C1" s="798"/>
      <c r="D1" s="798"/>
      <c r="E1" s="798"/>
    </row>
    <row r="2" spans="1:5" ht="15.75">
      <c r="A2" s="799" t="str">
        <f>CONCATENATE(Z_ALAPADATOK!A3)</f>
        <v>Kállósemjén Nagyközség Önkormányzata</v>
      </c>
      <c r="B2" s="800"/>
      <c r="C2" s="800"/>
      <c r="D2" s="800"/>
      <c r="E2" s="800"/>
    </row>
    <row r="3" spans="1:5" ht="15.75">
      <c r="A3" s="799" t="str">
        <f>CONCATENATE(Z_ALAPADATOK!B1,". ÉVI ZÁRSZÁMADÁSÁNAK PÉNZÜGYI MÉRLEGE")</f>
        <v>2019. ÉVI ZÁRSZÁMADÁSÁNAK PÉNZÜGYI MÉRLEGE</v>
      </c>
      <c r="B3" s="800"/>
      <c r="C3" s="800"/>
      <c r="D3" s="800"/>
      <c r="E3" s="800"/>
    </row>
    <row r="4" spans="1:5" ht="15.75" customHeight="1">
      <c r="A4" s="793" t="s">
        <v>3</v>
      </c>
      <c r="B4" s="793"/>
      <c r="C4" s="793"/>
      <c r="D4" s="793"/>
      <c r="E4" s="793"/>
    </row>
    <row r="5" spans="1:5" ht="15.75" customHeight="1" thickBot="1">
      <c r="A5" s="607" t="s">
        <v>100</v>
      </c>
      <c r="B5" s="607"/>
      <c r="C5" s="607"/>
      <c r="D5" s="608"/>
      <c r="E5" s="692" t="s">
        <v>838</v>
      </c>
    </row>
    <row r="6" spans="1:5" ht="15.75" customHeight="1">
      <c r="A6" s="883" t="s">
        <v>51</v>
      </c>
      <c r="B6" s="885" t="s">
        <v>5</v>
      </c>
      <c r="C6" s="887" t="str">
        <f>CONCATENATE(Z_ALAPADATOK!B1-1," évi tény")</f>
        <v>2018 évi tény</v>
      </c>
      <c r="D6" s="889" t="str">
        <f>CONCATENATE(Z_ALAPADATOK!B1,". évi")</f>
        <v>2019. évi</v>
      </c>
      <c r="E6" s="890"/>
    </row>
    <row r="7" spans="1:5" ht="37.5" customHeight="1" thickBot="1">
      <c r="A7" s="884"/>
      <c r="B7" s="886"/>
      <c r="C7" s="888"/>
      <c r="D7" s="609" t="s">
        <v>450</v>
      </c>
      <c r="E7" s="311" t="s">
        <v>445</v>
      </c>
    </row>
    <row r="8" spans="1:5" s="179" customFormat="1" ht="12" customHeight="1" thickBot="1">
      <c r="A8" s="610" t="s">
        <v>385</v>
      </c>
      <c r="B8" s="611" t="s">
        <v>386</v>
      </c>
      <c r="C8" s="611" t="s">
        <v>387</v>
      </c>
      <c r="D8" s="611" t="s">
        <v>388</v>
      </c>
      <c r="E8" s="612" t="s">
        <v>390</v>
      </c>
    </row>
    <row r="9" spans="1:5" s="180" customFormat="1" ht="12" customHeight="1" thickBot="1">
      <c r="A9" s="18" t="s">
        <v>6</v>
      </c>
      <c r="B9" s="369" t="s">
        <v>161</v>
      </c>
      <c r="C9" s="168">
        <f>+C10+C11+C12+C13+C14+C15</f>
        <v>277335831</v>
      </c>
      <c r="D9" s="168">
        <f>+D10+D11+D12+D13+D14+D15</f>
        <v>307217491</v>
      </c>
      <c r="E9" s="104">
        <f>+E10+E11+E12+E13+E14+E15</f>
        <v>292384339</v>
      </c>
    </row>
    <row r="10" spans="1:5" s="180" customFormat="1" ht="12" customHeight="1">
      <c r="A10" s="13" t="s">
        <v>63</v>
      </c>
      <c r="B10" s="370" t="s">
        <v>162</v>
      </c>
      <c r="C10" s="170">
        <v>128354838</v>
      </c>
      <c r="D10" s="170">
        <v>127996975</v>
      </c>
      <c r="E10" s="106">
        <v>130701805</v>
      </c>
    </row>
    <row r="11" spans="1:5" s="180" customFormat="1" ht="12" customHeight="1">
      <c r="A11" s="12" t="s">
        <v>64</v>
      </c>
      <c r="B11" s="371" t="s">
        <v>163</v>
      </c>
      <c r="C11" s="169">
        <v>61997800</v>
      </c>
      <c r="D11" s="169">
        <v>57524400</v>
      </c>
      <c r="E11" s="105">
        <v>59874484</v>
      </c>
    </row>
    <row r="12" spans="1:5" s="180" customFormat="1" ht="12" customHeight="1">
      <c r="A12" s="12" t="s">
        <v>65</v>
      </c>
      <c r="B12" s="371" t="s">
        <v>164</v>
      </c>
      <c r="C12" s="169">
        <v>64922059</v>
      </c>
      <c r="D12" s="169">
        <v>77966400</v>
      </c>
      <c r="E12" s="105">
        <v>79081659</v>
      </c>
    </row>
    <row r="13" spans="1:5" s="180" customFormat="1" ht="12" customHeight="1">
      <c r="A13" s="12" t="s">
        <v>66</v>
      </c>
      <c r="B13" s="371" t="s">
        <v>165</v>
      </c>
      <c r="C13" s="169">
        <v>6036701</v>
      </c>
      <c r="D13" s="169">
        <v>5647243</v>
      </c>
      <c r="E13" s="105">
        <v>6093331</v>
      </c>
    </row>
    <row r="14" spans="1:5" s="180" customFormat="1" ht="12" customHeight="1">
      <c r="A14" s="12" t="s">
        <v>97</v>
      </c>
      <c r="B14" s="371" t="s">
        <v>333</v>
      </c>
      <c r="C14" s="372">
        <v>16024433</v>
      </c>
      <c r="D14" s="169">
        <v>38082473</v>
      </c>
      <c r="E14" s="105">
        <v>16633060</v>
      </c>
    </row>
    <row r="15" spans="1:5" s="180" customFormat="1" ht="12" customHeight="1" thickBot="1">
      <c r="A15" s="14" t="s">
        <v>67</v>
      </c>
      <c r="B15" s="373" t="s">
        <v>334</v>
      </c>
      <c r="C15" s="374"/>
      <c r="D15" s="171"/>
      <c r="E15" s="107"/>
    </row>
    <row r="16" spans="1:5" s="180" customFormat="1" ht="12" customHeight="1" thickBot="1">
      <c r="A16" s="18" t="s">
        <v>7</v>
      </c>
      <c r="B16" s="375" t="s">
        <v>166</v>
      </c>
      <c r="C16" s="168">
        <f>+C17+C18+C19+C20+C21</f>
        <v>204001756</v>
      </c>
      <c r="D16" s="168">
        <f>+D17+D18+D19+D20+D21</f>
        <v>155541371</v>
      </c>
      <c r="E16" s="104">
        <f>+E17+E18+E19+E20+E21</f>
        <v>173110984</v>
      </c>
    </row>
    <row r="17" spans="1:5" s="180" customFormat="1" ht="12" customHeight="1">
      <c r="A17" s="13" t="s">
        <v>69</v>
      </c>
      <c r="B17" s="370" t="s">
        <v>167</v>
      </c>
      <c r="C17" s="170"/>
      <c r="D17" s="170"/>
      <c r="E17" s="106"/>
    </row>
    <row r="18" spans="1:5" s="180" customFormat="1" ht="12" customHeight="1">
      <c r="A18" s="12" t="s">
        <v>70</v>
      </c>
      <c r="B18" s="371" t="s">
        <v>168</v>
      </c>
      <c r="C18" s="169"/>
      <c r="D18" s="169"/>
      <c r="E18" s="105"/>
    </row>
    <row r="19" spans="1:5" s="180" customFormat="1" ht="12" customHeight="1">
      <c r="A19" s="12" t="s">
        <v>71</v>
      </c>
      <c r="B19" s="371" t="s">
        <v>325</v>
      </c>
      <c r="C19" s="169"/>
      <c r="D19" s="169"/>
      <c r="E19" s="105"/>
    </row>
    <row r="20" spans="1:5" s="180" customFormat="1" ht="12" customHeight="1">
      <c r="A20" s="12" t="s">
        <v>72</v>
      </c>
      <c r="B20" s="371" t="s">
        <v>326</v>
      </c>
      <c r="C20" s="169"/>
      <c r="D20" s="169"/>
      <c r="E20" s="105"/>
    </row>
    <row r="21" spans="1:5" s="180" customFormat="1" ht="12" customHeight="1">
      <c r="A21" s="12" t="s">
        <v>73</v>
      </c>
      <c r="B21" s="371" t="s">
        <v>169</v>
      </c>
      <c r="C21" s="169">
        <v>204001756</v>
      </c>
      <c r="D21" s="169">
        <v>155541371</v>
      </c>
      <c r="E21" s="105">
        <v>173110984</v>
      </c>
    </row>
    <row r="22" spans="1:5" s="180" customFormat="1" ht="12" customHeight="1" thickBot="1">
      <c r="A22" s="14" t="s">
        <v>80</v>
      </c>
      <c r="B22" s="373" t="s">
        <v>170</v>
      </c>
      <c r="C22" s="171">
        <v>62625095</v>
      </c>
      <c r="D22" s="171">
        <v>34001502</v>
      </c>
      <c r="E22" s="107">
        <v>34001502</v>
      </c>
    </row>
    <row r="23" spans="1:5" s="180" customFormat="1" ht="12" customHeight="1" thickBot="1">
      <c r="A23" s="18" t="s">
        <v>8</v>
      </c>
      <c r="B23" s="369" t="s">
        <v>171</v>
      </c>
      <c r="C23" s="168">
        <f>+C24+C25+C26+C27+C28</f>
        <v>51577821</v>
      </c>
      <c r="D23" s="168">
        <f>+D24+D25+D26+D27+D28</f>
        <v>122200885</v>
      </c>
      <c r="E23" s="104">
        <f>+E24+E25+E26+E27+E28</f>
        <v>161074272</v>
      </c>
    </row>
    <row r="24" spans="1:5" s="180" customFormat="1" ht="12" customHeight="1">
      <c r="A24" s="13" t="s">
        <v>52</v>
      </c>
      <c r="B24" s="370" t="s">
        <v>172</v>
      </c>
      <c r="C24" s="170">
        <v>107000</v>
      </c>
      <c r="D24" s="170">
        <v>106200046</v>
      </c>
      <c r="E24" s="106">
        <v>80334000</v>
      </c>
    </row>
    <row r="25" spans="1:5" s="180" customFormat="1" ht="12" customHeight="1">
      <c r="A25" s="12" t="s">
        <v>53</v>
      </c>
      <c r="B25" s="371" t="s">
        <v>173</v>
      </c>
      <c r="C25" s="169"/>
      <c r="D25" s="169"/>
      <c r="E25" s="105"/>
    </row>
    <row r="26" spans="1:5" s="180" customFormat="1" ht="12" customHeight="1">
      <c r="A26" s="12" t="s">
        <v>54</v>
      </c>
      <c r="B26" s="371" t="s">
        <v>327</v>
      </c>
      <c r="C26" s="169"/>
      <c r="D26" s="169"/>
      <c r="E26" s="105"/>
    </row>
    <row r="27" spans="1:5" s="180" customFormat="1" ht="12" customHeight="1">
      <c r="A27" s="12" t="s">
        <v>55</v>
      </c>
      <c r="B27" s="371" t="s">
        <v>328</v>
      </c>
      <c r="C27" s="169"/>
      <c r="D27" s="169"/>
      <c r="E27" s="105"/>
    </row>
    <row r="28" spans="1:5" s="180" customFormat="1" ht="12" customHeight="1">
      <c r="A28" s="12" t="s">
        <v>110</v>
      </c>
      <c r="B28" s="371" t="s">
        <v>174</v>
      </c>
      <c r="C28" s="169">
        <v>51470821</v>
      </c>
      <c r="D28" s="169">
        <v>16000839</v>
      </c>
      <c r="E28" s="105">
        <v>80740272</v>
      </c>
    </row>
    <row r="29" spans="1:5" s="180" customFormat="1" ht="12" customHeight="1" thickBot="1">
      <c r="A29" s="14" t="s">
        <v>111</v>
      </c>
      <c r="B29" s="373" t="s">
        <v>175</v>
      </c>
      <c r="C29" s="171">
        <v>33204317</v>
      </c>
      <c r="D29" s="171">
        <v>16000839</v>
      </c>
      <c r="E29" s="107">
        <v>70071082</v>
      </c>
    </row>
    <row r="30" spans="1:5" s="180" customFormat="1" ht="12" customHeight="1" thickBot="1">
      <c r="A30" s="25" t="s">
        <v>112</v>
      </c>
      <c r="B30" s="19" t="s">
        <v>520</v>
      </c>
      <c r="C30" s="174">
        <f>SUM(C31:C37)</f>
        <v>58430424</v>
      </c>
      <c r="D30" s="174">
        <f>SUM(D31:D37)</f>
        <v>55768175</v>
      </c>
      <c r="E30" s="210">
        <f>SUM(E31:E37)</f>
        <v>63469415</v>
      </c>
    </row>
    <row r="31" spans="1:5" s="180" customFormat="1" ht="12" customHeight="1">
      <c r="A31" s="198" t="s">
        <v>176</v>
      </c>
      <c r="B31" s="181" t="s">
        <v>477</v>
      </c>
      <c r="C31" s="170"/>
      <c r="D31" s="170"/>
      <c r="E31" s="106"/>
    </row>
    <row r="32" spans="1:5" s="180" customFormat="1" ht="12" customHeight="1">
      <c r="A32" s="199" t="s">
        <v>177</v>
      </c>
      <c r="B32" s="181" t="s">
        <v>862</v>
      </c>
      <c r="C32" s="169"/>
      <c r="D32" s="169"/>
      <c r="E32" s="105"/>
    </row>
    <row r="33" spans="1:5" s="180" customFormat="1" ht="12" customHeight="1">
      <c r="A33" s="199" t="s">
        <v>178</v>
      </c>
      <c r="B33" s="181" t="s">
        <v>478</v>
      </c>
      <c r="C33" s="169">
        <v>38556174</v>
      </c>
      <c r="D33" s="169">
        <v>33137575</v>
      </c>
      <c r="E33" s="105">
        <v>40715898</v>
      </c>
    </row>
    <row r="34" spans="1:5" s="180" customFormat="1" ht="12" customHeight="1">
      <c r="A34" s="199" t="s">
        <v>179</v>
      </c>
      <c r="B34" s="181" t="s">
        <v>863</v>
      </c>
      <c r="C34" s="169"/>
      <c r="D34" s="169">
        <v>600000</v>
      </c>
      <c r="E34" s="105">
        <v>527750</v>
      </c>
    </row>
    <row r="35" spans="1:5" s="180" customFormat="1" ht="12" customHeight="1">
      <c r="A35" s="199" t="s">
        <v>480</v>
      </c>
      <c r="B35" s="181" t="s">
        <v>180</v>
      </c>
      <c r="C35" s="169">
        <v>7724802</v>
      </c>
      <c r="D35" s="169">
        <v>7800000</v>
      </c>
      <c r="E35" s="105">
        <v>9884105</v>
      </c>
    </row>
    <row r="36" spans="1:5" s="180" customFormat="1" ht="12" customHeight="1">
      <c r="A36" s="199" t="s">
        <v>481</v>
      </c>
      <c r="B36" s="181" t="s">
        <v>872</v>
      </c>
      <c r="C36" s="169">
        <v>862159</v>
      </c>
      <c r="D36" s="169">
        <v>730600</v>
      </c>
      <c r="E36" s="105">
        <v>714345</v>
      </c>
    </row>
    <row r="37" spans="1:5" s="180" customFormat="1" ht="12" customHeight="1" thickBot="1">
      <c r="A37" s="200" t="s">
        <v>482</v>
      </c>
      <c r="B37" s="181" t="s">
        <v>846</v>
      </c>
      <c r="C37" s="171">
        <v>11287289</v>
      </c>
      <c r="D37" s="171">
        <v>13500000</v>
      </c>
      <c r="E37" s="107">
        <v>11627317</v>
      </c>
    </row>
    <row r="38" spans="1:5" s="180" customFormat="1" ht="12" customHeight="1" thickBot="1">
      <c r="A38" s="18" t="s">
        <v>10</v>
      </c>
      <c r="B38" s="369" t="s">
        <v>521</v>
      </c>
      <c r="C38" s="168">
        <f>SUM(C39:C49)</f>
        <v>65058634</v>
      </c>
      <c r="D38" s="168">
        <f>SUM(D39:D49)</f>
        <v>69073499</v>
      </c>
      <c r="E38" s="104">
        <f>SUM(E39:E49)</f>
        <v>83064740</v>
      </c>
    </row>
    <row r="39" spans="1:5" s="180" customFormat="1" ht="12" customHeight="1">
      <c r="A39" s="13" t="s">
        <v>56</v>
      </c>
      <c r="B39" s="370" t="s">
        <v>183</v>
      </c>
      <c r="C39" s="170">
        <v>3976439</v>
      </c>
      <c r="D39" s="170">
        <v>6952756</v>
      </c>
      <c r="E39" s="106">
        <v>6614835</v>
      </c>
    </row>
    <row r="40" spans="1:5" s="180" customFormat="1" ht="12" customHeight="1">
      <c r="A40" s="12" t="s">
        <v>57</v>
      </c>
      <c r="B40" s="371" t="s">
        <v>184</v>
      </c>
      <c r="C40" s="169">
        <v>15821418</v>
      </c>
      <c r="D40" s="169">
        <v>13450203</v>
      </c>
      <c r="E40" s="105">
        <v>22303913</v>
      </c>
    </row>
    <row r="41" spans="1:5" s="180" customFormat="1" ht="12" customHeight="1">
      <c r="A41" s="12" t="s">
        <v>58</v>
      </c>
      <c r="B41" s="371" t="s">
        <v>185</v>
      </c>
      <c r="C41" s="169">
        <v>540043</v>
      </c>
      <c r="D41" s="169">
        <v>1071157</v>
      </c>
      <c r="E41" s="105">
        <v>1056169</v>
      </c>
    </row>
    <row r="42" spans="1:5" s="180" customFormat="1" ht="12" customHeight="1">
      <c r="A42" s="12" t="s">
        <v>114</v>
      </c>
      <c r="B42" s="371" t="s">
        <v>186</v>
      </c>
      <c r="C42" s="169"/>
      <c r="D42" s="169"/>
      <c r="E42" s="105"/>
    </row>
    <row r="43" spans="1:5" s="180" customFormat="1" ht="12" customHeight="1">
      <c r="A43" s="12" t="s">
        <v>115</v>
      </c>
      <c r="B43" s="371" t="s">
        <v>187</v>
      </c>
      <c r="C43" s="169">
        <v>14933005</v>
      </c>
      <c r="D43" s="169">
        <v>29366074</v>
      </c>
      <c r="E43" s="105">
        <v>22870037</v>
      </c>
    </row>
    <row r="44" spans="1:5" s="180" customFormat="1" ht="12" customHeight="1">
      <c r="A44" s="12" t="s">
        <v>116</v>
      </c>
      <c r="B44" s="371" t="s">
        <v>188</v>
      </c>
      <c r="C44" s="169">
        <v>11060047</v>
      </c>
      <c r="D44" s="169">
        <v>12977528</v>
      </c>
      <c r="E44" s="105">
        <v>16343977</v>
      </c>
    </row>
    <row r="45" spans="1:5" s="180" customFormat="1" ht="12" customHeight="1">
      <c r="A45" s="12" t="s">
        <v>117</v>
      </c>
      <c r="B45" s="371" t="s">
        <v>189</v>
      </c>
      <c r="C45" s="169"/>
      <c r="D45" s="169"/>
      <c r="E45" s="105"/>
    </row>
    <row r="46" spans="1:5" s="180" customFormat="1" ht="12" customHeight="1">
      <c r="A46" s="12" t="s">
        <v>118</v>
      </c>
      <c r="B46" s="371" t="s">
        <v>190</v>
      </c>
      <c r="C46" s="169">
        <v>2441887</v>
      </c>
      <c r="D46" s="169">
        <v>68107</v>
      </c>
      <c r="E46" s="105">
        <v>59335</v>
      </c>
    </row>
    <row r="47" spans="1:5" s="180" customFormat="1" ht="12" customHeight="1">
      <c r="A47" s="12" t="s">
        <v>181</v>
      </c>
      <c r="B47" s="371" t="s">
        <v>191</v>
      </c>
      <c r="C47" s="169"/>
      <c r="D47" s="169"/>
      <c r="E47" s="105"/>
    </row>
    <row r="48" spans="1:5" s="180" customFormat="1" ht="12" customHeight="1">
      <c r="A48" s="12" t="s">
        <v>182</v>
      </c>
      <c r="B48" s="371" t="s">
        <v>337</v>
      </c>
      <c r="C48" s="172"/>
      <c r="D48" s="172"/>
      <c r="E48" s="108"/>
    </row>
    <row r="49" spans="1:5" s="180" customFormat="1" ht="12" customHeight="1" thickBot="1">
      <c r="A49" s="14" t="s">
        <v>336</v>
      </c>
      <c r="B49" s="373" t="s">
        <v>192</v>
      </c>
      <c r="C49" s="173">
        <v>16285795</v>
      </c>
      <c r="D49" s="173">
        <v>5187674</v>
      </c>
      <c r="E49" s="109">
        <v>13816474</v>
      </c>
    </row>
    <row r="50" spans="1:5" s="180" customFormat="1" ht="12" customHeight="1" thickBot="1">
      <c r="A50" s="18" t="s">
        <v>11</v>
      </c>
      <c r="B50" s="369" t="s">
        <v>193</v>
      </c>
      <c r="C50" s="168">
        <f>SUM(C51:C55)</f>
        <v>0</v>
      </c>
      <c r="D50" s="168">
        <f>SUM(D51:D55)</f>
        <v>20011156</v>
      </c>
      <c r="E50" s="104">
        <f>SUM(E51:E55)</f>
        <v>0</v>
      </c>
    </row>
    <row r="51" spans="1:5" s="180" customFormat="1" ht="12" customHeight="1">
      <c r="A51" s="13" t="s">
        <v>59</v>
      </c>
      <c r="B51" s="370" t="s">
        <v>197</v>
      </c>
      <c r="C51" s="221"/>
      <c r="D51" s="221"/>
      <c r="E51" s="110"/>
    </row>
    <row r="52" spans="1:5" s="180" customFormat="1" ht="12" customHeight="1">
      <c r="A52" s="12" t="s">
        <v>60</v>
      </c>
      <c r="B52" s="371" t="s">
        <v>198</v>
      </c>
      <c r="C52" s="172"/>
      <c r="D52" s="172">
        <v>20011156</v>
      </c>
      <c r="E52" s="108"/>
    </row>
    <row r="53" spans="1:5" s="180" customFormat="1" ht="12" customHeight="1">
      <c r="A53" s="12" t="s">
        <v>194</v>
      </c>
      <c r="B53" s="371" t="s">
        <v>199</v>
      </c>
      <c r="C53" s="172"/>
      <c r="D53" s="172"/>
      <c r="E53" s="108"/>
    </row>
    <row r="54" spans="1:5" s="180" customFormat="1" ht="12" customHeight="1">
      <c r="A54" s="12" t="s">
        <v>195</v>
      </c>
      <c r="B54" s="371" t="s">
        <v>200</v>
      </c>
      <c r="C54" s="172"/>
      <c r="D54" s="172"/>
      <c r="E54" s="108"/>
    </row>
    <row r="55" spans="1:5" s="180" customFormat="1" ht="12" customHeight="1" thickBot="1">
      <c r="A55" s="14" t="s">
        <v>196</v>
      </c>
      <c r="B55" s="373" t="s">
        <v>201</v>
      </c>
      <c r="C55" s="173"/>
      <c r="D55" s="173"/>
      <c r="E55" s="109"/>
    </row>
    <row r="56" spans="1:5" s="180" customFormat="1" ht="13.5" thickBot="1">
      <c r="A56" s="18" t="s">
        <v>119</v>
      </c>
      <c r="B56" s="369" t="s">
        <v>202</v>
      </c>
      <c r="C56" s="168">
        <f>SUM(C57:C59)</f>
        <v>9926388</v>
      </c>
      <c r="D56" s="168">
        <f>SUM(D57:D59)</f>
        <v>1714506</v>
      </c>
      <c r="E56" s="104">
        <f>SUM(E57:E59)</f>
        <v>1776006</v>
      </c>
    </row>
    <row r="57" spans="1:5" s="180" customFormat="1" ht="12.75">
      <c r="A57" s="13" t="s">
        <v>61</v>
      </c>
      <c r="B57" s="370" t="s">
        <v>203</v>
      </c>
      <c r="C57" s="170"/>
      <c r="D57" s="170"/>
      <c r="E57" s="106"/>
    </row>
    <row r="58" spans="1:5" s="180" customFormat="1" ht="14.25" customHeight="1">
      <c r="A58" s="12" t="s">
        <v>62</v>
      </c>
      <c r="B58" s="371" t="s">
        <v>522</v>
      </c>
      <c r="C58" s="169">
        <v>2109155</v>
      </c>
      <c r="D58" s="169">
        <v>1591955</v>
      </c>
      <c r="E58" s="105">
        <v>1645275</v>
      </c>
    </row>
    <row r="59" spans="1:5" s="180" customFormat="1" ht="12.75">
      <c r="A59" s="12" t="s">
        <v>206</v>
      </c>
      <c r="B59" s="371" t="s">
        <v>204</v>
      </c>
      <c r="C59" s="169">
        <v>7817233</v>
      </c>
      <c r="D59" s="169">
        <v>122551</v>
      </c>
      <c r="E59" s="105">
        <v>130731</v>
      </c>
    </row>
    <row r="60" spans="1:5" s="180" customFormat="1" ht="13.5" thickBot="1">
      <c r="A60" s="14" t="s">
        <v>207</v>
      </c>
      <c r="B60" s="373" t="s">
        <v>205</v>
      </c>
      <c r="C60" s="171"/>
      <c r="D60" s="171"/>
      <c r="E60" s="107"/>
    </row>
    <row r="61" spans="1:5" s="180" customFormat="1" ht="13.5" thickBot="1">
      <c r="A61" s="18" t="s">
        <v>13</v>
      </c>
      <c r="B61" s="375" t="s">
        <v>208</v>
      </c>
      <c r="C61" s="168">
        <f>SUM(C62:C64)</f>
        <v>3752010</v>
      </c>
      <c r="D61" s="168">
        <f>SUM(D62:D64)</f>
        <v>523800</v>
      </c>
      <c r="E61" s="104">
        <f>SUM(E62:E64)</f>
        <v>1110200</v>
      </c>
    </row>
    <row r="62" spans="1:5" s="180" customFormat="1" ht="12.75">
      <c r="A62" s="12" t="s">
        <v>120</v>
      </c>
      <c r="B62" s="370" t="s">
        <v>210</v>
      </c>
      <c r="C62" s="172"/>
      <c r="D62" s="172"/>
      <c r="E62" s="108"/>
    </row>
    <row r="63" spans="1:5" s="180" customFormat="1" ht="12.75" customHeight="1">
      <c r="A63" s="12" t="s">
        <v>121</v>
      </c>
      <c r="B63" s="371" t="s">
        <v>523</v>
      </c>
      <c r="C63" s="172"/>
      <c r="D63" s="172"/>
      <c r="E63" s="108"/>
    </row>
    <row r="64" spans="1:5" s="180" customFormat="1" ht="12.75">
      <c r="A64" s="12" t="s">
        <v>144</v>
      </c>
      <c r="B64" s="371" t="s">
        <v>211</v>
      </c>
      <c r="C64" s="172">
        <v>3752010</v>
      </c>
      <c r="D64" s="172">
        <v>523800</v>
      </c>
      <c r="E64" s="108">
        <v>1110200</v>
      </c>
    </row>
    <row r="65" spans="1:5" s="180" customFormat="1" ht="13.5" thickBot="1">
      <c r="A65" s="12" t="s">
        <v>209</v>
      </c>
      <c r="B65" s="373" t="s">
        <v>212</v>
      </c>
      <c r="C65" s="172"/>
      <c r="D65" s="172"/>
      <c r="E65" s="108"/>
    </row>
    <row r="66" spans="1:5" s="180" customFormat="1" ht="13.5" thickBot="1">
      <c r="A66" s="18" t="s">
        <v>14</v>
      </c>
      <c r="B66" s="369" t="s">
        <v>213</v>
      </c>
      <c r="C66" s="174">
        <f>+C9+C16+C23+C30+C38+C50+C56+C61</f>
        <v>670082864</v>
      </c>
      <c r="D66" s="174">
        <f>+D9+D16+D23+D30+D38+D50+D56+D61</f>
        <v>732050883</v>
      </c>
      <c r="E66" s="210">
        <f>+E9+E16+E23+E30+E38+E50+E56+E61</f>
        <v>775989956</v>
      </c>
    </row>
    <row r="67" spans="1:5" s="180" customFormat="1" ht="13.5" thickBot="1">
      <c r="A67" s="222" t="s">
        <v>214</v>
      </c>
      <c r="B67" s="375" t="s">
        <v>524</v>
      </c>
      <c r="C67" s="168">
        <f>SUM(C68:C70)</f>
        <v>0</v>
      </c>
      <c r="D67" s="168">
        <f>SUM(D68:D70)</f>
        <v>0</v>
      </c>
      <c r="E67" s="104">
        <f>SUM(E68:E70)</f>
        <v>0</v>
      </c>
    </row>
    <row r="68" spans="1:5" s="180" customFormat="1" ht="12.75">
      <c r="A68" s="12" t="s">
        <v>243</v>
      </c>
      <c r="B68" s="370" t="s">
        <v>216</v>
      </c>
      <c r="C68" s="172"/>
      <c r="D68" s="172"/>
      <c r="E68" s="108"/>
    </row>
    <row r="69" spans="1:5" s="180" customFormat="1" ht="12.75">
      <c r="A69" s="12" t="s">
        <v>252</v>
      </c>
      <c r="B69" s="371" t="s">
        <v>217</v>
      </c>
      <c r="C69" s="172"/>
      <c r="D69" s="172"/>
      <c r="E69" s="108"/>
    </row>
    <row r="70" spans="1:5" s="180" customFormat="1" ht="13.5" thickBot="1">
      <c r="A70" s="12" t="s">
        <v>253</v>
      </c>
      <c r="B70" s="230" t="s">
        <v>864</v>
      </c>
      <c r="C70" s="172"/>
      <c r="D70" s="172"/>
      <c r="E70" s="108"/>
    </row>
    <row r="71" spans="1:5" s="180" customFormat="1" ht="13.5" thickBot="1">
      <c r="A71" s="222" t="s">
        <v>219</v>
      </c>
      <c r="B71" s="375" t="s">
        <v>220</v>
      </c>
      <c r="C71" s="168">
        <f>SUM(C72:C75)</f>
        <v>0</v>
      </c>
      <c r="D71" s="168">
        <f>SUM(D72:D75)</f>
        <v>0</v>
      </c>
      <c r="E71" s="104">
        <f>SUM(E72:E75)</f>
        <v>0</v>
      </c>
    </row>
    <row r="72" spans="1:5" s="180" customFormat="1" ht="12.75">
      <c r="A72" s="12" t="s">
        <v>98</v>
      </c>
      <c r="B72" s="376" t="s">
        <v>221</v>
      </c>
      <c r="C72" s="172"/>
      <c r="D72" s="172"/>
      <c r="E72" s="108"/>
    </row>
    <row r="73" spans="1:5" s="180" customFormat="1" ht="12.75">
      <c r="A73" s="12" t="s">
        <v>99</v>
      </c>
      <c r="B73" s="376" t="s">
        <v>490</v>
      </c>
      <c r="C73" s="172"/>
      <c r="D73" s="172"/>
      <c r="E73" s="108"/>
    </row>
    <row r="74" spans="1:5" s="180" customFormat="1" ht="12" customHeight="1">
      <c r="A74" s="12" t="s">
        <v>244</v>
      </c>
      <c r="B74" s="376" t="s">
        <v>222</v>
      </c>
      <c r="C74" s="172"/>
      <c r="D74" s="172"/>
      <c r="E74" s="108"/>
    </row>
    <row r="75" spans="1:5" s="180" customFormat="1" ht="12" customHeight="1" thickBot="1">
      <c r="A75" s="12" t="s">
        <v>245</v>
      </c>
      <c r="B75" s="377" t="s">
        <v>491</v>
      </c>
      <c r="C75" s="172"/>
      <c r="D75" s="172"/>
      <c r="E75" s="108"/>
    </row>
    <row r="76" spans="1:5" s="180" customFormat="1" ht="12" customHeight="1" thickBot="1">
      <c r="A76" s="222" t="s">
        <v>223</v>
      </c>
      <c r="B76" s="375" t="s">
        <v>224</v>
      </c>
      <c r="C76" s="168">
        <f>SUM(C77:C78)</f>
        <v>794759738</v>
      </c>
      <c r="D76" s="168">
        <f>SUM(D77:D78)</f>
        <v>91574849</v>
      </c>
      <c r="E76" s="104">
        <f>SUM(E77:E78)</f>
        <v>386269925</v>
      </c>
    </row>
    <row r="77" spans="1:5" s="180" customFormat="1" ht="12" customHeight="1">
      <c r="A77" s="12" t="s">
        <v>246</v>
      </c>
      <c r="B77" s="370" t="s">
        <v>225</v>
      </c>
      <c r="C77" s="172">
        <v>494759738</v>
      </c>
      <c r="D77" s="172">
        <v>91574849</v>
      </c>
      <c r="E77" s="108">
        <v>386269925</v>
      </c>
    </row>
    <row r="78" spans="1:5" s="180" customFormat="1" ht="12" customHeight="1" thickBot="1">
      <c r="A78" s="12" t="s">
        <v>247</v>
      </c>
      <c r="B78" s="378" t="s">
        <v>525</v>
      </c>
      <c r="C78" s="172">
        <v>300000000</v>
      </c>
      <c r="D78" s="172"/>
      <c r="E78" s="108"/>
    </row>
    <row r="79" spans="1:5" s="180" customFormat="1" ht="12" customHeight="1" thickBot="1">
      <c r="A79" s="222" t="s">
        <v>227</v>
      </c>
      <c r="B79" s="375" t="s">
        <v>228</v>
      </c>
      <c r="C79" s="168">
        <f>SUM(C80:C82)</f>
        <v>173324365</v>
      </c>
      <c r="D79" s="168">
        <f>SUM(D80:D82)</f>
        <v>191032088</v>
      </c>
      <c r="E79" s="104">
        <f>SUM(E80:E82)</f>
        <v>189811807</v>
      </c>
    </row>
    <row r="80" spans="1:5" s="180" customFormat="1" ht="12" customHeight="1">
      <c r="A80" s="12" t="s">
        <v>248</v>
      </c>
      <c r="B80" s="370" t="s">
        <v>229</v>
      </c>
      <c r="C80" s="172">
        <v>9902825</v>
      </c>
      <c r="D80" s="172">
        <v>763509</v>
      </c>
      <c r="E80" s="108">
        <v>14081659</v>
      </c>
    </row>
    <row r="81" spans="1:5" s="180" customFormat="1" ht="12" customHeight="1">
      <c r="A81" s="12" t="s">
        <v>249</v>
      </c>
      <c r="B81" s="371" t="s">
        <v>230</v>
      </c>
      <c r="C81" s="172"/>
      <c r="D81" s="172"/>
      <c r="E81" s="108"/>
    </row>
    <row r="82" spans="1:5" s="180" customFormat="1" ht="12" customHeight="1" thickBot="1">
      <c r="A82" s="12" t="s">
        <v>250</v>
      </c>
      <c r="B82" s="378" t="s">
        <v>873</v>
      </c>
      <c r="C82" s="172">
        <v>163421540</v>
      </c>
      <c r="D82" s="172">
        <v>190268579</v>
      </c>
      <c r="E82" s="108">
        <v>175730148</v>
      </c>
    </row>
    <row r="83" spans="1:5" s="180" customFormat="1" ht="12" customHeight="1" thickBot="1">
      <c r="A83" s="222" t="s">
        <v>231</v>
      </c>
      <c r="B83" s="375" t="s">
        <v>251</v>
      </c>
      <c r="C83" s="168">
        <f>SUM(C84:C87)</f>
        <v>0</v>
      </c>
      <c r="D83" s="168">
        <f>SUM(D84:D87)</f>
        <v>0</v>
      </c>
      <c r="E83" s="104">
        <f>SUM(E84:E87)</f>
        <v>0</v>
      </c>
    </row>
    <row r="84" spans="1:5" s="180" customFormat="1" ht="12" customHeight="1">
      <c r="A84" s="379" t="s">
        <v>232</v>
      </c>
      <c r="B84" s="370" t="s">
        <v>233</v>
      </c>
      <c r="C84" s="172"/>
      <c r="D84" s="172"/>
      <c r="E84" s="108"/>
    </row>
    <row r="85" spans="1:5" s="180" customFormat="1" ht="12" customHeight="1">
      <c r="A85" s="380" t="s">
        <v>234</v>
      </c>
      <c r="B85" s="371" t="s">
        <v>235</v>
      </c>
      <c r="C85" s="172"/>
      <c r="D85" s="172"/>
      <c r="E85" s="108"/>
    </row>
    <row r="86" spans="1:5" s="180" customFormat="1" ht="12" customHeight="1">
      <c r="A86" s="380" t="s">
        <v>236</v>
      </c>
      <c r="B86" s="371" t="s">
        <v>237</v>
      </c>
      <c r="C86" s="172"/>
      <c r="D86" s="172"/>
      <c r="E86" s="108"/>
    </row>
    <row r="87" spans="1:5" s="180" customFormat="1" ht="12" customHeight="1" thickBot="1">
      <c r="A87" s="381" t="s">
        <v>238</v>
      </c>
      <c r="B87" s="373" t="s">
        <v>239</v>
      </c>
      <c r="C87" s="172"/>
      <c r="D87" s="172"/>
      <c r="E87" s="108"/>
    </row>
    <row r="88" spans="1:5" s="180" customFormat="1" ht="12" customHeight="1" thickBot="1">
      <c r="A88" s="222" t="s">
        <v>240</v>
      </c>
      <c r="B88" s="375" t="s">
        <v>241</v>
      </c>
      <c r="C88" s="224"/>
      <c r="D88" s="224"/>
      <c r="E88" s="225"/>
    </row>
    <row r="89" spans="1:5" s="180" customFormat="1" ht="13.5" customHeight="1" thickBot="1">
      <c r="A89" s="222" t="s">
        <v>242</v>
      </c>
      <c r="B89" s="382" t="s">
        <v>526</v>
      </c>
      <c r="C89" s="174">
        <f>+C67+C71+C76+C79+C83+C88</f>
        <v>968084103</v>
      </c>
      <c r="D89" s="174">
        <f>+D67+D71+D76+D79+D83+D88</f>
        <v>282606937</v>
      </c>
      <c r="E89" s="210">
        <f>+E67+E71+E76+E79+E83+E88</f>
        <v>576081732</v>
      </c>
    </row>
    <row r="90" spans="1:5" s="180" customFormat="1" ht="12" customHeight="1" thickBot="1">
      <c r="A90" s="223" t="s">
        <v>254</v>
      </c>
      <c r="B90" s="383" t="s">
        <v>527</v>
      </c>
      <c r="C90" s="174">
        <f>+C66+C89</f>
        <v>1638166967</v>
      </c>
      <c r="D90" s="174">
        <f>+D66+D89</f>
        <v>1014657820</v>
      </c>
      <c r="E90" s="210">
        <f>+E66+E89</f>
        <v>1352071688</v>
      </c>
    </row>
    <row r="91" spans="1:5" ht="16.5" customHeight="1">
      <c r="A91" s="794" t="s">
        <v>34</v>
      </c>
      <c r="B91" s="794"/>
      <c r="C91" s="794"/>
      <c r="D91" s="794"/>
      <c r="E91" s="794"/>
    </row>
    <row r="92" spans="1:5" s="190" customFormat="1" ht="16.5" customHeight="1" thickBot="1">
      <c r="A92" s="384" t="s">
        <v>101</v>
      </c>
      <c r="B92" s="384"/>
      <c r="C92" s="384"/>
      <c r="D92" s="62"/>
      <c r="E92" s="62" t="str">
        <f>E5</f>
        <v>Forintban!</v>
      </c>
    </row>
    <row r="93" spans="1:5" s="190" customFormat="1" ht="16.5" customHeight="1">
      <c r="A93" s="891" t="s">
        <v>51</v>
      </c>
      <c r="B93" s="790" t="s">
        <v>420</v>
      </c>
      <c r="C93" s="805" t="str">
        <f>+C6</f>
        <v>2018 évi tény</v>
      </c>
      <c r="D93" s="894" t="str">
        <f>+D6</f>
        <v>2019. évi</v>
      </c>
      <c r="E93" s="895"/>
    </row>
    <row r="94" spans="1:5" ht="37.5" customHeight="1" thickBot="1">
      <c r="A94" s="892"/>
      <c r="B94" s="893"/>
      <c r="C94" s="806"/>
      <c r="D94" s="250" t="s">
        <v>450</v>
      </c>
      <c r="E94" s="368" t="s">
        <v>445</v>
      </c>
    </row>
    <row r="95" spans="1:5" s="179" customFormat="1" ht="12" customHeight="1" thickBot="1">
      <c r="A95" s="25" t="s">
        <v>385</v>
      </c>
      <c r="B95" s="26" t="s">
        <v>386</v>
      </c>
      <c r="C95" s="26" t="s">
        <v>387</v>
      </c>
      <c r="D95" s="26" t="s">
        <v>388</v>
      </c>
      <c r="E95" s="385" t="s">
        <v>390</v>
      </c>
    </row>
    <row r="96" spans="1:5" ht="12" customHeight="1" thickBot="1">
      <c r="A96" s="20" t="s">
        <v>6</v>
      </c>
      <c r="B96" s="24" t="s">
        <v>320</v>
      </c>
      <c r="C96" s="167">
        <f>SUM(C97:C101)</f>
        <v>574568357</v>
      </c>
      <c r="D96" s="167">
        <f>+D97+D98+D99+D100+D101</f>
        <v>660390065</v>
      </c>
      <c r="E96" s="237">
        <f>+E97+E98+E99+E100+E101</f>
        <v>599815348</v>
      </c>
    </row>
    <row r="97" spans="1:5" ht="12" customHeight="1">
      <c r="A97" s="15" t="s">
        <v>63</v>
      </c>
      <c r="B97" s="386" t="s">
        <v>35</v>
      </c>
      <c r="C97" s="244">
        <v>276268852</v>
      </c>
      <c r="D97" s="244">
        <v>285631186</v>
      </c>
      <c r="E97" s="238">
        <v>281444334</v>
      </c>
    </row>
    <row r="98" spans="1:5" ht="12" customHeight="1">
      <c r="A98" s="12" t="s">
        <v>64</v>
      </c>
      <c r="B98" s="387" t="s">
        <v>122</v>
      </c>
      <c r="C98" s="169">
        <v>45547802</v>
      </c>
      <c r="D98" s="169">
        <v>48167685</v>
      </c>
      <c r="E98" s="105">
        <v>45846571</v>
      </c>
    </row>
    <row r="99" spans="1:5" ht="12" customHeight="1">
      <c r="A99" s="12" t="s">
        <v>65</v>
      </c>
      <c r="B99" s="387" t="s">
        <v>90</v>
      </c>
      <c r="C99" s="171">
        <v>199906355</v>
      </c>
      <c r="D99" s="171">
        <v>259234721</v>
      </c>
      <c r="E99" s="107">
        <v>215638080</v>
      </c>
    </row>
    <row r="100" spans="1:5" ht="12" customHeight="1">
      <c r="A100" s="12" t="s">
        <v>66</v>
      </c>
      <c r="B100" s="388" t="s">
        <v>123</v>
      </c>
      <c r="C100" s="171">
        <v>32220008</v>
      </c>
      <c r="D100" s="171">
        <v>39174500</v>
      </c>
      <c r="E100" s="107">
        <v>30394699</v>
      </c>
    </row>
    <row r="101" spans="1:5" ht="12" customHeight="1">
      <c r="A101" s="12" t="s">
        <v>75</v>
      </c>
      <c r="B101" s="389" t="s">
        <v>124</v>
      </c>
      <c r="C101" s="171">
        <f>SUM(C102:C114)</f>
        <v>20625340</v>
      </c>
      <c r="D101" s="171">
        <f>SUM(D102:D114)</f>
        <v>28181973</v>
      </c>
      <c r="E101" s="171">
        <f>SUM(E102:E114)</f>
        <v>26491664</v>
      </c>
    </row>
    <row r="102" spans="1:5" ht="12" customHeight="1">
      <c r="A102" s="12" t="s">
        <v>67</v>
      </c>
      <c r="B102" s="387" t="s">
        <v>343</v>
      </c>
      <c r="C102" s="171">
        <v>933081</v>
      </c>
      <c r="D102" s="171">
        <v>307888</v>
      </c>
      <c r="E102" s="107">
        <v>307888</v>
      </c>
    </row>
    <row r="103" spans="1:5" ht="12" customHeight="1">
      <c r="A103" s="12" t="s">
        <v>68</v>
      </c>
      <c r="B103" s="390" t="s">
        <v>342</v>
      </c>
      <c r="C103" s="171"/>
      <c r="D103" s="171"/>
      <c r="E103" s="107"/>
    </row>
    <row r="104" spans="1:5" ht="12" customHeight="1">
      <c r="A104" s="12" t="s">
        <v>76</v>
      </c>
      <c r="B104" s="387" t="s">
        <v>341</v>
      </c>
      <c r="C104" s="171"/>
      <c r="D104" s="171"/>
      <c r="E104" s="107"/>
    </row>
    <row r="105" spans="1:5" ht="12" customHeight="1">
      <c r="A105" s="12" t="s">
        <v>77</v>
      </c>
      <c r="B105" s="387" t="s">
        <v>257</v>
      </c>
      <c r="C105" s="171"/>
      <c r="D105" s="171"/>
      <c r="E105" s="107"/>
    </row>
    <row r="106" spans="1:5" ht="12" customHeight="1">
      <c r="A106" s="12" t="s">
        <v>78</v>
      </c>
      <c r="B106" s="390" t="s">
        <v>258</v>
      </c>
      <c r="C106" s="171"/>
      <c r="D106" s="171"/>
      <c r="E106" s="107"/>
    </row>
    <row r="107" spans="1:5" ht="12" customHeight="1">
      <c r="A107" s="12" t="s">
        <v>79</v>
      </c>
      <c r="B107" s="390" t="s">
        <v>259</v>
      </c>
      <c r="C107" s="171"/>
      <c r="D107" s="171"/>
      <c r="E107" s="107"/>
    </row>
    <row r="108" spans="1:5" ht="12" customHeight="1">
      <c r="A108" s="12" t="s">
        <v>81</v>
      </c>
      <c r="B108" s="390" t="s">
        <v>260</v>
      </c>
      <c r="C108" s="171"/>
      <c r="D108" s="171">
        <v>4190309</v>
      </c>
      <c r="E108" s="107">
        <v>2500000</v>
      </c>
    </row>
    <row r="109" spans="1:5" ht="12" customHeight="1">
      <c r="A109" s="12" t="s">
        <v>125</v>
      </c>
      <c r="B109" s="390" t="s">
        <v>261</v>
      </c>
      <c r="C109" s="171"/>
      <c r="D109" s="171"/>
      <c r="E109" s="107"/>
    </row>
    <row r="110" spans="1:5" ht="12" customHeight="1">
      <c r="A110" s="12" t="s">
        <v>255</v>
      </c>
      <c r="B110" s="390" t="s">
        <v>262</v>
      </c>
      <c r="C110" s="171">
        <v>4830000</v>
      </c>
      <c r="D110" s="171">
        <v>2445000</v>
      </c>
      <c r="E110" s="107">
        <v>2445000</v>
      </c>
    </row>
    <row r="111" spans="1:5" ht="12" customHeight="1">
      <c r="A111" s="12" t="s">
        <v>256</v>
      </c>
      <c r="B111" s="390" t="s">
        <v>263</v>
      </c>
      <c r="C111" s="171"/>
      <c r="D111" s="171"/>
      <c r="E111" s="107"/>
    </row>
    <row r="112" spans="1:5" ht="12" customHeight="1">
      <c r="A112" s="12" t="s">
        <v>339</v>
      </c>
      <c r="B112" s="390" t="s">
        <v>264</v>
      </c>
      <c r="C112" s="171"/>
      <c r="D112" s="171"/>
      <c r="E112" s="107"/>
    </row>
    <row r="113" spans="1:5" ht="12" customHeight="1">
      <c r="A113" s="12" t="s">
        <v>340</v>
      </c>
      <c r="B113" s="387" t="s">
        <v>265</v>
      </c>
      <c r="C113" s="171">
        <v>14862259</v>
      </c>
      <c r="D113" s="171">
        <v>21238776</v>
      </c>
      <c r="E113" s="107">
        <v>21238776</v>
      </c>
    </row>
    <row r="114" spans="1:5" ht="12" customHeight="1">
      <c r="A114" s="11" t="s">
        <v>344</v>
      </c>
      <c r="B114" s="391" t="s">
        <v>36</v>
      </c>
      <c r="C114" s="171"/>
      <c r="D114" s="171"/>
      <c r="E114" s="107"/>
    </row>
    <row r="115" spans="1:5" ht="12" customHeight="1">
      <c r="A115" s="12" t="s">
        <v>345</v>
      </c>
      <c r="B115" s="391" t="s">
        <v>347</v>
      </c>
      <c r="C115" s="171"/>
      <c r="D115" s="171"/>
      <c r="E115" s="107"/>
    </row>
    <row r="116" spans="1:5" ht="12" customHeight="1" thickBot="1">
      <c r="A116" s="16" t="s">
        <v>346</v>
      </c>
      <c r="B116" s="392" t="s">
        <v>348</v>
      </c>
      <c r="C116" s="245"/>
      <c r="D116" s="245"/>
      <c r="E116" s="239"/>
    </row>
    <row r="117" spans="1:5" ht="12" customHeight="1" thickBot="1">
      <c r="A117" s="18" t="s">
        <v>7</v>
      </c>
      <c r="B117" s="23" t="s">
        <v>865</v>
      </c>
      <c r="C117" s="168">
        <f>+C118+C120+C122</f>
        <v>176300688</v>
      </c>
      <c r="D117" s="168">
        <f>+D118+D120+D122</f>
        <v>150700619</v>
      </c>
      <c r="E117" s="104">
        <f>+E118+E120+E122</f>
        <v>140244473</v>
      </c>
    </row>
    <row r="118" spans="1:5" ht="12" customHeight="1">
      <c r="A118" s="13" t="s">
        <v>69</v>
      </c>
      <c r="B118" s="387" t="s">
        <v>143</v>
      </c>
      <c r="C118" s="170">
        <v>54091064</v>
      </c>
      <c r="D118" s="170">
        <v>139820840</v>
      </c>
      <c r="E118" s="106">
        <v>137534852</v>
      </c>
    </row>
    <row r="119" spans="1:5" ht="12" customHeight="1">
      <c r="A119" s="13" t="s">
        <v>70</v>
      </c>
      <c r="B119" s="391" t="s">
        <v>270</v>
      </c>
      <c r="C119" s="170">
        <v>32745947</v>
      </c>
      <c r="D119" s="170">
        <v>56617728</v>
      </c>
      <c r="E119" s="106">
        <v>56617728</v>
      </c>
    </row>
    <row r="120" spans="1:5" ht="15.75">
      <c r="A120" s="13" t="s">
        <v>71</v>
      </c>
      <c r="B120" s="391" t="s">
        <v>126</v>
      </c>
      <c r="C120" s="169">
        <v>122209624</v>
      </c>
      <c r="D120" s="169">
        <v>10879779</v>
      </c>
      <c r="E120" s="105">
        <v>2709621</v>
      </c>
    </row>
    <row r="121" spans="1:5" ht="12" customHeight="1">
      <c r="A121" s="13" t="s">
        <v>72</v>
      </c>
      <c r="B121" s="391" t="s">
        <v>271</v>
      </c>
      <c r="C121" s="169">
        <v>109270800</v>
      </c>
      <c r="D121" s="169"/>
      <c r="E121" s="105"/>
    </row>
    <row r="122" spans="1:5" ht="12" customHeight="1">
      <c r="A122" s="13" t="s">
        <v>73</v>
      </c>
      <c r="B122" s="373" t="s">
        <v>145</v>
      </c>
      <c r="C122" s="169"/>
      <c r="D122" s="169"/>
      <c r="E122" s="105"/>
    </row>
    <row r="123" spans="1:5" ht="15.75">
      <c r="A123" s="13" t="s">
        <v>80</v>
      </c>
      <c r="B123" s="371" t="s">
        <v>331</v>
      </c>
      <c r="C123" s="169"/>
      <c r="D123" s="169"/>
      <c r="E123" s="105"/>
    </row>
    <row r="124" spans="1:5" ht="15.75">
      <c r="A124" s="13" t="s">
        <v>82</v>
      </c>
      <c r="B124" s="393" t="s">
        <v>276</v>
      </c>
      <c r="C124" s="169"/>
      <c r="D124" s="169"/>
      <c r="E124" s="105"/>
    </row>
    <row r="125" spans="1:5" ht="12" customHeight="1">
      <c r="A125" s="13" t="s">
        <v>127</v>
      </c>
      <c r="B125" s="387" t="s">
        <v>259</v>
      </c>
      <c r="C125" s="169"/>
      <c r="D125" s="169"/>
      <c r="E125" s="105"/>
    </row>
    <row r="126" spans="1:5" ht="12" customHeight="1">
      <c r="A126" s="13" t="s">
        <v>128</v>
      </c>
      <c r="B126" s="387" t="s">
        <v>275</v>
      </c>
      <c r="C126" s="169"/>
      <c r="D126" s="169"/>
      <c r="E126" s="105"/>
    </row>
    <row r="127" spans="1:5" ht="12" customHeight="1">
      <c r="A127" s="13" t="s">
        <v>129</v>
      </c>
      <c r="B127" s="387" t="s">
        <v>274</v>
      </c>
      <c r="C127" s="169"/>
      <c r="D127" s="169"/>
      <c r="E127" s="105"/>
    </row>
    <row r="128" spans="1:5" s="394" customFormat="1" ht="12" customHeight="1">
      <c r="A128" s="13" t="s">
        <v>267</v>
      </c>
      <c r="B128" s="387" t="s">
        <v>262</v>
      </c>
      <c r="C128" s="169"/>
      <c r="D128" s="169"/>
      <c r="E128" s="105"/>
    </row>
    <row r="129" spans="1:5" ht="12" customHeight="1">
      <c r="A129" s="13" t="s">
        <v>268</v>
      </c>
      <c r="B129" s="387" t="s">
        <v>273</v>
      </c>
      <c r="C129" s="169"/>
      <c r="D129" s="169"/>
      <c r="E129" s="105"/>
    </row>
    <row r="130" spans="1:5" ht="12" customHeight="1" thickBot="1">
      <c r="A130" s="11" t="s">
        <v>269</v>
      </c>
      <c r="B130" s="387" t="s">
        <v>272</v>
      </c>
      <c r="C130" s="171"/>
      <c r="D130" s="171"/>
      <c r="E130" s="107"/>
    </row>
    <row r="131" spans="1:5" ht="12" customHeight="1" thickBot="1">
      <c r="A131" s="18" t="s">
        <v>8</v>
      </c>
      <c r="B131" s="395" t="s">
        <v>349</v>
      </c>
      <c r="C131" s="168">
        <f>+C96+C117</f>
        <v>750869045</v>
      </c>
      <c r="D131" s="168">
        <f>+D96+D117</f>
        <v>811090684</v>
      </c>
      <c r="E131" s="104">
        <f>+E96+E117</f>
        <v>740059821</v>
      </c>
    </row>
    <row r="132" spans="1:5" ht="12" customHeight="1" thickBot="1">
      <c r="A132" s="18" t="s">
        <v>9</v>
      </c>
      <c r="B132" s="395" t="s">
        <v>350</v>
      </c>
      <c r="C132" s="168">
        <f>+C133+C134+C135</f>
        <v>0</v>
      </c>
      <c r="D132" s="168">
        <f>+D133+D134+D135</f>
        <v>0</v>
      </c>
      <c r="E132" s="104">
        <f>+E133+E134+E135</f>
        <v>0</v>
      </c>
    </row>
    <row r="133" spans="1:5" ht="12" customHeight="1">
      <c r="A133" s="13" t="s">
        <v>176</v>
      </c>
      <c r="B133" s="393" t="s">
        <v>404</v>
      </c>
      <c r="C133" s="169"/>
      <c r="D133" s="169"/>
      <c r="E133" s="105"/>
    </row>
    <row r="134" spans="1:5" ht="12" customHeight="1">
      <c r="A134" s="13" t="s">
        <v>177</v>
      </c>
      <c r="B134" s="393" t="s">
        <v>358</v>
      </c>
      <c r="C134" s="169"/>
      <c r="D134" s="169"/>
      <c r="E134" s="105"/>
    </row>
    <row r="135" spans="1:5" ht="12" customHeight="1" thickBot="1">
      <c r="A135" s="11" t="s">
        <v>178</v>
      </c>
      <c r="B135" s="396" t="s">
        <v>403</v>
      </c>
      <c r="C135" s="169"/>
      <c r="D135" s="169"/>
      <c r="E135" s="105"/>
    </row>
    <row r="136" spans="1:5" ht="12" customHeight="1" thickBot="1">
      <c r="A136" s="18" t="s">
        <v>10</v>
      </c>
      <c r="B136" s="395" t="s">
        <v>866</v>
      </c>
      <c r="C136" s="168">
        <f>+C137+C138+C139+C140</f>
        <v>0</v>
      </c>
      <c r="D136" s="168">
        <f>+D137+D138+D139+D140</f>
        <v>0</v>
      </c>
      <c r="E136" s="104">
        <f>+E137+E138+E139+E140</f>
        <v>0</v>
      </c>
    </row>
    <row r="137" spans="1:5" ht="12" customHeight="1">
      <c r="A137" s="13" t="s">
        <v>56</v>
      </c>
      <c r="B137" s="393" t="s">
        <v>360</v>
      </c>
      <c r="C137" s="169"/>
      <c r="D137" s="169"/>
      <c r="E137" s="105"/>
    </row>
    <row r="138" spans="1:5" ht="12" customHeight="1">
      <c r="A138" s="13" t="s">
        <v>57</v>
      </c>
      <c r="B138" s="393" t="s">
        <v>528</v>
      </c>
      <c r="C138" s="169"/>
      <c r="D138" s="169"/>
      <c r="E138" s="105"/>
    </row>
    <row r="139" spans="1:5" ht="12" customHeight="1">
      <c r="A139" s="13" t="s">
        <v>58</v>
      </c>
      <c r="B139" s="393" t="s">
        <v>352</v>
      </c>
      <c r="C139" s="169"/>
      <c r="D139" s="169"/>
      <c r="E139" s="105"/>
    </row>
    <row r="140" spans="1:5" ht="12" customHeight="1" thickBot="1">
      <c r="A140" s="11" t="s">
        <v>114</v>
      </c>
      <c r="B140" s="396" t="s">
        <v>529</v>
      </c>
      <c r="C140" s="169"/>
      <c r="D140" s="169"/>
      <c r="E140" s="105"/>
    </row>
    <row r="141" spans="1:5" ht="12" customHeight="1" thickBot="1">
      <c r="A141" s="18" t="s">
        <v>11</v>
      </c>
      <c r="B141" s="395" t="s">
        <v>364</v>
      </c>
      <c r="C141" s="174">
        <f>+C142+C143+C144+C145</f>
        <v>501027997</v>
      </c>
      <c r="D141" s="174">
        <f>+D142+D143+D144+D145</f>
        <v>203567136</v>
      </c>
      <c r="E141" s="210">
        <f>+E142+E143+E144+E145</f>
        <v>188880331</v>
      </c>
    </row>
    <row r="142" spans="1:5" ht="12" customHeight="1">
      <c r="A142" s="13" t="s">
        <v>59</v>
      </c>
      <c r="B142" s="393" t="s">
        <v>277</v>
      </c>
      <c r="C142" s="169"/>
      <c r="D142" s="169"/>
      <c r="E142" s="105"/>
    </row>
    <row r="143" spans="1:5" ht="12" customHeight="1">
      <c r="A143" s="13" t="s">
        <v>60</v>
      </c>
      <c r="B143" s="393" t="s">
        <v>278</v>
      </c>
      <c r="C143" s="169">
        <v>37606457</v>
      </c>
      <c r="D143" s="169">
        <v>13298557</v>
      </c>
      <c r="E143" s="105">
        <v>13150183</v>
      </c>
    </row>
    <row r="144" spans="1:5" ht="12" customHeight="1">
      <c r="A144" s="13" t="s">
        <v>194</v>
      </c>
      <c r="B144" s="393" t="s">
        <v>530</v>
      </c>
      <c r="C144" s="169">
        <v>300000000</v>
      </c>
      <c r="D144" s="169"/>
      <c r="E144" s="105"/>
    </row>
    <row r="145" spans="1:5" ht="12" customHeight="1" thickBot="1">
      <c r="A145" s="11" t="s">
        <v>195</v>
      </c>
      <c r="B145" s="396" t="s">
        <v>874</v>
      </c>
      <c r="C145" s="169">
        <v>163421540</v>
      </c>
      <c r="D145" s="169">
        <v>190268579</v>
      </c>
      <c r="E145" s="105">
        <v>175730148</v>
      </c>
    </row>
    <row r="146" spans="1:9" ht="15" customHeight="1" thickBot="1">
      <c r="A146" s="18" t="s">
        <v>12</v>
      </c>
      <c r="B146" s="395" t="s">
        <v>867</v>
      </c>
      <c r="C146" s="247">
        <f>+C147+C148+C149+C150</f>
        <v>0</v>
      </c>
      <c r="D146" s="247">
        <f>+D147+D148+D149+D150</f>
        <v>0</v>
      </c>
      <c r="E146" s="241">
        <f>+E147+E148+E149+E150</f>
        <v>0</v>
      </c>
      <c r="F146" s="191"/>
      <c r="G146" s="192"/>
      <c r="H146" s="192"/>
      <c r="I146" s="192"/>
    </row>
    <row r="147" spans="1:5" s="180" customFormat="1" ht="12.75" customHeight="1">
      <c r="A147" s="13" t="s">
        <v>61</v>
      </c>
      <c r="B147" s="393" t="s">
        <v>531</v>
      </c>
      <c r="C147" s="169"/>
      <c r="D147" s="169"/>
      <c r="E147" s="105"/>
    </row>
    <row r="148" spans="1:5" ht="13.5" customHeight="1">
      <c r="A148" s="13" t="s">
        <v>62</v>
      </c>
      <c r="B148" s="393" t="s">
        <v>532</v>
      </c>
      <c r="C148" s="169"/>
      <c r="D148" s="169"/>
      <c r="E148" s="105"/>
    </row>
    <row r="149" spans="1:5" ht="13.5" customHeight="1">
      <c r="A149" s="13" t="s">
        <v>206</v>
      </c>
      <c r="B149" s="393" t="s">
        <v>533</v>
      </c>
      <c r="C149" s="169"/>
      <c r="D149" s="169"/>
      <c r="E149" s="105"/>
    </row>
    <row r="150" spans="1:5" ht="13.5" customHeight="1">
      <c r="A150" s="13" t="s">
        <v>207</v>
      </c>
      <c r="B150" s="393" t="s">
        <v>369</v>
      </c>
      <c r="C150" s="169"/>
      <c r="D150" s="169"/>
      <c r="E150" s="105"/>
    </row>
    <row r="151" spans="1:5" ht="13.5" customHeight="1" thickBot="1">
      <c r="A151" s="11" t="s">
        <v>868</v>
      </c>
      <c r="B151" s="396" t="s">
        <v>370</v>
      </c>
      <c r="C151" s="768"/>
      <c r="D151" s="768"/>
      <c r="E151" s="769"/>
    </row>
    <row r="152" spans="1:5" ht="13.5" customHeight="1" thickBot="1">
      <c r="A152" s="770" t="s">
        <v>13</v>
      </c>
      <c r="B152" s="771" t="s">
        <v>371</v>
      </c>
      <c r="C152" s="772"/>
      <c r="D152" s="772"/>
      <c r="E152" s="773"/>
    </row>
    <row r="153" spans="1:5" ht="13.5" customHeight="1" thickBot="1">
      <c r="A153" s="770" t="s">
        <v>14</v>
      </c>
      <c r="B153" s="771" t="s">
        <v>372</v>
      </c>
      <c r="C153" s="772"/>
      <c r="D153" s="772"/>
      <c r="E153" s="773"/>
    </row>
    <row r="154" spans="1:5" ht="12.75" customHeight="1" thickBot="1">
      <c r="A154" s="18" t="s">
        <v>15</v>
      </c>
      <c r="B154" s="395" t="s">
        <v>374</v>
      </c>
      <c r="C154" s="249">
        <f>+C132+C136+C141+C146+C152+C153</f>
        <v>501027997</v>
      </c>
      <c r="D154" s="249">
        <f>+D132+D136+D141+D146+D152+D153</f>
        <v>203567136</v>
      </c>
      <c r="E154" s="243">
        <f>+E132+E136+E141+E146+E152+E153</f>
        <v>188880331</v>
      </c>
    </row>
    <row r="155" spans="1:5" ht="13.5" customHeight="1" thickBot="1">
      <c r="A155" s="114" t="s">
        <v>16</v>
      </c>
      <c r="B155" s="397" t="s">
        <v>373</v>
      </c>
      <c r="C155" s="249">
        <f>+C131+C154</f>
        <v>1251897042</v>
      </c>
      <c r="D155" s="249">
        <f>+D131+D154</f>
        <v>1014657820</v>
      </c>
      <c r="E155" s="243">
        <f>+E131+E154</f>
        <v>928940152</v>
      </c>
    </row>
    <row r="156" spans="3:4" ht="13.5" customHeight="1">
      <c r="C156" s="663"/>
      <c r="D156" s="663">
        <f>D90-D155</f>
        <v>0</v>
      </c>
    </row>
    <row r="157" ht="13.5" customHeight="1"/>
    <row r="158" ht="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13">
    <mergeCell ref="A91:E91"/>
    <mergeCell ref="A93:A94"/>
    <mergeCell ref="B93:B94"/>
    <mergeCell ref="C93:C94"/>
    <mergeCell ref="D93:E93"/>
    <mergeCell ref="A1:E1"/>
    <mergeCell ref="A2:E2"/>
    <mergeCell ref="A3:E3"/>
    <mergeCell ref="A4:E4"/>
    <mergeCell ref="A6:A7"/>
    <mergeCell ref="B6:B7"/>
    <mergeCell ref="C6:C7"/>
    <mergeCell ref="D6:E6"/>
  </mergeCells>
  <printOptions horizontalCentered="1"/>
  <pageMargins left="0.5905511811023623" right="0.5905511811023623" top="0.5905511811023623" bottom="0.5905511811023623" header="0.3937007874015748" footer="0.3937007874015748"/>
  <pageSetup fitToHeight="2" orientation="portrait" paperSize="9" scale="67" r:id="rId1"/>
  <rowBreaks count="1" manualBreakCount="1">
    <brk id="90" max="4" man="1"/>
  </rowBreaks>
</worksheet>
</file>

<file path=xl/worksheets/sheet33.xml><?xml version="1.0" encoding="utf-8"?>
<worksheet xmlns="http://schemas.openxmlformats.org/spreadsheetml/2006/main" xmlns:r="http://schemas.openxmlformats.org/officeDocument/2006/relationships">
  <sheetPr>
    <tabColor rgb="FF92D050"/>
  </sheetPr>
  <dimension ref="A1:K19"/>
  <sheetViews>
    <sheetView zoomScale="120" zoomScaleNormal="120" workbookViewId="0" topLeftCell="A1">
      <selection activeCell="M11" sqref="M11"/>
    </sheetView>
  </sheetViews>
  <sheetFormatPr defaultColWidth="9.00390625" defaultRowHeight="12.75"/>
  <cols>
    <col min="1" max="1" width="6.875" style="28" customWidth="1"/>
    <col min="2" max="2" width="32.375" style="27" customWidth="1"/>
    <col min="3" max="3" width="17.00390625" style="27" customWidth="1"/>
    <col min="4" max="9" width="12.875" style="27" customWidth="1"/>
    <col min="10" max="10" width="13.875" style="27" customWidth="1"/>
    <col min="11" max="11" width="4.00390625" style="27" customWidth="1"/>
    <col min="12" max="16384" width="9.375" style="27" customWidth="1"/>
  </cols>
  <sheetData>
    <row r="1" spans="1:10" ht="15.75">
      <c r="A1" s="811" t="s">
        <v>759</v>
      </c>
      <c r="B1" s="896"/>
      <c r="C1" s="896"/>
      <c r="D1" s="896"/>
      <c r="E1" s="896"/>
      <c r="F1" s="896"/>
      <c r="G1" s="896"/>
      <c r="H1" s="896"/>
      <c r="I1" s="896"/>
      <c r="J1" s="896"/>
    </row>
    <row r="2" spans="1:11" ht="14.25" thickBot="1">
      <c r="A2" s="341"/>
      <c r="B2" s="342"/>
      <c r="C2" s="342"/>
      <c r="D2" s="342"/>
      <c r="E2" s="342"/>
      <c r="F2" s="342"/>
      <c r="G2" s="342"/>
      <c r="H2" s="342"/>
      <c r="I2" s="342"/>
      <c r="J2" s="350" t="str">
        <f>'Z_1.tájékoztató_t.'!E5</f>
        <v>Forintban!</v>
      </c>
      <c r="K2" s="810" t="str">
        <f>CONCATENATE("2. tájékoztató tábla ",Z_ALAPADATOK!A7," ",Z_ALAPADATOK!B7," ",Z_ALAPADATOK!C7," ",Z_ALAPADATOK!D7," ",Z_ALAPADATOK!E7," ",Z_ALAPADATOK!F7," ",Z_ALAPADATOK!G7," ",Z_ALAPADATOK!H7)</f>
        <v>2. tájékoztató tábla a 4 / 2020. ( VII.17. ) önkormányzati rendelethez</v>
      </c>
    </row>
    <row r="3" spans="1:11" s="401" customFormat="1" ht="26.25" customHeight="1">
      <c r="A3" s="897" t="s">
        <v>51</v>
      </c>
      <c r="B3" s="899" t="s">
        <v>534</v>
      </c>
      <c r="C3" s="899" t="s">
        <v>535</v>
      </c>
      <c r="D3" s="899" t="s">
        <v>536</v>
      </c>
      <c r="E3" s="899" t="str">
        <f>CONCATENATE(Z_ALAPADATOK!B1,". évi teljesítés")</f>
        <v>2019. évi teljesítés</v>
      </c>
      <c r="F3" s="398" t="s">
        <v>537</v>
      </c>
      <c r="G3" s="399"/>
      <c r="H3" s="399"/>
      <c r="I3" s="400"/>
      <c r="J3" s="902" t="s">
        <v>538</v>
      </c>
      <c r="K3" s="810"/>
    </row>
    <row r="4" spans="1:11" s="405" customFormat="1" ht="32.25" customHeight="1" thickBot="1">
      <c r="A4" s="898"/>
      <c r="B4" s="900"/>
      <c r="C4" s="900"/>
      <c r="D4" s="901"/>
      <c r="E4" s="901"/>
      <c r="F4" s="402" t="str">
        <f>CONCATENATE(Z_ALAPADATOK!B1+1,".")</f>
        <v>2020.</v>
      </c>
      <c r="G4" s="403" t="str">
        <f>CONCATENATE(Z_ALAPADATOK!B1+2,".")</f>
        <v>2021.</v>
      </c>
      <c r="H4" s="403" t="str">
        <f>CONCATENATE(Z_ALAPADATOK!B1+3,".")</f>
        <v>2022.</v>
      </c>
      <c r="I4" s="404" t="str">
        <f>CONCATENATE(Z_ALAPADATOK!B1+3,". után")</f>
        <v>2022. után</v>
      </c>
      <c r="J4" s="903"/>
      <c r="K4" s="810"/>
    </row>
    <row r="5" spans="1:11" s="410" customFormat="1" ht="13.5" customHeight="1" thickBot="1">
      <c r="A5" s="406" t="s">
        <v>385</v>
      </c>
      <c r="B5" s="407" t="s">
        <v>539</v>
      </c>
      <c r="C5" s="408" t="s">
        <v>387</v>
      </c>
      <c r="D5" s="408" t="s">
        <v>389</v>
      </c>
      <c r="E5" s="408" t="s">
        <v>388</v>
      </c>
      <c r="F5" s="408" t="s">
        <v>390</v>
      </c>
      <c r="G5" s="408" t="s">
        <v>391</v>
      </c>
      <c r="H5" s="408" t="s">
        <v>392</v>
      </c>
      <c r="I5" s="408" t="s">
        <v>423</v>
      </c>
      <c r="J5" s="409" t="s">
        <v>540</v>
      </c>
      <c r="K5" s="810"/>
    </row>
    <row r="6" spans="1:11" ht="33.75" customHeight="1">
      <c r="A6" s="411" t="s">
        <v>6</v>
      </c>
      <c r="B6" s="412" t="s">
        <v>541</v>
      </c>
      <c r="C6" s="413"/>
      <c r="D6" s="414">
        <f aca="true" t="shared" si="0" ref="D6:I6">SUM(D7:D8)</f>
        <v>0</v>
      </c>
      <c r="E6" s="414">
        <f t="shared" si="0"/>
        <v>0</v>
      </c>
      <c r="F6" s="414">
        <f t="shared" si="0"/>
        <v>0</v>
      </c>
      <c r="G6" s="414">
        <f t="shared" si="0"/>
        <v>0</v>
      </c>
      <c r="H6" s="414">
        <f t="shared" si="0"/>
        <v>0</v>
      </c>
      <c r="I6" s="415">
        <f t="shared" si="0"/>
        <v>0</v>
      </c>
      <c r="J6" s="416">
        <f aca="true" t="shared" si="1" ref="J6:J18">SUM(F6:I6)</f>
        <v>0</v>
      </c>
      <c r="K6" s="810"/>
    </row>
    <row r="7" spans="1:11" ht="21" customHeight="1">
      <c r="A7" s="417" t="s">
        <v>7</v>
      </c>
      <c r="B7" s="418" t="s">
        <v>542</v>
      </c>
      <c r="C7" s="419"/>
      <c r="D7" s="21"/>
      <c r="E7" s="21"/>
      <c r="F7" s="21"/>
      <c r="G7" s="21"/>
      <c r="H7" s="21"/>
      <c r="I7" s="420"/>
      <c r="J7" s="421">
        <f t="shared" si="1"/>
        <v>0</v>
      </c>
      <c r="K7" s="810"/>
    </row>
    <row r="8" spans="1:11" ht="21" customHeight="1">
      <c r="A8" s="417" t="s">
        <v>8</v>
      </c>
      <c r="B8" s="418" t="s">
        <v>542</v>
      </c>
      <c r="C8" s="419"/>
      <c r="D8" s="21"/>
      <c r="E8" s="21"/>
      <c r="F8" s="21"/>
      <c r="G8" s="21"/>
      <c r="H8" s="21"/>
      <c r="I8" s="420"/>
      <c r="J8" s="421">
        <f t="shared" si="1"/>
        <v>0</v>
      </c>
      <c r="K8" s="810"/>
    </row>
    <row r="9" spans="1:11" ht="33" customHeight="1">
      <c r="A9" s="417" t="s">
        <v>9</v>
      </c>
      <c r="B9" s="422" t="s">
        <v>543</v>
      </c>
      <c r="C9" s="423"/>
      <c r="D9" s="424">
        <f aca="true" t="shared" si="2" ref="D9:I9">SUM(D10:D11)</f>
        <v>0</v>
      </c>
      <c r="E9" s="424">
        <f t="shared" si="2"/>
        <v>0</v>
      </c>
      <c r="F9" s="424">
        <f t="shared" si="2"/>
        <v>0</v>
      </c>
      <c r="G9" s="424">
        <f t="shared" si="2"/>
        <v>0</v>
      </c>
      <c r="H9" s="424">
        <f t="shared" si="2"/>
        <v>0</v>
      </c>
      <c r="I9" s="425">
        <f t="shared" si="2"/>
        <v>0</v>
      </c>
      <c r="J9" s="426">
        <f t="shared" si="1"/>
        <v>0</v>
      </c>
      <c r="K9" s="810"/>
    </row>
    <row r="10" spans="1:11" ht="21" customHeight="1">
      <c r="A10" s="417" t="s">
        <v>10</v>
      </c>
      <c r="B10" s="418" t="s">
        <v>542</v>
      </c>
      <c r="C10" s="419"/>
      <c r="D10" s="21"/>
      <c r="E10" s="21"/>
      <c r="F10" s="21"/>
      <c r="G10" s="21"/>
      <c r="H10" s="21"/>
      <c r="I10" s="420"/>
      <c r="J10" s="421">
        <f t="shared" si="1"/>
        <v>0</v>
      </c>
      <c r="K10" s="810"/>
    </row>
    <row r="11" spans="1:11" ht="18" customHeight="1">
      <c r="A11" s="417" t="s">
        <v>11</v>
      </c>
      <c r="B11" s="418" t="s">
        <v>542</v>
      </c>
      <c r="C11" s="419"/>
      <c r="D11" s="21"/>
      <c r="E11" s="21"/>
      <c r="F11" s="21"/>
      <c r="G11" s="21"/>
      <c r="H11" s="21"/>
      <c r="I11" s="420"/>
      <c r="J11" s="421">
        <f t="shared" si="1"/>
        <v>0</v>
      </c>
      <c r="K11" s="810"/>
    </row>
    <row r="12" spans="1:11" ht="21" customHeight="1">
      <c r="A12" s="417" t="s">
        <v>12</v>
      </c>
      <c r="B12" s="427" t="s">
        <v>544</v>
      </c>
      <c r="C12" s="423"/>
      <c r="D12" s="424">
        <f aca="true" t="shared" si="3" ref="D12:I12">SUM(D13:D13)</f>
        <v>0</v>
      </c>
      <c r="E12" s="424">
        <f t="shared" si="3"/>
        <v>0</v>
      </c>
      <c r="F12" s="424">
        <f t="shared" si="3"/>
        <v>0</v>
      </c>
      <c r="G12" s="424">
        <f t="shared" si="3"/>
        <v>0</v>
      </c>
      <c r="H12" s="424">
        <f t="shared" si="3"/>
        <v>0</v>
      </c>
      <c r="I12" s="425">
        <f t="shared" si="3"/>
        <v>0</v>
      </c>
      <c r="J12" s="426">
        <f t="shared" si="1"/>
        <v>0</v>
      </c>
      <c r="K12" s="810"/>
    </row>
    <row r="13" spans="1:11" ht="21" customHeight="1">
      <c r="A13" s="417" t="s">
        <v>13</v>
      </c>
      <c r="B13" s="418" t="s">
        <v>542</v>
      </c>
      <c r="C13" s="419"/>
      <c r="D13" s="21"/>
      <c r="E13" s="21"/>
      <c r="F13" s="21"/>
      <c r="G13" s="21"/>
      <c r="H13" s="21"/>
      <c r="I13" s="420"/>
      <c r="J13" s="421">
        <f t="shared" si="1"/>
        <v>0</v>
      </c>
      <c r="K13" s="810"/>
    </row>
    <row r="14" spans="1:11" ht="21" customHeight="1">
      <c r="A14" s="417" t="s">
        <v>14</v>
      </c>
      <c r="B14" s="427" t="s">
        <v>545</v>
      </c>
      <c r="C14" s="423"/>
      <c r="D14" s="424">
        <f aca="true" t="shared" si="4" ref="D14:I14">SUM(D15:D15)</f>
        <v>0</v>
      </c>
      <c r="E14" s="424">
        <f t="shared" si="4"/>
        <v>0</v>
      </c>
      <c r="F14" s="424">
        <f t="shared" si="4"/>
        <v>0</v>
      </c>
      <c r="G14" s="424">
        <f t="shared" si="4"/>
        <v>0</v>
      </c>
      <c r="H14" s="424">
        <f t="shared" si="4"/>
        <v>0</v>
      </c>
      <c r="I14" s="425">
        <f t="shared" si="4"/>
        <v>0</v>
      </c>
      <c r="J14" s="426">
        <f t="shared" si="1"/>
        <v>0</v>
      </c>
      <c r="K14" s="810"/>
    </row>
    <row r="15" spans="1:11" ht="21" customHeight="1">
      <c r="A15" s="417" t="s">
        <v>15</v>
      </c>
      <c r="B15" s="418" t="s">
        <v>542</v>
      </c>
      <c r="C15" s="419"/>
      <c r="D15" s="21"/>
      <c r="E15" s="21"/>
      <c r="F15" s="21"/>
      <c r="G15" s="21"/>
      <c r="H15" s="21"/>
      <c r="I15" s="420"/>
      <c r="J15" s="421">
        <f t="shared" si="1"/>
        <v>0</v>
      </c>
      <c r="K15" s="810"/>
    </row>
    <row r="16" spans="1:11" ht="21" customHeight="1">
      <c r="A16" s="428" t="s">
        <v>16</v>
      </c>
      <c r="B16" s="429" t="s">
        <v>546</v>
      </c>
      <c r="C16" s="430"/>
      <c r="D16" s="431">
        <f aca="true" t="shared" si="5" ref="D16:I16">SUM(D17:D18)</f>
        <v>0</v>
      </c>
      <c r="E16" s="431">
        <f t="shared" si="5"/>
        <v>0</v>
      </c>
      <c r="F16" s="431">
        <f t="shared" si="5"/>
        <v>0</v>
      </c>
      <c r="G16" s="431">
        <f t="shared" si="5"/>
        <v>0</v>
      </c>
      <c r="H16" s="431">
        <f t="shared" si="5"/>
        <v>0</v>
      </c>
      <c r="I16" s="432">
        <f t="shared" si="5"/>
        <v>0</v>
      </c>
      <c r="J16" s="426">
        <f t="shared" si="1"/>
        <v>0</v>
      </c>
      <c r="K16" s="810"/>
    </row>
    <row r="17" spans="1:11" ht="21" customHeight="1">
      <c r="A17" s="428" t="s">
        <v>17</v>
      </c>
      <c r="B17" s="418" t="s">
        <v>542</v>
      </c>
      <c r="C17" s="419"/>
      <c r="D17" s="21"/>
      <c r="E17" s="21"/>
      <c r="F17" s="21"/>
      <c r="G17" s="21"/>
      <c r="H17" s="21"/>
      <c r="I17" s="420"/>
      <c r="J17" s="421">
        <f t="shared" si="1"/>
        <v>0</v>
      </c>
      <c r="K17" s="810"/>
    </row>
    <row r="18" spans="1:11" ht="21" customHeight="1" thickBot="1">
      <c r="A18" s="428" t="s">
        <v>18</v>
      </c>
      <c r="B18" s="418" t="s">
        <v>542</v>
      </c>
      <c r="C18" s="433"/>
      <c r="D18" s="434"/>
      <c r="E18" s="434"/>
      <c r="F18" s="434"/>
      <c r="G18" s="434"/>
      <c r="H18" s="434"/>
      <c r="I18" s="435"/>
      <c r="J18" s="421">
        <f t="shared" si="1"/>
        <v>0</v>
      </c>
      <c r="K18" s="810"/>
    </row>
    <row r="19" spans="1:11" ht="21" customHeight="1" thickBot="1">
      <c r="A19" s="436" t="s">
        <v>19</v>
      </c>
      <c r="B19" s="437" t="s">
        <v>547</v>
      </c>
      <c r="C19" s="438"/>
      <c r="D19" s="439">
        <f aca="true" t="shared" si="6" ref="D19:J19">D6+D9+D12+D14+D16</f>
        <v>0</v>
      </c>
      <c r="E19" s="439">
        <f t="shared" si="6"/>
        <v>0</v>
      </c>
      <c r="F19" s="439">
        <f t="shared" si="6"/>
        <v>0</v>
      </c>
      <c r="G19" s="439">
        <f t="shared" si="6"/>
        <v>0</v>
      </c>
      <c r="H19" s="439">
        <f t="shared" si="6"/>
        <v>0</v>
      </c>
      <c r="I19" s="440">
        <f t="shared" si="6"/>
        <v>0</v>
      </c>
      <c r="J19" s="441">
        <f t="shared" si="6"/>
        <v>0</v>
      </c>
      <c r="K19" s="810"/>
    </row>
  </sheetData>
  <sheetProtection sheet="1"/>
  <mergeCells count="8">
    <mergeCell ref="A1:J1"/>
    <mergeCell ref="K2:K19"/>
    <mergeCell ref="A3:A4"/>
    <mergeCell ref="B3:B4"/>
    <mergeCell ref="C3:C4"/>
    <mergeCell ref="D3:D4"/>
    <mergeCell ref="E3:E4"/>
    <mergeCell ref="J3:J4"/>
  </mergeCells>
  <printOptions horizontalCentered="1"/>
  <pageMargins left="0.7874015748031497" right="0.7874015748031497" top="1.39" bottom="0.984251968503937" header="0.7874015748031497" footer="0.7874015748031497"/>
  <pageSetup orientation="landscape" paperSize="9" scale="95" r:id="rId1"/>
</worksheet>
</file>

<file path=xl/worksheets/sheet34.xml><?xml version="1.0" encoding="utf-8"?>
<worksheet xmlns="http://schemas.openxmlformats.org/spreadsheetml/2006/main" xmlns:r="http://schemas.openxmlformats.org/officeDocument/2006/relationships">
  <sheetPr>
    <tabColor rgb="FF92D050"/>
  </sheetPr>
  <dimension ref="A1:I21"/>
  <sheetViews>
    <sheetView zoomScale="120" zoomScaleNormal="120" workbookViewId="0" topLeftCell="A1">
      <selection activeCell="N10" sqref="N10"/>
    </sheetView>
  </sheetViews>
  <sheetFormatPr defaultColWidth="9.00390625" defaultRowHeight="12.75"/>
  <cols>
    <col min="1" max="1" width="6.875" style="28" customWidth="1"/>
    <col min="2" max="2" width="50.375" style="27" customWidth="1"/>
    <col min="3" max="4" width="12.875" style="27" customWidth="1"/>
    <col min="5" max="5" width="14.875" style="27" customWidth="1"/>
    <col min="6" max="6" width="13.875" style="27" customWidth="1"/>
    <col min="7" max="7" width="15.50390625" style="27" customWidth="1"/>
    <col min="8" max="8" width="16.875" style="27" customWidth="1"/>
    <col min="9" max="9" width="5.625" style="27" customWidth="1"/>
    <col min="10" max="16384" width="9.375" style="27" customWidth="1"/>
  </cols>
  <sheetData>
    <row r="1" spans="1:8" ht="17.25" customHeight="1">
      <c r="A1" s="811" t="s">
        <v>822</v>
      </c>
      <c r="B1" s="896"/>
      <c r="C1" s="896"/>
      <c r="D1" s="896"/>
      <c r="E1" s="896"/>
      <c r="F1" s="896"/>
      <c r="G1" s="896"/>
      <c r="H1" s="896"/>
    </row>
    <row r="2" spans="1:8" ht="12.75">
      <c r="A2" s="341"/>
      <c r="B2" s="342"/>
      <c r="C2" s="342"/>
      <c r="D2" s="342"/>
      <c r="E2" s="342"/>
      <c r="F2" s="342"/>
      <c r="G2" s="342"/>
      <c r="H2" s="342"/>
    </row>
    <row r="3" spans="1:9" s="442" customFormat="1" ht="15.75" thickBot="1">
      <c r="A3" s="613"/>
      <c r="B3" s="340"/>
      <c r="C3" s="340"/>
      <c r="D3" s="340"/>
      <c r="E3" s="340"/>
      <c r="F3" s="340"/>
      <c r="G3" s="340"/>
      <c r="H3" s="350" t="str">
        <f>'Z_2.tájékoztató_t.'!J2</f>
        <v>Forintban!</v>
      </c>
      <c r="I3" s="904" t="str">
        <f>CONCATENATE("3. tájékoztató tábla ",Z_ALAPADATOK!A7," ",Z_ALAPADATOK!B7," ",Z_ALAPADATOK!C7," ",Z_ALAPADATOK!D7," ",Z_ALAPADATOK!E7," ",Z_ALAPADATOK!F7," ",Z_ALAPADATOK!G7," ",Z_ALAPADATOK!H7)</f>
        <v>3. tájékoztató tábla a 4 / 2020. ( VII.17. ) önkormányzati rendelethez</v>
      </c>
    </row>
    <row r="4" spans="1:9" s="401" customFormat="1" ht="26.25" customHeight="1">
      <c r="A4" s="905" t="s">
        <v>51</v>
      </c>
      <c r="B4" s="907" t="s">
        <v>548</v>
      </c>
      <c r="C4" s="905" t="s">
        <v>549</v>
      </c>
      <c r="D4" s="905" t="s">
        <v>550</v>
      </c>
      <c r="E4" s="909" t="str">
        <f>CONCATENATE("Hitel, kölcsön állomány ",Z_ALAPADATOK!B1,". dec. 31-én")</f>
        <v>Hitel, kölcsön állomány 2019. dec. 31-én</v>
      </c>
      <c r="F4" s="911" t="s">
        <v>551</v>
      </c>
      <c r="G4" s="912"/>
      <c r="H4" s="913" t="str">
        <f>CONCATENATE(G5," után")</f>
        <v>2021. után</v>
      </c>
      <c r="I4" s="904"/>
    </row>
    <row r="5" spans="1:9" s="405" customFormat="1" ht="40.5" customHeight="1" thickBot="1">
      <c r="A5" s="906"/>
      <c r="B5" s="908"/>
      <c r="C5" s="908"/>
      <c r="D5" s="906"/>
      <c r="E5" s="910"/>
      <c r="F5" s="614" t="str">
        <f>'Z_2.tájékoztató_t.'!F4</f>
        <v>2020.</v>
      </c>
      <c r="G5" s="615" t="str">
        <f>'Z_2.tájékoztató_t.'!G4</f>
        <v>2021.</v>
      </c>
      <c r="H5" s="914"/>
      <c r="I5" s="904"/>
    </row>
    <row r="6" spans="1:9" s="443" customFormat="1" ht="12.75" customHeight="1" thickBot="1">
      <c r="A6" s="616" t="s">
        <v>385</v>
      </c>
      <c r="B6" s="617" t="s">
        <v>386</v>
      </c>
      <c r="C6" s="617" t="s">
        <v>387</v>
      </c>
      <c r="D6" s="618" t="s">
        <v>389</v>
      </c>
      <c r="E6" s="616" t="s">
        <v>388</v>
      </c>
      <c r="F6" s="618" t="s">
        <v>390</v>
      </c>
      <c r="G6" s="618" t="s">
        <v>391</v>
      </c>
      <c r="H6" s="315" t="s">
        <v>392</v>
      </c>
      <c r="I6" s="904"/>
    </row>
    <row r="7" spans="1:9" ht="22.5" customHeight="1" thickBot="1">
      <c r="A7" s="444" t="s">
        <v>6</v>
      </c>
      <c r="B7" s="445" t="s">
        <v>552</v>
      </c>
      <c r="C7" s="446"/>
      <c r="D7" s="447"/>
      <c r="E7" s="448">
        <f>SUM(E8:E13)</f>
        <v>0</v>
      </c>
      <c r="F7" s="449">
        <f>SUM(F8:F13)</f>
        <v>0</v>
      </c>
      <c r="G7" s="449">
        <f>SUM(G8:G13)</f>
        <v>0</v>
      </c>
      <c r="H7" s="450">
        <f>SUM(H8:H13)</f>
        <v>0</v>
      </c>
      <c r="I7" s="904"/>
    </row>
    <row r="8" spans="1:9" ht="22.5" customHeight="1">
      <c r="A8" s="451" t="s">
        <v>7</v>
      </c>
      <c r="B8" s="452" t="s">
        <v>542</v>
      </c>
      <c r="C8" s="453"/>
      <c r="D8" s="454"/>
      <c r="E8" s="455"/>
      <c r="F8" s="21"/>
      <c r="G8" s="21"/>
      <c r="H8" s="456"/>
      <c r="I8" s="904"/>
    </row>
    <row r="9" spans="1:9" ht="22.5" customHeight="1">
      <c r="A9" s="451" t="s">
        <v>8</v>
      </c>
      <c r="B9" s="452" t="s">
        <v>542</v>
      </c>
      <c r="C9" s="453"/>
      <c r="D9" s="454"/>
      <c r="E9" s="455"/>
      <c r="F9" s="21"/>
      <c r="G9" s="21"/>
      <c r="H9" s="456"/>
      <c r="I9" s="904"/>
    </row>
    <row r="10" spans="1:9" ht="22.5" customHeight="1">
      <c r="A10" s="451" t="s">
        <v>9</v>
      </c>
      <c r="B10" s="452" t="s">
        <v>542</v>
      </c>
      <c r="C10" s="453"/>
      <c r="D10" s="454"/>
      <c r="E10" s="455"/>
      <c r="F10" s="21"/>
      <c r="G10" s="21"/>
      <c r="H10" s="456"/>
      <c r="I10" s="904"/>
    </row>
    <row r="11" spans="1:9" ht="22.5" customHeight="1">
      <c r="A11" s="451" t="s">
        <v>10</v>
      </c>
      <c r="B11" s="452" t="s">
        <v>542</v>
      </c>
      <c r="C11" s="453"/>
      <c r="D11" s="454"/>
      <c r="E11" s="455"/>
      <c r="F11" s="21"/>
      <c r="G11" s="21"/>
      <c r="H11" s="456"/>
      <c r="I11" s="904"/>
    </row>
    <row r="12" spans="1:9" ht="22.5" customHeight="1">
      <c r="A12" s="451" t="s">
        <v>11</v>
      </c>
      <c r="B12" s="452" t="s">
        <v>542</v>
      </c>
      <c r="C12" s="453"/>
      <c r="D12" s="454"/>
      <c r="E12" s="455"/>
      <c r="F12" s="21"/>
      <c r="G12" s="21"/>
      <c r="H12" s="456"/>
      <c r="I12" s="904"/>
    </row>
    <row r="13" spans="1:9" ht="22.5" customHeight="1" thickBot="1">
      <c r="A13" s="451" t="s">
        <v>12</v>
      </c>
      <c r="B13" s="452" t="s">
        <v>542</v>
      </c>
      <c r="C13" s="453"/>
      <c r="D13" s="454"/>
      <c r="E13" s="455"/>
      <c r="F13" s="21"/>
      <c r="G13" s="21"/>
      <c r="H13" s="456"/>
      <c r="I13" s="904"/>
    </row>
    <row r="14" spans="1:9" ht="22.5" customHeight="1" thickBot="1">
      <c r="A14" s="444" t="s">
        <v>13</v>
      </c>
      <c r="B14" s="445" t="s">
        <v>553</v>
      </c>
      <c r="C14" s="457"/>
      <c r="D14" s="458"/>
      <c r="E14" s="448">
        <f>SUM(E15:E20)</f>
        <v>0</v>
      </c>
      <c r="F14" s="449">
        <f>SUM(F15:F20)</f>
        <v>0</v>
      </c>
      <c r="G14" s="449">
        <f>SUM(G15:G20)</f>
        <v>0</v>
      </c>
      <c r="H14" s="450">
        <f>SUM(H15:H20)</f>
        <v>0</v>
      </c>
      <c r="I14" s="904"/>
    </row>
    <row r="15" spans="1:9" ht="22.5" customHeight="1">
      <c r="A15" s="451" t="s">
        <v>14</v>
      </c>
      <c r="B15" s="452" t="s">
        <v>542</v>
      </c>
      <c r="C15" s="453"/>
      <c r="D15" s="454"/>
      <c r="E15" s="455"/>
      <c r="F15" s="21"/>
      <c r="G15" s="21"/>
      <c r="H15" s="456"/>
      <c r="I15" s="904"/>
    </row>
    <row r="16" spans="1:9" ht="22.5" customHeight="1">
      <c r="A16" s="451" t="s">
        <v>15</v>
      </c>
      <c r="B16" s="452" t="s">
        <v>542</v>
      </c>
      <c r="C16" s="453"/>
      <c r="D16" s="454"/>
      <c r="E16" s="455"/>
      <c r="F16" s="21"/>
      <c r="G16" s="21"/>
      <c r="H16" s="456"/>
      <c r="I16" s="904"/>
    </row>
    <row r="17" spans="1:9" ht="22.5" customHeight="1">
      <c r="A17" s="451" t="s">
        <v>16</v>
      </c>
      <c r="B17" s="452" t="s">
        <v>542</v>
      </c>
      <c r="C17" s="453"/>
      <c r="D17" s="454"/>
      <c r="E17" s="455"/>
      <c r="F17" s="21"/>
      <c r="G17" s="21"/>
      <c r="H17" s="456"/>
      <c r="I17" s="904"/>
    </row>
    <row r="18" spans="1:9" ht="22.5" customHeight="1">
      <c r="A18" s="451" t="s">
        <v>17</v>
      </c>
      <c r="B18" s="452" t="s">
        <v>542</v>
      </c>
      <c r="C18" s="453"/>
      <c r="D18" s="454"/>
      <c r="E18" s="455"/>
      <c r="F18" s="21"/>
      <c r="G18" s="21"/>
      <c r="H18" s="456"/>
      <c r="I18" s="904"/>
    </row>
    <row r="19" spans="1:9" ht="22.5" customHeight="1">
      <c r="A19" s="451" t="s">
        <v>18</v>
      </c>
      <c r="B19" s="452" t="s">
        <v>542</v>
      </c>
      <c r="C19" s="453"/>
      <c r="D19" s="454"/>
      <c r="E19" s="455"/>
      <c r="F19" s="21"/>
      <c r="G19" s="21"/>
      <c r="H19" s="456"/>
      <c r="I19" s="904"/>
    </row>
    <row r="20" spans="1:9" ht="22.5" customHeight="1" thickBot="1">
      <c r="A20" s="451" t="s">
        <v>19</v>
      </c>
      <c r="B20" s="452" t="s">
        <v>542</v>
      </c>
      <c r="C20" s="453"/>
      <c r="D20" s="454"/>
      <c r="E20" s="455"/>
      <c r="F20" s="21"/>
      <c r="G20" s="21"/>
      <c r="H20" s="456"/>
      <c r="I20" s="904"/>
    </row>
    <row r="21" spans="1:9" ht="22.5" customHeight="1" thickBot="1">
      <c r="A21" s="444" t="s">
        <v>20</v>
      </c>
      <c r="B21" s="445" t="s">
        <v>554</v>
      </c>
      <c r="C21" s="446"/>
      <c r="D21" s="447"/>
      <c r="E21" s="448">
        <f>E7+E14</f>
        <v>0</v>
      </c>
      <c r="F21" s="449">
        <f>F7+F14</f>
        <v>0</v>
      </c>
      <c r="G21" s="449">
        <f>G7+G14</f>
        <v>0</v>
      </c>
      <c r="H21" s="450">
        <f>H7+H14</f>
        <v>0</v>
      </c>
      <c r="I21" s="904"/>
    </row>
    <row r="22" ht="19.5" customHeight="1"/>
  </sheetData>
  <sheetProtection sheet="1"/>
  <mergeCells count="9">
    <mergeCell ref="A1:H1"/>
    <mergeCell ref="I3:I21"/>
    <mergeCell ref="A4:A5"/>
    <mergeCell ref="B4:B5"/>
    <mergeCell ref="C4:C5"/>
    <mergeCell ref="D4:D5"/>
    <mergeCell ref="E4:E5"/>
    <mergeCell ref="F4:G4"/>
    <mergeCell ref="H4:H5"/>
  </mergeCells>
  <printOptions horizontalCentered="1"/>
  <pageMargins left="0.5905511811023623" right="0.5905511811023623" top="0.7874015748031497" bottom="0.7874015748031497" header="0.3937007874015748" footer="0.3937007874015748"/>
  <pageSetup orientation="landscape" paperSize="9" scale="95" r:id="rId1"/>
</worksheet>
</file>

<file path=xl/worksheets/sheet35.xml><?xml version="1.0" encoding="utf-8"?>
<worksheet xmlns="http://schemas.openxmlformats.org/spreadsheetml/2006/main" xmlns:r="http://schemas.openxmlformats.org/officeDocument/2006/relationships">
  <sheetPr>
    <tabColor rgb="FF92D050"/>
  </sheetPr>
  <dimension ref="A1:J19"/>
  <sheetViews>
    <sheetView zoomScale="120" zoomScaleNormal="120" workbookViewId="0" topLeftCell="A1">
      <selection activeCell="M14" sqref="M14"/>
    </sheetView>
  </sheetViews>
  <sheetFormatPr defaultColWidth="9.00390625" defaultRowHeight="12.75"/>
  <cols>
    <col min="1" max="1" width="5.50390625" style="31" customWidth="1"/>
    <col min="2" max="2" width="36.875" style="31" customWidth="1"/>
    <col min="3" max="8" width="13.875" style="31" customWidth="1"/>
    <col min="9" max="9" width="15.125" style="31" customWidth="1"/>
    <col min="10" max="10" width="5.00390625" style="31" customWidth="1"/>
    <col min="11" max="16384" width="9.375" style="31" customWidth="1"/>
  </cols>
  <sheetData>
    <row r="1" spans="1:10" ht="34.5" customHeight="1">
      <c r="A1" s="915" t="str">
        <f>CONCATENATE("Adósság állomány alakulása lejárat, eszközök, bel- és külföldi hitelezők szerinti bontásban
",Z_ALAPADATOK!B1,". december 31-én")</f>
        <v>Adósság állomány alakulása lejárat, eszközök, bel- és külföldi hitelezők szerinti bontásban
2019. december 31-én</v>
      </c>
      <c r="B1" s="916"/>
      <c r="C1" s="916"/>
      <c r="D1" s="916"/>
      <c r="E1" s="916"/>
      <c r="F1" s="916"/>
      <c r="G1" s="916"/>
      <c r="H1" s="916"/>
      <c r="I1" s="916"/>
      <c r="J1" s="904" t="str">
        <f>CONCATENATE("4. tájékoztató tábla ",Z_ALAPADATOK!A7," ",Z_ALAPADATOK!B7," ",Z_ALAPADATOK!C7," ",Z_ALAPADATOK!D7," ",Z_ALAPADATOK!E7," ",Z_ALAPADATOK!F7," ",Z_ALAPADATOK!G7," ",Z_ALAPADATOK!H7)</f>
        <v>4. tájékoztató tábla a 4 / 2020. ( VII.17. ) önkormányzati rendelethez</v>
      </c>
    </row>
    <row r="2" spans="1:10" ht="14.25" thickBot="1">
      <c r="A2" s="69"/>
      <c r="B2" s="69"/>
      <c r="C2" s="69"/>
      <c r="D2" s="69"/>
      <c r="E2" s="69"/>
      <c r="F2" s="69"/>
      <c r="G2" s="69"/>
      <c r="H2" s="917" t="str">
        <f>'Z_3.tájékoztató_t.'!H3</f>
        <v>Forintban!</v>
      </c>
      <c r="I2" s="917"/>
      <c r="J2" s="904"/>
    </row>
    <row r="3" spans="1:10" ht="13.5" thickBot="1">
      <c r="A3" s="918" t="s">
        <v>4</v>
      </c>
      <c r="B3" s="920" t="s">
        <v>555</v>
      </c>
      <c r="C3" s="922" t="s">
        <v>556</v>
      </c>
      <c r="D3" s="924" t="s">
        <v>557</v>
      </c>
      <c r="E3" s="925"/>
      <c r="F3" s="925"/>
      <c r="G3" s="925"/>
      <c r="H3" s="925"/>
      <c r="I3" s="926" t="s">
        <v>860</v>
      </c>
      <c r="J3" s="904"/>
    </row>
    <row r="4" spans="1:10" s="47" customFormat="1" ht="42" customHeight="1" thickBot="1">
      <c r="A4" s="919"/>
      <c r="B4" s="921"/>
      <c r="C4" s="923"/>
      <c r="D4" s="333" t="s">
        <v>558</v>
      </c>
      <c r="E4" s="333" t="s">
        <v>559</v>
      </c>
      <c r="F4" s="333" t="s">
        <v>560</v>
      </c>
      <c r="G4" s="619" t="s">
        <v>561</v>
      </c>
      <c r="H4" s="619" t="s">
        <v>562</v>
      </c>
      <c r="I4" s="927"/>
      <c r="J4" s="904"/>
    </row>
    <row r="5" spans="1:10" s="47" customFormat="1" ht="12" customHeight="1" thickBot="1">
      <c r="A5" s="364" t="s">
        <v>385</v>
      </c>
      <c r="B5" s="365" t="s">
        <v>386</v>
      </c>
      <c r="C5" s="365" t="s">
        <v>387</v>
      </c>
      <c r="D5" s="365" t="s">
        <v>389</v>
      </c>
      <c r="E5" s="365" t="s">
        <v>388</v>
      </c>
      <c r="F5" s="365" t="s">
        <v>390</v>
      </c>
      <c r="G5" s="365" t="s">
        <v>391</v>
      </c>
      <c r="H5" s="365" t="s">
        <v>563</v>
      </c>
      <c r="I5" s="367" t="s">
        <v>564</v>
      </c>
      <c r="J5" s="904"/>
    </row>
    <row r="6" spans="1:10" s="47" customFormat="1" ht="18" customHeight="1">
      <c r="A6" s="928" t="s">
        <v>565</v>
      </c>
      <c r="B6" s="929"/>
      <c r="C6" s="929"/>
      <c r="D6" s="929"/>
      <c r="E6" s="929"/>
      <c r="F6" s="929"/>
      <c r="G6" s="929"/>
      <c r="H6" s="929"/>
      <c r="I6" s="930"/>
      <c r="J6" s="904"/>
    </row>
    <row r="7" spans="1:10" ht="15.75" customHeight="1">
      <c r="A7" s="98" t="s">
        <v>6</v>
      </c>
      <c r="B7" s="79" t="s">
        <v>566</v>
      </c>
      <c r="C7" s="70"/>
      <c r="D7" s="70"/>
      <c r="E7" s="70"/>
      <c r="F7" s="70"/>
      <c r="G7" s="459"/>
      <c r="H7" s="460">
        <f aca="true" t="shared" si="0" ref="H7:H13">SUM(D7:G7)</f>
        <v>0</v>
      </c>
      <c r="I7" s="99">
        <f aca="true" t="shared" si="1" ref="I7:I13">C7+H7</f>
        <v>0</v>
      </c>
      <c r="J7" s="904"/>
    </row>
    <row r="8" spans="1:10" ht="22.5">
      <c r="A8" s="98" t="s">
        <v>7</v>
      </c>
      <c r="B8" s="79" t="s">
        <v>137</v>
      </c>
      <c r="C8" s="70"/>
      <c r="D8" s="70"/>
      <c r="E8" s="70"/>
      <c r="F8" s="70"/>
      <c r="G8" s="459"/>
      <c r="H8" s="460">
        <f t="shared" si="0"/>
        <v>0</v>
      </c>
      <c r="I8" s="99">
        <f t="shared" si="1"/>
        <v>0</v>
      </c>
      <c r="J8" s="904"/>
    </row>
    <row r="9" spans="1:10" ht="22.5">
      <c r="A9" s="98" t="s">
        <v>8</v>
      </c>
      <c r="B9" s="79" t="s">
        <v>138</v>
      </c>
      <c r="C9" s="70"/>
      <c r="D9" s="70"/>
      <c r="E9" s="70"/>
      <c r="F9" s="70"/>
      <c r="G9" s="459"/>
      <c r="H9" s="460">
        <f t="shared" si="0"/>
        <v>0</v>
      </c>
      <c r="I9" s="99">
        <f t="shared" si="1"/>
        <v>0</v>
      </c>
      <c r="J9" s="904"/>
    </row>
    <row r="10" spans="1:10" ht="15.75" customHeight="1">
      <c r="A10" s="98" t="s">
        <v>9</v>
      </c>
      <c r="B10" s="79" t="s">
        <v>139</v>
      </c>
      <c r="C10" s="70"/>
      <c r="D10" s="70"/>
      <c r="E10" s="70"/>
      <c r="F10" s="70"/>
      <c r="G10" s="459"/>
      <c r="H10" s="460">
        <f t="shared" si="0"/>
        <v>0</v>
      </c>
      <c r="I10" s="99">
        <f t="shared" si="1"/>
        <v>0</v>
      </c>
      <c r="J10" s="904"/>
    </row>
    <row r="11" spans="1:10" ht="22.5">
      <c r="A11" s="98" t="s">
        <v>10</v>
      </c>
      <c r="B11" s="79" t="s">
        <v>140</v>
      </c>
      <c r="C11" s="70"/>
      <c r="D11" s="70"/>
      <c r="E11" s="70"/>
      <c r="F11" s="70"/>
      <c r="G11" s="459"/>
      <c r="H11" s="460">
        <f t="shared" si="0"/>
        <v>0</v>
      </c>
      <c r="I11" s="99">
        <f t="shared" si="1"/>
        <v>0</v>
      </c>
      <c r="J11" s="904"/>
    </row>
    <row r="12" spans="1:10" ht="15.75" customHeight="1">
      <c r="A12" s="100" t="s">
        <v>11</v>
      </c>
      <c r="B12" s="101" t="s">
        <v>567</v>
      </c>
      <c r="C12" s="71"/>
      <c r="D12" s="71"/>
      <c r="E12" s="71"/>
      <c r="F12" s="71"/>
      <c r="G12" s="461"/>
      <c r="H12" s="460">
        <f t="shared" si="0"/>
        <v>0</v>
      </c>
      <c r="I12" s="99">
        <f t="shared" si="1"/>
        <v>0</v>
      </c>
      <c r="J12" s="904"/>
    </row>
    <row r="13" spans="1:10" ht="15.75" customHeight="1" thickBot="1">
      <c r="A13" s="462" t="s">
        <v>12</v>
      </c>
      <c r="B13" s="463" t="s">
        <v>568</v>
      </c>
      <c r="C13" s="464"/>
      <c r="D13" s="464"/>
      <c r="E13" s="464"/>
      <c r="F13" s="464"/>
      <c r="G13" s="465"/>
      <c r="H13" s="460">
        <f t="shared" si="0"/>
        <v>0</v>
      </c>
      <c r="I13" s="99">
        <f t="shared" si="1"/>
        <v>0</v>
      </c>
      <c r="J13" s="904"/>
    </row>
    <row r="14" spans="1:10" s="72" customFormat="1" ht="18" customHeight="1" thickBot="1">
      <c r="A14" s="931" t="s">
        <v>569</v>
      </c>
      <c r="B14" s="932"/>
      <c r="C14" s="102">
        <f aca="true" t="shared" si="2" ref="C14:I14">SUM(C7:C13)</f>
        <v>0</v>
      </c>
      <c r="D14" s="102">
        <f>SUM(D7:D13)</f>
        <v>0</v>
      </c>
      <c r="E14" s="102">
        <f t="shared" si="2"/>
        <v>0</v>
      </c>
      <c r="F14" s="102">
        <f t="shared" si="2"/>
        <v>0</v>
      </c>
      <c r="G14" s="466">
        <f t="shared" si="2"/>
        <v>0</v>
      </c>
      <c r="H14" s="466">
        <f t="shared" si="2"/>
        <v>0</v>
      </c>
      <c r="I14" s="103">
        <f t="shared" si="2"/>
        <v>0</v>
      </c>
      <c r="J14" s="904"/>
    </row>
    <row r="15" spans="1:10" s="69" customFormat="1" ht="18" customHeight="1">
      <c r="A15" s="933" t="s">
        <v>570</v>
      </c>
      <c r="B15" s="934"/>
      <c r="C15" s="934"/>
      <c r="D15" s="934"/>
      <c r="E15" s="934"/>
      <c r="F15" s="934"/>
      <c r="G15" s="934"/>
      <c r="H15" s="934"/>
      <c r="I15" s="935"/>
      <c r="J15" s="904"/>
    </row>
    <row r="16" spans="1:10" s="69" customFormat="1" ht="12.75">
      <c r="A16" s="98" t="s">
        <v>6</v>
      </c>
      <c r="B16" s="79" t="s">
        <v>571</v>
      </c>
      <c r="C16" s="70"/>
      <c r="D16" s="70"/>
      <c r="E16" s="70"/>
      <c r="F16" s="70"/>
      <c r="G16" s="459"/>
      <c r="H16" s="460">
        <f>SUM(D16:G16)</f>
        <v>0</v>
      </c>
      <c r="I16" s="99">
        <f>C16+H16</f>
        <v>0</v>
      </c>
      <c r="J16" s="904"/>
    </row>
    <row r="17" spans="1:10" ht="13.5" thickBot="1">
      <c r="A17" s="462" t="s">
        <v>7</v>
      </c>
      <c r="B17" s="463" t="s">
        <v>568</v>
      </c>
      <c r="C17" s="464"/>
      <c r="D17" s="464"/>
      <c r="E17" s="464"/>
      <c r="F17" s="464"/>
      <c r="G17" s="465"/>
      <c r="H17" s="460">
        <f>SUM(D17:G17)</f>
        <v>0</v>
      </c>
      <c r="I17" s="467">
        <f>C17+H17</f>
        <v>0</v>
      </c>
      <c r="J17" s="904"/>
    </row>
    <row r="18" spans="1:10" ht="15.75" customHeight="1" thickBot="1">
      <c r="A18" s="931" t="s">
        <v>572</v>
      </c>
      <c r="B18" s="932"/>
      <c r="C18" s="102">
        <f aca="true" t="shared" si="3" ref="C18:I18">SUM(C16:C17)</f>
        <v>0</v>
      </c>
      <c r="D18" s="102">
        <f t="shared" si="3"/>
        <v>0</v>
      </c>
      <c r="E18" s="102">
        <f t="shared" si="3"/>
        <v>0</v>
      </c>
      <c r="F18" s="102">
        <f t="shared" si="3"/>
        <v>0</v>
      </c>
      <c r="G18" s="466">
        <f t="shared" si="3"/>
        <v>0</v>
      </c>
      <c r="H18" s="466">
        <f t="shared" si="3"/>
        <v>0</v>
      </c>
      <c r="I18" s="103">
        <f t="shared" si="3"/>
        <v>0</v>
      </c>
      <c r="J18" s="904"/>
    </row>
    <row r="19" spans="1:10" ht="18" customHeight="1" thickBot="1">
      <c r="A19" s="936" t="s">
        <v>573</v>
      </c>
      <c r="B19" s="937"/>
      <c r="C19" s="468">
        <f aca="true" t="shared" si="4" ref="C19:I19">C14+C18</f>
        <v>0</v>
      </c>
      <c r="D19" s="468">
        <f t="shared" si="4"/>
        <v>0</v>
      </c>
      <c r="E19" s="468">
        <f t="shared" si="4"/>
        <v>0</v>
      </c>
      <c r="F19" s="468">
        <f t="shared" si="4"/>
        <v>0</v>
      </c>
      <c r="G19" s="468">
        <f t="shared" si="4"/>
        <v>0</v>
      </c>
      <c r="H19" s="468">
        <f t="shared" si="4"/>
        <v>0</v>
      </c>
      <c r="I19" s="103">
        <f t="shared" si="4"/>
        <v>0</v>
      </c>
      <c r="J19" s="904"/>
    </row>
  </sheetData>
  <sheetProtection sheet="1"/>
  <mergeCells count="13">
    <mergeCell ref="A15:I15"/>
    <mergeCell ref="A18:B18"/>
    <mergeCell ref="A19:B19"/>
    <mergeCell ref="A1:I1"/>
    <mergeCell ref="J1:J19"/>
    <mergeCell ref="H2:I2"/>
    <mergeCell ref="A3:A4"/>
    <mergeCell ref="B3:B4"/>
    <mergeCell ref="C3:C4"/>
    <mergeCell ref="D3:H3"/>
    <mergeCell ref="I3:I4"/>
    <mergeCell ref="A6:I6"/>
    <mergeCell ref="A14:B14"/>
  </mergeCells>
  <printOptions horizontalCentered="1"/>
  <pageMargins left="0.5905511811023623" right="0.5905511811023623" top="1.1811023622047245" bottom="0.7874015748031497" header="0.5905511811023623" footer="0.5905511811023623"/>
  <pageSetup orientation="landscape" paperSize="9" r:id="rId1"/>
  <headerFooter alignWithMargins="0">
    <oddHeader>&amp;C&amp;"Times New Roman CE,Félkövér dőlt"&amp;12
</oddHeader>
  </headerFooter>
</worksheet>
</file>

<file path=xl/worksheets/sheet36.xml><?xml version="1.0" encoding="utf-8"?>
<worksheet xmlns="http://schemas.openxmlformats.org/spreadsheetml/2006/main" xmlns:r="http://schemas.openxmlformats.org/officeDocument/2006/relationships">
  <sheetPr>
    <tabColor rgb="FF92D050"/>
  </sheetPr>
  <dimension ref="A1:D34"/>
  <sheetViews>
    <sheetView zoomScale="120" zoomScaleNormal="120" workbookViewId="0" topLeftCell="A1">
      <selection activeCell="D19" sqref="D19"/>
    </sheetView>
  </sheetViews>
  <sheetFormatPr defaultColWidth="9.00390625" defaultRowHeight="12.75"/>
  <cols>
    <col min="1" max="1" width="5.875" style="486" customWidth="1"/>
    <col min="2" max="2" width="55.875" style="2" customWidth="1"/>
    <col min="3" max="4" width="14.875" style="2" customWidth="1"/>
    <col min="5" max="16384" width="9.375" style="2" customWidth="1"/>
  </cols>
  <sheetData>
    <row r="1" spans="1:4" ht="15">
      <c r="A1" s="939" t="str">
        <f>CONCATENATE("5. tájékoztató tábla ",Z_ALAPADATOK!A7," ",Z_ALAPADATOK!B7," ",Z_ALAPADATOK!C7," ",Z_ALAPADATOK!D7," ",Z_ALAPADATOK!E7," ",Z_ALAPADATOK!F7," ",Z_ALAPADATOK!G7," ",Z_ALAPADATOK!H7)</f>
        <v>5. tájékoztató tábla a 4 / 2020. ( VII.17. ) önkormányzati rendelethez</v>
      </c>
      <c r="B1" s="813"/>
      <c r="C1" s="813"/>
      <c r="D1" s="813"/>
    </row>
    <row r="2" spans="1:4" ht="12.75">
      <c r="A2" s="621"/>
      <c r="B2" s="622"/>
      <c r="C2" s="622"/>
      <c r="D2" s="622"/>
    </row>
    <row r="3" spans="1:4" ht="15.75">
      <c r="A3" s="915" t="s">
        <v>764</v>
      </c>
      <c r="B3" s="896"/>
      <c r="C3" s="896"/>
      <c r="D3" s="896"/>
    </row>
    <row r="4" spans="1:4" ht="15.75">
      <c r="A4" s="915" t="s">
        <v>765</v>
      </c>
      <c r="B4" s="896"/>
      <c r="C4" s="896"/>
      <c r="D4" s="896"/>
    </row>
    <row r="5" spans="1:4" s="442" customFormat="1" ht="15.75" thickBot="1">
      <c r="A5" s="613"/>
      <c r="B5" s="340"/>
      <c r="C5" s="340"/>
      <c r="D5" s="350" t="str">
        <f>'Z_3.tájékoztató_t.'!H3</f>
        <v>Forintban!</v>
      </c>
    </row>
    <row r="6" spans="1:4" s="47" customFormat="1" ht="48" customHeight="1" thickBot="1">
      <c r="A6" s="326" t="s">
        <v>4</v>
      </c>
      <c r="B6" s="333" t="s">
        <v>5</v>
      </c>
      <c r="C6" s="333" t="s">
        <v>574</v>
      </c>
      <c r="D6" s="623" t="s">
        <v>575</v>
      </c>
    </row>
    <row r="7" spans="1:4" s="47" customFormat="1" ht="13.5" customHeight="1" thickBot="1">
      <c r="A7" s="624" t="s">
        <v>385</v>
      </c>
      <c r="B7" s="625" t="s">
        <v>386</v>
      </c>
      <c r="C7" s="625" t="s">
        <v>387</v>
      </c>
      <c r="D7" s="626" t="s">
        <v>389</v>
      </c>
    </row>
    <row r="8" spans="1:4" ht="18" customHeight="1">
      <c r="A8" s="469" t="s">
        <v>6</v>
      </c>
      <c r="B8" s="470" t="s">
        <v>576</v>
      </c>
      <c r="C8" s="471"/>
      <c r="D8" s="472"/>
    </row>
    <row r="9" spans="1:4" ht="18" customHeight="1">
      <c r="A9" s="473" t="s">
        <v>7</v>
      </c>
      <c r="B9" s="474" t="s">
        <v>577</v>
      </c>
      <c r="C9" s="475"/>
      <c r="D9" s="476"/>
    </row>
    <row r="10" spans="1:4" ht="18" customHeight="1">
      <c r="A10" s="473" t="s">
        <v>8</v>
      </c>
      <c r="B10" s="474" t="s">
        <v>578</v>
      </c>
      <c r="C10" s="475"/>
      <c r="D10" s="476"/>
    </row>
    <row r="11" spans="1:4" ht="18" customHeight="1">
      <c r="A11" s="473" t="s">
        <v>9</v>
      </c>
      <c r="B11" s="474" t="s">
        <v>579</v>
      </c>
      <c r="C11" s="475"/>
      <c r="D11" s="476"/>
    </row>
    <row r="12" spans="1:4" ht="18" customHeight="1">
      <c r="A12" s="477" t="s">
        <v>10</v>
      </c>
      <c r="B12" s="474" t="s">
        <v>580</v>
      </c>
      <c r="C12" s="475">
        <v>510000</v>
      </c>
      <c r="D12" s="476">
        <v>510000</v>
      </c>
    </row>
    <row r="13" spans="1:4" ht="18" customHeight="1">
      <c r="A13" s="473" t="s">
        <v>11</v>
      </c>
      <c r="B13" s="474" t="s">
        <v>581</v>
      </c>
      <c r="C13" s="475"/>
      <c r="D13" s="476"/>
    </row>
    <row r="14" spans="1:4" ht="18" customHeight="1">
      <c r="A14" s="477" t="s">
        <v>12</v>
      </c>
      <c r="B14" s="478" t="s">
        <v>582</v>
      </c>
      <c r="C14" s="475"/>
      <c r="D14" s="476"/>
    </row>
    <row r="15" spans="1:4" ht="18" customHeight="1">
      <c r="A15" s="477" t="s">
        <v>13</v>
      </c>
      <c r="B15" s="478" t="s">
        <v>583</v>
      </c>
      <c r="C15" s="475"/>
      <c r="D15" s="476"/>
    </row>
    <row r="16" spans="1:4" ht="18" customHeight="1">
      <c r="A16" s="473" t="s">
        <v>14</v>
      </c>
      <c r="B16" s="478" t="s">
        <v>584</v>
      </c>
      <c r="C16" s="475"/>
      <c r="D16" s="476"/>
    </row>
    <row r="17" spans="1:4" ht="18" customHeight="1">
      <c r="A17" s="477" t="s">
        <v>15</v>
      </c>
      <c r="B17" s="478" t="s">
        <v>585</v>
      </c>
      <c r="C17" s="475"/>
      <c r="D17" s="476"/>
    </row>
    <row r="18" spans="1:4" ht="22.5">
      <c r="A18" s="473" t="s">
        <v>16</v>
      </c>
      <c r="B18" s="478" t="s">
        <v>586</v>
      </c>
      <c r="C18" s="475">
        <v>510000</v>
      </c>
      <c r="D18" s="476">
        <v>510000</v>
      </c>
    </row>
    <row r="19" spans="1:4" ht="18" customHeight="1">
      <c r="A19" s="477" t="s">
        <v>17</v>
      </c>
      <c r="B19" s="474" t="s">
        <v>587</v>
      </c>
      <c r="C19" s="475">
        <v>140000</v>
      </c>
      <c r="D19" s="476">
        <v>140000</v>
      </c>
    </row>
    <row r="20" spans="1:4" ht="18" customHeight="1">
      <c r="A20" s="473" t="s">
        <v>18</v>
      </c>
      <c r="B20" s="474" t="s">
        <v>588</v>
      </c>
      <c r="C20" s="475"/>
      <c r="D20" s="476"/>
    </row>
    <row r="21" spans="1:4" ht="18" customHeight="1">
      <c r="A21" s="477" t="s">
        <v>19</v>
      </c>
      <c r="B21" s="474" t="s">
        <v>589</v>
      </c>
      <c r="C21" s="475"/>
      <c r="D21" s="476"/>
    </row>
    <row r="22" spans="1:4" ht="18" customHeight="1">
      <c r="A22" s="473" t="s">
        <v>20</v>
      </c>
      <c r="B22" s="474" t="s">
        <v>590</v>
      </c>
      <c r="C22" s="475"/>
      <c r="D22" s="476"/>
    </row>
    <row r="23" spans="1:4" ht="18" customHeight="1">
      <c r="A23" s="477" t="s">
        <v>21</v>
      </c>
      <c r="B23" s="474" t="s">
        <v>591</v>
      </c>
      <c r="C23" s="475"/>
      <c r="D23" s="476"/>
    </row>
    <row r="24" spans="1:4" ht="18" customHeight="1">
      <c r="A24" s="473" t="s">
        <v>22</v>
      </c>
      <c r="B24" s="479"/>
      <c r="C24" s="475"/>
      <c r="D24" s="476"/>
    </row>
    <row r="25" spans="1:4" ht="18" customHeight="1">
      <c r="A25" s="477" t="s">
        <v>23</v>
      </c>
      <c r="B25" s="479"/>
      <c r="C25" s="475"/>
      <c r="D25" s="476"/>
    </row>
    <row r="26" spans="1:4" ht="18" customHeight="1">
      <c r="A26" s="473" t="s">
        <v>24</v>
      </c>
      <c r="B26" s="479"/>
      <c r="C26" s="475"/>
      <c r="D26" s="476"/>
    </row>
    <row r="27" spans="1:4" ht="18" customHeight="1">
      <c r="A27" s="477" t="s">
        <v>25</v>
      </c>
      <c r="B27" s="479"/>
      <c r="C27" s="475"/>
      <c r="D27" s="476"/>
    </row>
    <row r="28" spans="1:4" ht="18" customHeight="1">
      <c r="A28" s="473" t="s">
        <v>26</v>
      </c>
      <c r="B28" s="479"/>
      <c r="C28" s="475"/>
      <c r="D28" s="476"/>
    </row>
    <row r="29" spans="1:4" ht="18" customHeight="1">
      <c r="A29" s="477" t="s">
        <v>27</v>
      </c>
      <c r="B29" s="479"/>
      <c r="C29" s="475"/>
      <c r="D29" s="476"/>
    </row>
    <row r="30" spans="1:4" ht="18" customHeight="1">
      <c r="A30" s="473" t="s">
        <v>28</v>
      </c>
      <c r="B30" s="479"/>
      <c r="C30" s="475"/>
      <c r="D30" s="476"/>
    </row>
    <row r="31" spans="1:4" ht="18" customHeight="1">
      <c r="A31" s="477" t="s">
        <v>29</v>
      </c>
      <c r="B31" s="479"/>
      <c r="C31" s="475"/>
      <c r="D31" s="476"/>
    </row>
    <row r="32" spans="1:4" ht="18" customHeight="1" thickBot="1">
      <c r="A32" s="480" t="s">
        <v>30</v>
      </c>
      <c r="B32" s="481"/>
      <c r="C32" s="482"/>
      <c r="D32" s="483"/>
    </row>
    <row r="33" spans="1:4" ht="18" customHeight="1" thickBot="1">
      <c r="A33" s="484" t="s">
        <v>31</v>
      </c>
      <c r="B33" s="620" t="s">
        <v>37</v>
      </c>
      <c r="C33" s="449">
        <f>+C8+C9+C10+C11+C12+C19+C20+C21+C22+C23+C24+C25+C26+C27+C28+C29+C30+C31+C32</f>
        <v>650000</v>
      </c>
      <c r="D33" s="450">
        <f>+D8+D9+D10+D11+D12+D19+D20+D21+D22+D23+D24+D25+D26+D27+D28+D29+D30+D31+D32</f>
        <v>650000</v>
      </c>
    </row>
    <row r="34" spans="1:4" ht="25.5" customHeight="1">
      <c r="A34" s="485"/>
      <c r="B34" s="938" t="s">
        <v>592</v>
      </c>
      <c r="C34" s="938"/>
      <c r="D34" s="938"/>
    </row>
  </sheetData>
  <sheetProtection sheet="1"/>
  <mergeCells count="4">
    <mergeCell ref="B34:D34"/>
    <mergeCell ref="A1:D1"/>
    <mergeCell ref="A3:D3"/>
    <mergeCell ref="A4:D4"/>
  </mergeCells>
  <printOptions horizontalCentered="1"/>
  <pageMargins left="0.7874015748031497" right="0.7874015748031497" top="0.984251968503937" bottom="0.984251968503937" header="0.7874015748031497" footer="0.7874015748031497"/>
  <pageSetup orientation="portrait" paperSize="9" scale="95" r:id="rId1"/>
</worksheet>
</file>

<file path=xl/worksheets/sheet37.xml><?xml version="1.0" encoding="utf-8"?>
<worksheet xmlns="http://schemas.openxmlformats.org/spreadsheetml/2006/main" xmlns:r="http://schemas.openxmlformats.org/officeDocument/2006/relationships">
  <sheetPr>
    <tabColor rgb="FF92D050"/>
  </sheetPr>
  <dimension ref="A1:E41"/>
  <sheetViews>
    <sheetView zoomScale="112" zoomScaleNormal="112" workbookViewId="0" topLeftCell="A19">
      <selection activeCell="K32" sqref="K32"/>
    </sheetView>
  </sheetViews>
  <sheetFormatPr defaultColWidth="9.00390625" defaultRowHeight="12.75"/>
  <cols>
    <col min="1" max="1" width="6.625" style="31" customWidth="1"/>
    <col min="2" max="2" width="46.00390625" style="31" customWidth="1"/>
    <col min="3" max="3" width="20.875" style="31" customWidth="1"/>
    <col min="4" max="5" width="12.875" style="31" customWidth="1"/>
    <col min="6" max="16384" width="9.375" style="31" customWidth="1"/>
  </cols>
  <sheetData>
    <row r="1" spans="1:5" ht="15">
      <c r="A1" s="942" t="str">
        <f>CONCATENATE("6. tájékoztató tábla ",Z_ALAPADATOK!A7," ",Z_ALAPADATOK!B7," ",Z_ALAPADATOK!C7," ",Z_ALAPADATOK!D7," ",Z_ALAPADATOK!E7," ",Z_ALAPADATOK!F7," ",Z_ALAPADATOK!G7," ",Z_ALAPADATOK!H7)</f>
        <v>6. tájékoztató tábla a 4 / 2020. ( VII.17. ) önkormányzati rendelethez</v>
      </c>
      <c r="B1" s="942"/>
      <c r="C1" s="942"/>
      <c r="D1" s="942"/>
      <c r="E1" s="942"/>
    </row>
    <row r="2" spans="1:5" ht="12.75">
      <c r="A2" s="69"/>
      <c r="B2" s="69"/>
      <c r="C2" s="69"/>
      <c r="D2" s="69"/>
      <c r="E2" s="69"/>
    </row>
    <row r="3" spans="1:5" ht="15.75">
      <c r="A3" s="943" t="s">
        <v>766</v>
      </c>
      <c r="B3" s="943"/>
      <c r="C3" s="943"/>
      <c r="D3" s="943"/>
      <c r="E3" s="943"/>
    </row>
    <row r="4" spans="1:5" ht="15.75">
      <c r="A4" s="943" t="str">
        <f>CONCATENATE("A ",Z_ALAPADATOK!B1,". évi céljelleggel juttatott támogatások felhasználásáról")</f>
        <v>A 2019. évi céljelleggel juttatott támogatások felhasználásáról</v>
      </c>
      <c r="B4" s="943"/>
      <c r="C4" s="943"/>
      <c r="D4" s="943"/>
      <c r="E4" s="943"/>
    </row>
    <row r="5" spans="1:5" ht="12.75">
      <c r="A5" s="69"/>
      <c r="B5" s="69"/>
      <c r="C5" s="69"/>
      <c r="D5" s="69"/>
      <c r="E5" s="69"/>
    </row>
    <row r="6" spans="1:5" ht="14.25" thickBot="1">
      <c r="A6" s="69"/>
      <c r="B6" s="69"/>
      <c r="C6" s="627"/>
      <c r="D6" s="627"/>
      <c r="E6" s="627" t="str">
        <f>'Z_5.tájékoztató_t.'!D5</f>
        <v>Forintban!</v>
      </c>
    </row>
    <row r="7" spans="1:5" ht="42.75" customHeight="1" thickBot="1">
      <c r="A7" s="628" t="s">
        <v>51</v>
      </c>
      <c r="B7" s="629" t="s">
        <v>593</v>
      </c>
      <c r="C7" s="629" t="s">
        <v>594</v>
      </c>
      <c r="D7" s="630" t="s">
        <v>595</v>
      </c>
      <c r="E7" s="631" t="s">
        <v>596</v>
      </c>
    </row>
    <row r="8" spans="1:5" ht="15.75" customHeight="1">
      <c r="A8" s="487" t="s">
        <v>6</v>
      </c>
      <c r="B8" s="488" t="s">
        <v>894</v>
      </c>
      <c r="C8" s="488" t="s">
        <v>895</v>
      </c>
      <c r="D8" s="489"/>
      <c r="E8" s="490">
        <v>2500000</v>
      </c>
    </row>
    <row r="9" spans="1:5" ht="15.75" customHeight="1">
      <c r="A9" s="491" t="s">
        <v>7</v>
      </c>
      <c r="B9" s="492" t="s">
        <v>896</v>
      </c>
      <c r="C9" s="492" t="s">
        <v>897</v>
      </c>
      <c r="D9" s="493"/>
      <c r="E9" s="494">
        <v>100000</v>
      </c>
    </row>
    <row r="10" spans="1:5" ht="15.75" customHeight="1">
      <c r="A10" s="491" t="s">
        <v>8</v>
      </c>
      <c r="B10" s="492" t="s">
        <v>898</v>
      </c>
      <c r="C10" s="492" t="s">
        <v>899</v>
      </c>
      <c r="D10" s="493"/>
      <c r="E10" s="494">
        <v>19732207</v>
      </c>
    </row>
    <row r="11" spans="1:5" ht="15.75" customHeight="1">
      <c r="A11" s="491" t="s">
        <v>9</v>
      </c>
      <c r="B11" s="492" t="s">
        <v>900</v>
      </c>
      <c r="C11" s="492" t="s">
        <v>897</v>
      </c>
      <c r="D11" s="493"/>
      <c r="E11" s="494">
        <v>204142</v>
      </c>
    </row>
    <row r="12" spans="1:5" ht="15.75" customHeight="1">
      <c r="A12" s="491" t="s">
        <v>10</v>
      </c>
      <c r="B12" s="492" t="s">
        <v>901</v>
      </c>
      <c r="C12" s="492" t="s">
        <v>897</v>
      </c>
      <c r="D12" s="493"/>
      <c r="E12" s="494">
        <v>5000</v>
      </c>
    </row>
    <row r="13" spans="1:5" ht="15.75" customHeight="1">
      <c r="A13" s="491" t="s">
        <v>11</v>
      </c>
      <c r="B13" s="492" t="s">
        <v>902</v>
      </c>
      <c r="C13" s="492" t="s">
        <v>897</v>
      </c>
      <c r="D13" s="493"/>
      <c r="E13" s="494">
        <v>50000</v>
      </c>
    </row>
    <row r="14" spans="1:5" ht="15.75" customHeight="1">
      <c r="A14" s="491" t="s">
        <v>12</v>
      </c>
      <c r="B14" s="492" t="s">
        <v>903</v>
      </c>
      <c r="C14" s="492" t="s">
        <v>897</v>
      </c>
      <c r="D14" s="493"/>
      <c r="E14" s="494">
        <v>89143</v>
      </c>
    </row>
    <row r="15" spans="1:5" ht="15.75" customHeight="1">
      <c r="A15" s="491" t="s">
        <v>13</v>
      </c>
      <c r="B15" s="492" t="s">
        <v>904</v>
      </c>
      <c r="C15" s="492" t="s">
        <v>897</v>
      </c>
      <c r="D15" s="493"/>
      <c r="E15" s="494">
        <v>89142</v>
      </c>
    </row>
    <row r="16" spans="1:5" ht="15.75" customHeight="1">
      <c r="A16" s="491" t="s">
        <v>14</v>
      </c>
      <c r="B16" s="492" t="s">
        <v>905</v>
      </c>
      <c r="C16" s="492" t="s">
        <v>897</v>
      </c>
      <c r="D16" s="493"/>
      <c r="E16" s="494">
        <v>89142</v>
      </c>
    </row>
    <row r="17" spans="1:5" ht="36" customHeight="1">
      <c r="A17" s="491" t="s">
        <v>15</v>
      </c>
      <c r="B17" s="779" t="s">
        <v>906</v>
      </c>
      <c r="C17" s="492" t="s">
        <v>897</v>
      </c>
      <c r="D17" s="493"/>
      <c r="E17" s="494">
        <v>880000</v>
      </c>
    </row>
    <row r="18" spans="1:5" ht="15.75" customHeight="1">
      <c r="A18" s="944" t="s">
        <v>37</v>
      </c>
      <c r="B18" s="945"/>
      <c r="C18" s="945"/>
      <c r="D18" s="946"/>
      <c r="E18" s="780">
        <f>SUM(E8:E17)</f>
        <v>23738776</v>
      </c>
    </row>
    <row r="19" spans="1:5" ht="15.75" customHeight="1">
      <c r="A19" s="491" t="s">
        <v>6</v>
      </c>
      <c r="B19" s="492" t="s">
        <v>907</v>
      </c>
      <c r="C19" s="492" t="s">
        <v>908</v>
      </c>
      <c r="D19" s="493"/>
      <c r="E19" s="494">
        <v>1345000</v>
      </c>
    </row>
    <row r="20" spans="1:5" ht="15.75" customHeight="1">
      <c r="A20" s="491" t="s">
        <v>7</v>
      </c>
      <c r="B20" s="492" t="s">
        <v>909</v>
      </c>
      <c r="C20" s="492" t="s">
        <v>908</v>
      </c>
      <c r="D20" s="493"/>
      <c r="E20" s="494">
        <v>1100000</v>
      </c>
    </row>
    <row r="21" spans="1:5" ht="15.75" customHeight="1">
      <c r="A21" s="944" t="s">
        <v>37</v>
      </c>
      <c r="B21" s="945"/>
      <c r="C21" s="945"/>
      <c r="D21" s="946"/>
      <c r="E21" s="780">
        <f>SUM(E19:E20)</f>
        <v>2445000</v>
      </c>
    </row>
    <row r="22" spans="1:5" ht="15.75" customHeight="1">
      <c r="A22" s="947" t="s">
        <v>910</v>
      </c>
      <c r="B22" s="948"/>
      <c r="C22" s="948"/>
      <c r="D22" s="949"/>
      <c r="E22" s="780">
        <f>E18+E21</f>
        <v>26183776</v>
      </c>
    </row>
    <row r="23" spans="1:5" ht="15.75" customHeight="1">
      <c r="A23" s="491"/>
      <c r="B23" s="492"/>
      <c r="C23" s="492"/>
      <c r="D23" s="493"/>
      <c r="E23" s="494"/>
    </row>
    <row r="24" spans="1:5" ht="15.75" customHeight="1">
      <c r="A24" s="491"/>
      <c r="B24" s="492"/>
      <c r="C24" s="492"/>
      <c r="D24" s="493"/>
      <c r="E24" s="494"/>
    </row>
    <row r="25" spans="1:5" ht="15.75" customHeight="1">
      <c r="A25" s="491"/>
      <c r="B25" s="492"/>
      <c r="C25" s="492"/>
      <c r="D25" s="493"/>
      <c r="E25" s="494"/>
    </row>
    <row r="26" spans="1:5" ht="15.75" customHeight="1">
      <c r="A26" s="491"/>
      <c r="B26" s="492"/>
      <c r="C26" s="492"/>
      <c r="D26" s="493"/>
      <c r="E26" s="494"/>
    </row>
    <row r="27" spans="1:5" ht="15.75" customHeight="1">
      <c r="A27" s="491"/>
      <c r="B27" s="492"/>
      <c r="C27" s="492"/>
      <c r="D27" s="493"/>
      <c r="E27" s="494"/>
    </row>
    <row r="28" spans="1:5" ht="15.75" customHeight="1">
      <c r="A28" s="491"/>
      <c r="B28" s="492"/>
      <c r="C28" s="492"/>
      <c r="D28" s="493"/>
      <c r="E28" s="494"/>
    </row>
    <row r="29" spans="1:5" ht="15.75" customHeight="1">
      <c r="A29" s="491"/>
      <c r="B29" s="492"/>
      <c r="C29" s="492"/>
      <c r="D29" s="493"/>
      <c r="E29" s="494"/>
    </row>
    <row r="30" spans="1:5" ht="15.75" customHeight="1">
      <c r="A30" s="491"/>
      <c r="B30" s="492"/>
      <c r="C30" s="492"/>
      <c r="D30" s="493"/>
      <c r="E30" s="494"/>
    </row>
    <row r="31" spans="1:5" ht="15.75" customHeight="1">
      <c r="A31" s="491"/>
      <c r="B31" s="492"/>
      <c r="C31" s="492"/>
      <c r="D31" s="493"/>
      <c r="E31" s="494"/>
    </row>
    <row r="32" spans="1:5" ht="15.75" customHeight="1">
      <c r="A32" s="491"/>
      <c r="B32" s="492"/>
      <c r="C32" s="492"/>
      <c r="D32" s="493"/>
      <c r="E32" s="494"/>
    </row>
    <row r="33" spans="1:5" ht="15.75" customHeight="1">
      <c r="A33" s="491"/>
      <c r="B33" s="492"/>
      <c r="C33" s="492"/>
      <c r="D33" s="493"/>
      <c r="E33" s="494"/>
    </row>
    <row r="34" spans="1:5" ht="15.75" customHeight="1">
      <c r="A34" s="491"/>
      <c r="B34" s="492"/>
      <c r="C34" s="492"/>
      <c r="D34" s="493"/>
      <c r="E34" s="494"/>
    </row>
    <row r="35" spans="1:5" ht="15.75" customHeight="1">
      <c r="A35" s="491"/>
      <c r="B35" s="492"/>
      <c r="C35" s="492"/>
      <c r="D35" s="493"/>
      <c r="E35" s="494"/>
    </row>
    <row r="36" spans="1:5" ht="15.75" customHeight="1">
      <c r="A36" s="491"/>
      <c r="B36" s="492"/>
      <c r="C36" s="492"/>
      <c r="D36" s="493"/>
      <c r="E36" s="494"/>
    </row>
    <row r="37" spans="1:5" ht="15.75" customHeight="1">
      <c r="A37" s="491"/>
      <c r="B37" s="492"/>
      <c r="C37" s="492"/>
      <c r="D37" s="493"/>
      <c r="E37" s="494"/>
    </row>
    <row r="38" spans="1:5" ht="15.75" customHeight="1">
      <c r="A38" s="491"/>
      <c r="B38" s="492"/>
      <c r="C38" s="492"/>
      <c r="D38" s="493"/>
      <c r="E38" s="494"/>
    </row>
    <row r="39" spans="1:5" ht="15.75" customHeight="1">
      <c r="A39" s="491"/>
      <c r="B39" s="492"/>
      <c r="C39" s="492"/>
      <c r="D39" s="493"/>
      <c r="E39" s="494"/>
    </row>
    <row r="40" spans="1:5" ht="15.75" customHeight="1" thickBot="1">
      <c r="A40" s="495"/>
      <c r="B40" s="496"/>
      <c r="C40" s="496"/>
      <c r="D40" s="497"/>
      <c r="E40" s="498"/>
    </row>
    <row r="41" spans="1:5" ht="15.75" customHeight="1" thickBot="1">
      <c r="A41" s="940" t="s">
        <v>37</v>
      </c>
      <c r="B41" s="941"/>
      <c r="C41" s="499"/>
      <c r="D41" s="500">
        <f>SUM(D8:D40)</f>
        <v>0</v>
      </c>
      <c r="E41" s="501">
        <f>E22</f>
        <v>26183776</v>
      </c>
    </row>
  </sheetData>
  <sheetProtection/>
  <mergeCells count="7">
    <mergeCell ref="A41:B41"/>
    <mergeCell ref="A1:E1"/>
    <mergeCell ref="A4:E4"/>
    <mergeCell ref="A3:E3"/>
    <mergeCell ref="A18:D18"/>
    <mergeCell ref="A21:D21"/>
    <mergeCell ref="A22:D22"/>
  </mergeCells>
  <printOptions horizontalCentered="1"/>
  <pageMargins left="0.7874015748031497" right="0.7874015748031497" top="1.5748031496062993" bottom="0.984251968503937" header="0.7874015748031497" footer="0.7874015748031497"/>
  <pageSetup fitToWidth="2" orientation="portrait" paperSize="9" scale="95" r:id="rId1"/>
</worksheet>
</file>

<file path=xl/worksheets/sheet38.xml><?xml version="1.0" encoding="utf-8"?>
<worksheet xmlns="http://schemas.openxmlformats.org/spreadsheetml/2006/main" xmlns:r="http://schemas.openxmlformats.org/officeDocument/2006/relationships">
  <sheetPr>
    <tabColor rgb="FF92D050"/>
  </sheetPr>
  <dimension ref="A1:E76"/>
  <sheetViews>
    <sheetView zoomScale="120" zoomScaleNormal="120" zoomScaleSheetLayoutView="120" workbookViewId="0" topLeftCell="A55">
      <selection activeCell="C71" sqref="C71"/>
    </sheetView>
  </sheetViews>
  <sheetFormatPr defaultColWidth="12.00390625" defaultRowHeight="12.75"/>
  <cols>
    <col min="1" max="1" width="67.125" style="502" customWidth="1"/>
    <col min="2" max="2" width="6.125" style="503" customWidth="1"/>
    <col min="3" max="4" width="12.125" style="502" customWidth="1"/>
    <col min="5" max="5" width="12.125" style="529" customWidth="1"/>
    <col min="6" max="16384" width="12.00390625" style="502" customWidth="1"/>
  </cols>
  <sheetData>
    <row r="1" spans="1:5" ht="15.75">
      <c r="A1" s="963" t="str">
        <f>CONCATENATE("7.1. tájékoztató tábla ",Z_ALAPADATOK!A7," ",Z_ALAPADATOK!B7," ",Z_ALAPADATOK!C7," ",Z_ALAPADATOK!D7," ",Z_ALAPADATOK!E7," ",Z_ALAPADATOK!F7," ",Z_ALAPADATOK!G7," ",Z_ALAPADATOK!H7)</f>
        <v>7.1. tájékoztató tábla a 4 / 2020. ( VII.17. ) önkormányzati rendelethez</v>
      </c>
      <c r="B1" s="798"/>
      <c r="C1" s="798"/>
      <c r="D1" s="798"/>
      <c r="E1" s="798"/>
    </row>
    <row r="2" spans="1:5" ht="15.75">
      <c r="A2" s="964" t="s">
        <v>770</v>
      </c>
      <c r="B2" s="965"/>
      <c r="C2" s="965"/>
      <c r="D2" s="965"/>
      <c r="E2" s="965"/>
    </row>
    <row r="3" spans="1:5" ht="16.5" customHeight="1">
      <c r="A3" s="964" t="s">
        <v>771</v>
      </c>
      <c r="B3" s="965"/>
      <c r="C3" s="965"/>
      <c r="D3" s="965"/>
      <c r="E3" s="965"/>
    </row>
    <row r="4" spans="1:5" ht="16.5" customHeight="1">
      <c r="A4" s="966" t="str">
        <f>CONCATENATE(Z_ALAPADATOK!B1,". év")</f>
        <v>2019. év</v>
      </c>
      <c r="B4" s="967"/>
      <c r="C4" s="967"/>
      <c r="D4" s="967"/>
      <c r="E4" s="967"/>
    </row>
    <row r="5" spans="1:5" ht="16.5" customHeight="1" thickBot="1">
      <c r="A5" s="632"/>
      <c r="B5" s="633"/>
      <c r="C5" s="968" t="str">
        <f>'Z_6.tájékoztató_t.'!E6</f>
        <v>Forintban!</v>
      </c>
      <c r="D5" s="968"/>
      <c r="E5" s="968"/>
    </row>
    <row r="6" spans="1:5" ht="15.75" customHeight="1">
      <c r="A6" s="950" t="s">
        <v>602</v>
      </c>
      <c r="B6" s="953" t="s">
        <v>603</v>
      </c>
      <c r="C6" s="956" t="s">
        <v>604</v>
      </c>
      <c r="D6" s="956" t="s">
        <v>605</v>
      </c>
      <c r="E6" s="958" t="s">
        <v>606</v>
      </c>
    </row>
    <row r="7" spans="1:5" ht="11.25" customHeight="1">
      <c r="A7" s="951"/>
      <c r="B7" s="954"/>
      <c r="C7" s="957"/>
      <c r="D7" s="957"/>
      <c r="E7" s="959"/>
    </row>
    <row r="8" spans="1:5" ht="15.75">
      <c r="A8" s="952"/>
      <c r="B8" s="955"/>
      <c r="C8" s="960" t="s">
        <v>607</v>
      </c>
      <c r="D8" s="960"/>
      <c r="E8" s="961"/>
    </row>
    <row r="9" spans="1:5" s="504" customFormat="1" ht="16.5" thickBot="1">
      <c r="A9" s="634" t="s">
        <v>608</v>
      </c>
      <c r="B9" s="635" t="s">
        <v>386</v>
      </c>
      <c r="C9" s="635" t="s">
        <v>387</v>
      </c>
      <c r="D9" s="635" t="s">
        <v>389</v>
      </c>
      <c r="E9" s="636" t="s">
        <v>388</v>
      </c>
    </row>
    <row r="10" spans="1:5" s="509" customFormat="1" ht="15.75">
      <c r="A10" s="505" t="s">
        <v>609</v>
      </c>
      <c r="B10" s="506" t="s">
        <v>610</v>
      </c>
      <c r="C10" s="507">
        <v>45997193</v>
      </c>
      <c r="D10" s="507"/>
      <c r="E10" s="508"/>
    </row>
    <row r="11" spans="1:5" s="509" customFormat="1" ht="15.75">
      <c r="A11" s="510" t="s">
        <v>611</v>
      </c>
      <c r="B11" s="511" t="s">
        <v>612</v>
      </c>
      <c r="C11" s="512">
        <f>+C12+C17+C22+C27+C32</f>
        <v>2639942690</v>
      </c>
      <c r="D11" s="512">
        <f>+D12+D17+D22+D27+D32</f>
        <v>0</v>
      </c>
      <c r="E11" s="513">
        <f>+E12+E17+E22+E27+E32</f>
        <v>0</v>
      </c>
    </row>
    <row r="12" spans="1:5" s="509" customFormat="1" ht="15.75">
      <c r="A12" s="510" t="s">
        <v>613</v>
      </c>
      <c r="B12" s="511" t="s">
        <v>614</v>
      </c>
      <c r="C12" s="512">
        <f>+C13+C14+C15+C16</f>
        <v>2310505555</v>
      </c>
      <c r="D12" s="512">
        <f>+D13+D14+D15+D16</f>
        <v>0</v>
      </c>
      <c r="E12" s="513">
        <f>+E13+E14+E15+E16</f>
        <v>0</v>
      </c>
    </row>
    <row r="13" spans="1:5" s="509" customFormat="1" ht="15.75">
      <c r="A13" s="514" t="s">
        <v>615</v>
      </c>
      <c r="B13" s="511" t="s">
        <v>616</v>
      </c>
      <c r="C13" s="515">
        <v>715482976</v>
      </c>
      <c r="D13" s="515"/>
      <c r="E13" s="516"/>
    </row>
    <row r="14" spans="1:5" s="509" customFormat="1" ht="26.25" customHeight="1">
      <c r="A14" s="514" t="s">
        <v>617</v>
      </c>
      <c r="B14" s="511" t="s">
        <v>618</v>
      </c>
      <c r="C14" s="517"/>
      <c r="D14" s="517"/>
      <c r="E14" s="518"/>
    </row>
    <row r="15" spans="1:5" s="509" customFormat="1" ht="22.5">
      <c r="A15" s="514" t="s">
        <v>619</v>
      </c>
      <c r="B15" s="511" t="s">
        <v>620</v>
      </c>
      <c r="C15" s="517">
        <v>1533537206</v>
      </c>
      <c r="D15" s="517"/>
      <c r="E15" s="518"/>
    </row>
    <row r="16" spans="1:5" s="509" customFormat="1" ht="15.75">
      <c r="A16" s="514" t="s">
        <v>621</v>
      </c>
      <c r="B16" s="511" t="s">
        <v>622</v>
      </c>
      <c r="C16" s="517">
        <v>61485373</v>
      </c>
      <c r="D16" s="517"/>
      <c r="E16" s="518"/>
    </row>
    <row r="17" spans="1:5" s="509" customFormat="1" ht="15.75">
      <c r="A17" s="510" t="s">
        <v>623</v>
      </c>
      <c r="B17" s="511" t="s">
        <v>624</v>
      </c>
      <c r="C17" s="519">
        <f>+C18+C19+C20+C21</f>
        <v>86623792</v>
      </c>
      <c r="D17" s="519">
        <f>+D18+D19+D20+D21</f>
        <v>0</v>
      </c>
      <c r="E17" s="520">
        <f>+E18+E19+E20+E21</f>
        <v>0</v>
      </c>
    </row>
    <row r="18" spans="1:5" s="509" customFormat="1" ht="15.75">
      <c r="A18" s="514" t="s">
        <v>625</v>
      </c>
      <c r="B18" s="511" t="s">
        <v>626</v>
      </c>
      <c r="C18" s="517"/>
      <c r="D18" s="517"/>
      <c r="E18" s="518"/>
    </row>
    <row r="19" spans="1:5" s="509" customFormat="1" ht="22.5">
      <c r="A19" s="514" t="s">
        <v>627</v>
      </c>
      <c r="B19" s="511" t="s">
        <v>15</v>
      </c>
      <c r="C19" s="517"/>
      <c r="D19" s="517"/>
      <c r="E19" s="518"/>
    </row>
    <row r="20" spans="1:5" s="509" customFormat="1" ht="15.75">
      <c r="A20" s="514" t="s">
        <v>628</v>
      </c>
      <c r="B20" s="511" t="s">
        <v>16</v>
      </c>
      <c r="C20" s="517">
        <v>86623792</v>
      </c>
      <c r="D20" s="517"/>
      <c r="E20" s="518"/>
    </row>
    <row r="21" spans="1:5" s="509" customFormat="1" ht="15.75">
      <c r="A21" s="514" t="s">
        <v>629</v>
      </c>
      <c r="B21" s="511" t="s">
        <v>17</v>
      </c>
      <c r="C21" s="517"/>
      <c r="D21" s="517"/>
      <c r="E21" s="518"/>
    </row>
    <row r="22" spans="1:5" s="509" customFormat="1" ht="15.75">
      <c r="A22" s="510" t="s">
        <v>630</v>
      </c>
      <c r="B22" s="511" t="s">
        <v>18</v>
      </c>
      <c r="C22" s="519">
        <f>+C23+C24+C25+C26</f>
        <v>0</v>
      </c>
      <c r="D22" s="519">
        <f>+D23+D24+D25+D26</f>
        <v>0</v>
      </c>
      <c r="E22" s="520">
        <f>+E23+E24+E25+E26</f>
        <v>0</v>
      </c>
    </row>
    <row r="23" spans="1:5" s="509" customFormat="1" ht="15.75">
      <c r="A23" s="514" t="s">
        <v>631</v>
      </c>
      <c r="B23" s="511" t="s">
        <v>19</v>
      </c>
      <c r="C23" s="517"/>
      <c r="D23" s="517"/>
      <c r="E23" s="518"/>
    </row>
    <row r="24" spans="1:5" s="509" customFormat="1" ht="15.75">
      <c r="A24" s="514" t="s">
        <v>632</v>
      </c>
      <c r="B24" s="511" t="s">
        <v>20</v>
      </c>
      <c r="C24" s="517"/>
      <c r="D24" s="517"/>
      <c r="E24" s="518"/>
    </row>
    <row r="25" spans="1:5" s="509" customFormat="1" ht="15.75">
      <c r="A25" s="514" t="s">
        <v>633</v>
      </c>
      <c r="B25" s="511" t="s">
        <v>21</v>
      </c>
      <c r="C25" s="517"/>
      <c r="D25" s="517"/>
      <c r="E25" s="518"/>
    </row>
    <row r="26" spans="1:5" s="509" customFormat="1" ht="15.75">
      <c r="A26" s="514" t="s">
        <v>634</v>
      </c>
      <c r="B26" s="511" t="s">
        <v>22</v>
      </c>
      <c r="C26" s="517"/>
      <c r="D26" s="517"/>
      <c r="E26" s="518"/>
    </row>
    <row r="27" spans="1:5" s="509" customFormat="1" ht="15.75">
      <c r="A27" s="510" t="s">
        <v>635</v>
      </c>
      <c r="B27" s="511" t="s">
        <v>23</v>
      </c>
      <c r="C27" s="519">
        <f>+C28+C29+C30+C31</f>
        <v>242813343</v>
      </c>
      <c r="D27" s="519">
        <f>+D28+D29+D30+D31</f>
        <v>0</v>
      </c>
      <c r="E27" s="520">
        <f>+E28+E29+E30+E31</f>
        <v>0</v>
      </c>
    </row>
    <row r="28" spans="1:5" s="509" customFormat="1" ht="15.75">
      <c r="A28" s="514" t="s">
        <v>636</v>
      </c>
      <c r="B28" s="511" t="s">
        <v>24</v>
      </c>
      <c r="C28" s="517"/>
      <c r="D28" s="517"/>
      <c r="E28" s="518"/>
    </row>
    <row r="29" spans="1:5" s="509" customFormat="1" ht="15.75">
      <c r="A29" s="514" t="s">
        <v>637</v>
      </c>
      <c r="B29" s="511" t="s">
        <v>25</v>
      </c>
      <c r="C29" s="517"/>
      <c r="D29" s="517"/>
      <c r="E29" s="518"/>
    </row>
    <row r="30" spans="1:5" s="509" customFormat="1" ht="15.75">
      <c r="A30" s="514" t="s">
        <v>638</v>
      </c>
      <c r="B30" s="511" t="s">
        <v>26</v>
      </c>
      <c r="C30" s="517"/>
      <c r="D30" s="517"/>
      <c r="E30" s="518"/>
    </row>
    <row r="31" spans="1:5" s="509" customFormat="1" ht="15.75">
      <c r="A31" s="514" t="s">
        <v>639</v>
      </c>
      <c r="B31" s="511" t="s">
        <v>27</v>
      </c>
      <c r="C31" s="517">
        <v>242813343</v>
      </c>
      <c r="D31" s="517"/>
      <c r="E31" s="518"/>
    </row>
    <row r="32" spans="1:5" s="509" customFormat="1" ht="15.75">
      <c r="A32" s="510" t="s">
        <v>640</v>
      </c>
      <c r="B32" s="511" t="s">
        <v>28</v>
      </c>
      <c r="C32" s="519">
        <f>+C33+C34+C35+C36</f>
        <v>0</v>
      </c>
      <c r="D32" s="519">
        <f>+D33+D34+D35+D36</f>
        <v>0</v>
      </c>
      <c r="E32" s="520">
        <f>+E33+E34+E35+E36</f>
        <v>0</v>
      </c>
    </row>
    <row r="33" spans="1:5" s="509" customFormat="1" ht="15.75">
      <c r="A33" s="514" t="s">
        <v>641</v>
      </c>
      <c r="B33" s="511" t="s">
        <v>29</v>
      </c>
      <c r="C33" s="517"/>
      <c r="D33" s="517"/>
      <c r="E33" s="518"/>
    </row>
    <row r="34" spans="1:5" s="509" customFormat="1" ht="22.5">
      <c r="A34" s="514" t="s">
        <v>642</v>
      </c>
      <c r="B34" s="511" t="s">
        <v>30</v>
      </c>
      <c r="C34" s="517"/>
      <c r="D34" s="517"/>
      <c r="E34" s="518"/>
    </row>
    <row r="35" spans="1:5" s="509" customFormat="1" ht="15.75">
      <c r="A35" s="514" t="s">
        <v>643</v>
      </c>
      <c r="B35" s="511" t="s">
        <v>31</v>
      </c>
      <c r="C35" s="517"/>
      <c r="D35" s="517"/>
      <c r="E35" s="518"/>
    </row>
    <row r="36" spans="1:5" s="509" customFormat="1" ht="15.75">
      <c r="A36" s="514" t="s">
        <v>644</v>
      </c>
      <c r="B36" s="511" t="s">
        <v>32</v>
      </c>
      <c r="C36" s="517"/>
      <c r="D36" s="517"/>
      <c r="E36" s="518"/>
    </row>
    <row r="37" spans="1:5" s="509" customFormat="1" ht="15.75">
      <c r="A37" s="510" t="s">
        <v>645</v>
      </c>
      <c r="B37" s="511" t="s">
        <v>33</v>
      </c>
      <c r="C37" s="519">
        <f>+C38+C43+C48</f>
        <v>200000</v>
      </c>
      <c r="D37" s="519">
        <f>+D38+D43+D48</f>
        <v>0</v>
      </c>
      <c r="E37" s="520">
        <f>+E38+E43+E48</f>
        <v>0</v>
      </c>
    </row>
    <row r="38" spans="1:5" s="509" customFormat="1" ht="15.75">
      <c r="A38" s="510" t="s">
        <v>646</v>
      </c>
      <c r="B38" s="511" t="s">
        <v>597</v>
      </c>
      <c r="C38" s="519">
        <f>+C39+C40+C41+C42</f>
        <v>200000</v>
      </c>
      <c r="D38" s="519">
        <f>+D39+D40+D41+D42</f>
        <v>0</v>
      </c>
      <c r="E38" s="520">
        <f>+E39+E40+E41+E42</f>
        <v>0</v>
      </c>
    </row>
    <row r="39" spans="1:5" s="509" customFormat="1" ht="15.75">
      <c r="A39" s="514" t="s">
        <v>647</v>
      </c>
      <c r="B39" s="511" t="s">
        <v>598</v>
      </c>
      <c r="C39" s="517"/>
      <c r="D39" s="517"/>
      <c r="E39" s="518"/>
    </row>
    <row r="40" spans="1:5" s="509" customFormat="1" ht="15.75">
      <c r="A40" s="514" t="s">
        <v>648</v>
      </c>
      <c r="B40" s="511" t="s">
        <v>599</v>
      </c>
      <c r="C40" s="517"/>
      <c r="D40" s="517"/>
      <c r="E40" s="518"/>
    </row>
    <row r="41" spans="1:5" s="509" customFormat="1" ht="15.75">
      <c r="A41" s="514" t="s">
        <v>649</v>
      </c>
      <c r="B41" s="511" t="s">
        <v>600</v>
      </c>
      <c r="C41" s="517"/>
      <c r="D41" s="517"/>
      <c r="E41" s="518"/>
    </row>
    <row r="42" spans="1:5" s="509" customFormat="1" ht="15.75">
      <c r="A42" s="514" t="s">
        <v>650</v>
      </c>
      <c r="B42" s="511" t="s">
        <v>601</v>
      </c>
      <c r="C42" s="517">
        <v>200000</v>
      </c>
      <c r="D42" s="517"/>
      <c r="E42" s="518"/>
    </row>
    <row r="43" spans="1:5" s="509" customFormat="1" ht="15.75">
      <c r="A43" s="510" t="s">
        <v>651</v>
      </c>
      <c r="B43" s="511" t="s">
        <v>652</v>
      </c>
      <c r="C43" s="519">
        <f>+C44+C45+C46+C47</f>
        <v>0</v>
      </c>
      <c r="D43" s="519">
        <f>+D44+D45+D46+D47</f>
        <v>0</v>
      </c>
      <c r="E43" s="520">
        <f>+E44+E45+E46+E47</f>
        <v>0</v>
      </c>
    </row>
    <row r="44" spans="1:5" s="509" customFormat="1" ht="15.75">
      <c r="A44" s="514" t="s">
        <v>653</v>
      </c>
      <c r="B44" s="511" t="s">
        <v>654</v>
      </c>
      <c r="C44" s="517"/>
      <c r="D44" s="517"/>
      <c r="E44" s="518"/>
    </row>
    <row r="45" spans="1:5" s="509" customFormat="1" ht="22.5">
      <c r="A45" s="514" t="s">
        <v>655</v>
      </c>
      <c r="B45" s="511" t="s">
        <v>656</v>
      </c>
      <c r="C45" s="517"/>
      <c r="D45" s="517"/>
      <c r="E45" s="518"/>
    </row>
    <row r="46" spans="1:5" s="509" customFormat="1" ht="15.75">
      <c r="A46" s="514" t="s">
        <v>657</v>
      </c>
      <c r="B46" s="511" t="s">
        <v>658</v>
      </c>
      <c r="C46" s="517"/>
      <c r="D46" s="517"/>
      <c r="E46" s="518"/>
    </row>
    <row r="47" spans="1:5" s="509" customFormat="1" ht="15.75">
      <c r="A47" s="514" t="s">
        <v>659</v>
      </c>
      <c r="B47" s="511" t="s">
        <v>660</v>
      </c>
      <c r="C47" s="517"/>
      <c r="D47" s="517"/>
      <c r="E47" s="518"/>
    </row>
    <row r="48" spans="1:5" s="509" customFormat="1" ht="15.75">
      <c r="A48" s="510" t="s">
        <v>661</v>
      </c>
      <c r="B48" s="511" t="s">
        <v>662</v>
      </c>
      <c r="C48" s="519">
        <f>+C49+C50+C51+C52</f>
        <v>0</v>
      </c>
      <c r="D48" s="519">
        <f>+D49+D50+D51+D52</f>
        <v>0</v>
      </c>
      <c r="E48" s="520">
        <f>+E49+E50+E51+E52</f>
        <v>0</v>
      </c>
    </row>
    <row r="49" spans="1:5" s="509" customFormat="1" ht="15.75">
      <c r="A49" s="514" t="s">
        <v>663</v>
      </c>
      <c r="B49" s="511" t="s">
        <v>664</v>
      </c>
      <c r="C49" s="517"/>
      <c r="D49" s="517"/>
      <c r="E49" s="518"/>
    </row>
    <row r="50" spans="1:5" s="509" customFormat="1" ht="22.5">
      <c r="A50" s="514" t="s">
        <v>665</v>
      </c>
      <c r="B50" s="511" t="s">
        <v>666</v>
      </c>
      <c r="C50" s="517"/>
      <c r="D50" s="517"/>
      <c r="E50" s="518"/>
    </row>
    <row r="51" spans="1:5" s="509" customFormat="1" ht="15.75">
      <c r="A51" s="514" t="s">
        <v>667</v>
      </c>
      <c r="B51" s="511" t="s">
        <v>668</v>
      </c>
      <c r="C51" s="517"/>
      <c r="D51" s="517"/>
      <c r="E51" s="518"/>
    </row>
    <row r="52" spans="1:5" s="509" customFormat="1" ht="15.75">
      <c r="A52" s="514" t="s">
        <v>669</v>
      </c>
      <c r="B52" s="511" t="s">
        <v>670</v>
      </c>
      <c r="C52" s="517"/>
      <c r="D52" s="517"/>
      <c r="E52" s="518"/>
    </row>
    <row r="53" spans="1:5" s="509" customFormat="1" ht="15.75">
      <c r="A53" s="510" t="s">
        <v>671</v>
      </c>
      <c r="B53" s="511" t="s">
        <v>672</v>
      </c>
      <c r="C53" s="517"/>
      <c r="D53" s="517"/>
      <c r="E53" s="518"/>
    </row>
    <row r="54" spans="1:5" s="509" customFormat="1" ht="21">
      <c r="A54" s="510" t="s">
        <v>673</v>
      </c>
      <c r="B54" s="511" t="s">
        <v>674</v>
      </c>
      <c r="C54" s="519">
        <f>+C10+C11+C37+C53</f>
        <v>2686139883</v>
      </c>
      <c r="D54" s="519">
        <f>+D10+D11+D37+D53</f>
        <v>0</v>
      </c>
      <c r="E54" s="520">
        <f>+E10+E11+E37+E53</f>
        <v>0</v>
      </c>
    </row>
    <row r="55" spans="1:5" s="509" customFormat="1" ht="15.75">
      <c r="A55" s="510" t="s">
        <v>675</v>
      </c>
      <c r="B55" s="511" t="s">
        <v>676</v>
      </c>
      <c r="C55" s="517">
        <v>1178043</v>
      </c>
      <c r="D55" s="517"/>
      <c r="E55" s="518"/>
    </row>
    <row r="56" spans="1:5" s="509" customFormat="1" ht="15.75">
      <c r="A56" s="510" t="s">
        <v>677</v>
      </c>
      <c r="B56" s="511" t="s">
        <v>678</v>
      </c>
      <c r="C56" s="517"/>
      <c r="D56" s="517"/>
      <c r="E56" s="518"/>
    </row>
    <row r="57" spans="1:5" s="509" customFormat="1" ht="15.75">
      <c r="A57" s="510" t="s">
        <v>679</v>
      </c>
      <c r="B57" s="511" t="s">
        <v>680</v>
      </c>
      <c r="C57" s="519">
        <f>+C55+C56</f>
        <v>1178043</v>
      </c>
      <c r="D57" s="519">
        <f>+D55+D56</f>
        <v>0</v>
      </c>
      <c r="E57" s="520">
        <f>+E55+E56</f>
        <v>0</v>
      </c>
    </row>
    <row r="58" spans="1:5" s="509" customFormat="1" ht="15.75">
      <c r="A58" s="510" t="s">
        <v>681</v>
      </c>
      <c r="B58" s="511" t="s">
        <v>682</v>
      </c>
      <c r="C58" s="517"/>
      <c r="D58" s="517"/>
      <c r="E58" s="518"/>
    </row>
    <row r="59" spans="1:5" s="509" customFormat="1" ht="15.75">
      <c r="A59" s="510" t="s">
        <v>683</v>
      </c>
      <c r="B59" s="511" t="s">
        <v>684</v>
      </c>
      <c r="C59" s="517">
        <v>1233275</v>
      </c>
      <c r="D59" s="517"/>
      <c r="E59" s="518"/>
    </row>
    <row r="60" spans="1:5" s="509" customFormat="1" ht="15.75">
      <c r="A60" s="510" t="s">
        <v>685</v>
      </c>
      <c r="B60" s="511" t="s">
        <v>686</v>
      </c>
      <c r="C60" s="517">
        <v>521088076</v>
      </c>
      <c r="D60" s="517"/>
      <c r="E60" s="518"/>
    </row>
    <row r="61" spans="1:5" s="509" customFormat="1" ht="15.75">
      <c r="A61" s="510" t="s">
        <v>687</v>
      </c>
      <c r="B61" s="511" t="s">
        <v>688</v>
      </c>
      <c r="C61" s="517">
        <v>1121</v>
      </c>
      <c r="D61" s="517"/>
      <c r="E61" s="518"/>
    </row>
    <row r="62" spans="1:5" s="509" customFormat="1" ht="15.75">
      <c r="A62" s="510" t="s">
        <v>689</v>
      </c>
      <c r="B62" s="511" t="s">
        <v>690</v>
      </c>
      <c r="C62" s="519">
        <f>+C58+C59+C60+C61</f>
        <v>522322472</v>
      </c>
      <c r="D62" s="519">
        <f>+D58+D59+D60+D61</f>
        <v>0</v>
      </c>
      <c r="E62" s="520">
        <f>+E58+E59+E60+E61</f>
        <v>0</v>
      </c>
    </row>
    <row r="63" spans="1:5" s="509" customFormat="1" ht="15.75">
      <c r="A63" s="510" t="s">
        <v>691</v>
      </c>
      <c r="B63" s="511" t="s">
        <v>692</v>
      </c>
      <c r="C63" s="517">
        <v>115467649</v>
      </c>
      <c r="D63" s="517"/>
      <c r="E63" s="518"/>
    </row>
    <row r="64" spans="1:5" s="509" customFormat="1" ht="15.75">
      <c r="A64" s="510" t="s">
        <v>693</v>
      </c>
      <c r="B64" s="511" t="s">
        <v>694</v>
      </c>
      <c r="C64" s="517"/>
      <c r="D64" s="517"/>
      <c r="E64" s="518"/>
    </row>
    <row r="65" spans="1:5" s="509" customFormat="1" ht="15.75">
      <c r="A65" s="510" t="s">
        <v>695</v>
      </c>
      <c r="B65" s="511" t="s">
        <v>696</v>
      </c>
      <c r="C65" s="517">
        <v>43506666</v>
      </c>
      <c r="D65" s="517"/>
      <c r="E65" s="518"/>
    </row>
    <row r="66" spans="1:5" s="509" customFormat="1" ht="15.75">
      <c r="A66" s="510" t="s">
        <v>697</v>
      </c>
      <c r="B66" s="511" t="s">
        <v>698</v>
      </c>
      <c r="C66" s="519">
        <f>+C63+C64+C65</f>
        <v>158974315</v>
      </c>
      <c r="D66" s="519">
        <f>+D63+D64+D65</f>
        <v>0</v>
      </c>
      <c r="E66" s="520">
        <f>+E63+E64+E65</f>
        <v>0</v>
      </c>
    </row>
    <row r="67" spans="1:5" s="509" customFormat="1" ht="15.75">
      <c r="A67" s="510" t="s">
        <v>699</v>
      </c>
      <c r="B67" s="511" t="s">
        <v>700</v>
      </c>
      <c r="C67" s="517"/>
      <c r="D67" s="517"/>
      <c r="E67" s="518"/>
    </row>
    <row r="68" spans="1:5" s="509" customFormat="1" ht="21">
      <c r="A68" s="510" t="s">
        <v>701</v>
      </c>
      <c r="B68" s="511" t="s">
        <v>702</v>
      </c>
      <c r="C68" s="517"/>
      <c r="D68" s="517"/>
      <c r="E68" s="518"/>
    </row>
    <row r="69" spans="1:5" s="509" customFormat="1" ht="15.75">
      <c r="A69" s="510" t="s">
        <v>768</v>
      </c>
      <c r="B69" s="511" t="s">
        <v>703</v>
      </c>
      <c r="C69" s="519">
        <v>94578236</v>
      </c>
      <c r="D69" s="519">
        <f>+D67+D68</f>
        <v>0</v>
      </c>
      <c r="E69" s="520">
        <f>+E67+E68</f>
        <v>0</v>
      </c>
    </row>
    <row r="70" spans="1:5" s="509" customFormat="1" ht="15.75">
      <c r="A70" s="510" t="s">
        <v>704</v>
      </c>
      <c r="B70" s="511" t="s">
        <v>705</v>
      </c>
      <c r="C70" s="517">
        <v>278323</v>
      </c>
      <c r="D70" s="517"/>
      <c r="E70" s="518"/>
    </row>
    <row r="71" spans="1:5" s="509" customFormat="1" ht="16.5" thickBot="1">
      <c r="A71" s="521" t="s">
        <v>706</v>
      </c>
      <c r="B71" s="522" t="s">
        <v>707</v>
      </c>
      <c r="C71" s="523">
        <f>+C54+C57+C62+C66+C69+C70</f>
        <v>3463471272</v>
      </c>
      <c r="D71" s="523">
        <f>+D54+D57+D62+D66+D69+D70</f>
        <v>0</v>
      </c>
      <c r="E71" s="524">
        <f>+E54+E57+E62+E66+E69+E70</f>
        <v>0</v>
      </c>
    </row>
    <row r="72" spans="1:5" ht="15.75">
      <c r="A72" s="525"/>
      <c r="C72" s="526"/>
      <c r="D72" s="526"/>
      <c r="E72" s="527"/>
    </row>
    <row r="73" spans="1:5" ht="15.75">
      <c r="A73" s="525"/>
      <c r="C73" s="526"/>
      <c r="D73" s="526"/>
      <c r="E73" s="527"/>
    </row>
    <row r="74" spans="1:5" ht="15.75">
      <c r="A74" s="528"/>
      <c r="C74" s="526"/>
      <c r="D74" s="526"/>
      <c r="E74" s="527"/>
    </row>
    <row r="75" spans="1:5" ht="15.75">
      <c r="A75" s="962"/>
      <c r="B75" s="962"/>
      <c r="C75" s="962"/>
      <c r="D75" s="962"/>
      <c r="E75" s="962"/>
    </row>
    <row r="76" spans="1:5" ht="15.75">
      <c r="A76" s="962"/>
      <c r="B76" s="962"/>
      <c r="C76" s="962"/>
      <c r="D76" s="962"/>
      <c r="E76" s="962"/>
    </row>
  </sheetData>
  <sheetProtection/>
  <mergeCells count="13">
    <mergeCell ref="A75:E75"/>
    <mergeCell ref="A76:E76"/>
    <mergeCell ref="A1:E1"/>
    <mergeCell ref="A2:E2"/>
    <mergeCell ref="A3:E3"/>
    <mergeCell ref="A4:E4"/>
    <mergeCell ref="C5:E5"/>
    <mergeCell ref="A6:A8"/>
    <mergeCell ref="B6:B8"/>
    <mergeCell ref="C6:C7"/>
    <mergeCell ref="D6:D7"/>
    <mergeCell ref="E6:E7"/>
    <mergeCell ref="C8:E8"/>
  </mergeCells>
  <printOptions horizontalCentered="1"/>
  <pageMargins left="0.7874015748031497" right="0.8267716535433072" top="0.9055118110236221" bottom="0.984251968503937" header="0.7874015748031497" footer="0.7874015748031497"/>
  <pageSetup orientation="portrait" paperSize="9" scale="85" r:id="rId1"/>
  <headerFooter alignWithMargins="0">
    <oddFooter>&amp;C&amp;P</oddFooter>
  </headerFooter>
  <rowBreaks count="1" manualBreakCount="1">
    <brk id="47" max="255" man="1"/>
  </rowBreaks>
</worksheet>
</file>

<file path=xl/worksheets/sheet39.xml><?xml version="1.0" encoding="utf-8"?>
<worksheet xmlns="http://schemas.openxmlformats.org/spreadsheetml/2006/main" xmlns:r="http://schemas.openxmlformats.org/officeDocument/2006/relationships">
  <sheetPr>
    <tabColor rgb="FF92D050"/>
  </sheetPr>
  <dimension ref="A1:E28"/>
  <sheetViews>
    <sheetView zoomScale="120" zoomScaleNormal="120" workbookViewId="0" topLeftCell="A1">
      <selection activeCell="N25" sqref="N25"/>
    </sheetView>
  </sheetViews>
  <sheetFormatPr defaultColWidth="9.00390625" defaultRowHeight="12.75"/>
  <cols>
    <col min="1" max="1" width="71.125" style="531" customWidth="1"/>
    <col min="2" max="2" width="6.125" style="543" customWidth="1"/>
    <col min="3" max="3" width="18.00390625" style="530" customWidth="1"/>
    <col min="4" max="16384" width="9.375" style="530" customWidth="1"/>
  </cols>
  <sheetData>
    <row r="1" spans="1:3" ht="16.5" customHeight="1">
      <c r="A1" s="970" t="str">
        <f>CONCATENATE("7.2. tájékoztató tábla ",Z_ALAPADATOK!A7," ",Z_ALAPADATOK!B7," ",Z_ALAPADATOK!C7," ",Z_ALAPADATOK!D7," ",Z_ALAPADATOK!E7," ",Z_ALAPADATOK!F7," ",Z_ALAPADATOK!G7," ",Z_ALAPADATOK!H7)</f>
        <v>7.2. tájékoztató tábla a 4 / 2020. ( VII.17. ) önkormányzati rendelethez</v>
      </c>
      <c r="B1" s="971"/>
      <c r="C1" s="971"/>
    </row>
    <row r="2" spans="1:3" ht="16.5" customHeight="1">
      <c r="A2" s="637"/>
      <c r="B2" s="638"/>
      <c r="C2" s="639"/>
    </row>
    <row r="3" spans="1:3" ht="16.5" customHeight="1">
      <c r="A3" s="974" t="s">
        <v>770</v>
      </c>
      <c r="B3" s="974"/>
      <c r="C3" s="974"/>
    </row>
    <row r="4" spans="1:3" ht="16.5" customHeight="1">
      <c r="A4" s="972" t="s">
        <v>814</v>
      </c>
      <c r="B4" s="972"/>
      <c r="C4" s="972"/>
    </row>
    <row r="5" spans="1:3" ht="16.5" customHeight="1">
      <c r="A5" s="972" t="str">
        <f>'Z_7.1.tájékoztató_t.'!A4</f>
        <v>2019. év</v>
      </c>
      <c r="B5" s="973"/>
      <c r="C5" s="973"/>
    </row>
    <row r="6" spans="1:3" ht="13.5" thickBot="1">
      <c r="A6" s="637"/>
      <c r="B6" s="975" t="str">
        <f>'Z_6.tájékoztató_t.'!E6</f>
        <v>Forintban!</v>
      </c>
      <c r="C6" s="975"/>
    </row>
    <row r="7" spans="1:3" s="532" customFormat="1" ht="31.5" customHeight="1">
      <c r="A7" s="976" t="s">
        <v>708</v>
      </c>
      <c r="B7" s="978" t="s">
        <v>603</v>
      </c>
      <c r="C7" s="980" t="s">
        <v>709</v>
      </c>
    </row>
    <row r="8" spans="1:3" s="532" customFormat="1" ht="12.75">
      <c r="A8" s="977"/>
      <c r="B8" s="979"/>
      <c r="C8" s="981"/>
    </row>
    <row r="9" spans="1:3" s="533" customFormat="1" ht="13.5" thickBot="1">
      <c r="A9" s="640" t="s">
        <v>385</v>
      </c>
      <c r="B9" s="641" t="s">
        <v>386</v>
      </c>
      <c r="C9" s="642" t="s">
        <v>387</v>
      </c>
    </row>
    <row r="10" spans="1:3" ht="15.75" customHeight="1">
      <c r="A10" s="510" t="s">
        <v>710</v>
      </c>
      <c r="B10" s="534" t="s">
        <v>610</v>
      </c>
      <c r="C10" s="535">
        <v>1556749149</v>
      </c>
    </row>
    <row r="11" spans="1:3" ht="15.75" customHeight="1">
      <c r="A11" s="510" t="s">
        <v>711</v>
      </c>
      <c r="B11" s="511" t="s">
        <v>612</v>
      </c>
      <c r="C11" s="535"/>
    </row>
    <row r="12" spans="1:3" ht="15.75" customHeight="1">
      <c r="A12" s="510" t="s">
        <v>712</v>
      </c>
      <c r="B12" s="511" t="s">
        <v>614</v>
      </c>
      <c r="C12" s="535">
        <v>22956443</v>
      </c>
    </row>
    <row r="13" spans="1:3" ht="15.75" customHeight="1">
      <c r="A13" s="510" t="s">
        <v>713</v>
      </c>
      <c r="B13" s="511" t="s">
        <v>616</v>
      </c>
      <c r="C13" s="536">
        <v>524946989</v>
      </c>
    </row>
    <row r="14" spans="1:3" ht="15.75" customHeight="1">
      <c r="A14" s="510" t="s">
        <v>714</v>
      </c>
      <c r="B14" s="511" t="s">
        <v>618</v>
      </c>
      <c r="C14" s="536"/>
    </row>
    <row r="15" spans="1:3" ht="15.75" customHeight="1">
      <c r="A15" s="510" t="s">
        <v>715</v>
      </c>
      <c r="B15" s="511" t="s">
        <v>620</v>
      </c>
      <c r="C15" s="536">
        <v>124467120</v>
      </c>
    </row>
    <row r="16" spans="1:3" ht="15.75" customHeight="1">
      <c r="A16" s="510" t="s">
        <v>716</v>
      </c>
      <c r="B16" s="511" t="s">
        <v>622</v>
      </c>
      <c r="C16" s="537">
        <f>+C10+C11+C12+C13+C14+C15</f>
        <v>2229119701</v>
      </c>
    </row>
    <row r="17" spans="1:3" ht="15.75" customHeight="1">
      <c r="A17" s="510" t="s">
        <v>717</v>
      </c>
      <c r="B17" s="511" t="s">
        <v>624</v>
      </c>
      <c r="C17" s="538">
        <v>9014477</v>
      </c>
    </row>
    <row r="18" spans="1:3" ht="15.75" customHeight="1">
      <c r="A18" s="510" t="s">
        <v>718</v>
      </c>
      <c r="B18" s="511" t="s">
        <v>626</v>
      </c>
      <c r="C18" s="536">
        <v>10969594</v>
      </c>
    </row>
    <row r="19" spans="1:3" ht="15.75" customHeight="1">
      <c r="A19" s="510" t="s">
        <v>719</v>
      </c>
      <c r="B19" s="511" t="s">
        <v>15</v>
      </c>
      <c r="C19" s="536">
        <v>106598214</v>
      </c>
    </row>
    <row r="20" spans="1:3" ht="15.75" customHeight="1">
      <c r="A20" s="510" t="s">
        <v>720</v>
      </c>
      <c r="B20" s="511" t="s">
        <v>16</v>
      </c>
      <c r="C20" s="537">
        <f>+C17+C18+C19</f>
        <v>126582285</v>
      </c>
    </row>
    <row r="21" spans="1:3" s="539" customFormat="1" ht="15.75" customHeight="1">
      <c r="A21" s="510" t="s">
        <v>721</v>
      </c>
      <c r="B21" s="511" t="s">
        <v>17</v>
      </c>
      <c r="C21" s="536"/>
    </row>
    <row r="22" spans="1:3" ht="15.75" customHeight="1">
      <c r="A22" s="510" t="s">
        <v>722</v>
      </c>
      <c r="B22" s="511" t="s">
        <v>18</v>
      </c>
      <c r="C22" s="536">
        <v>1107769286</v>
      </c>
    </row>
    <row r="23" spans="1:3" ht="15.75" customHeight="1" thickBot="1">
      <c r="A23" s="540" t="s">
        <v>723</v>
      </c>
      <c r="B23" s="522" t="s">
        <v>19</v>
      </c>
      <c r="C23" s="541">
        <f>+C16+C20+C21+C22</f>
        <v>3463471272</v>
      </c>
    </row>
    <row r="24" spans="1:5" ht="15.75">
      <c r="A24" s="525"/>
      <c r="B24" s="528"/>
      <c r="C24" s="526"/>
      <c r="D24" s="526"/>
      <c r="E24" s="526"/>
    </row>
    <row r="25" spans="1:5" ht="15.75">
      <c r="A25" s="525"/>
      <c r="B25" s="528"/>
      <c r="C25" s="526"/>
      <c r="D25" s="526"/>
      <c r="E25" s="526"/>
    </row>
    <row r="26" spans="1:5" ht="15.75">
      <c r="A26" s="528"/>
      <c r="B26" s="528"/>
      <c r="C26" s="526"/>
      <c r="D26" s="526"/>
      <c r="E26" s="526"/>
    </row>
    <row r="27" spans="1:5" ht="15.75">
      <c r="A27" s="969"/>
      <c r="B27" s="969"/>
      <c r="C27" s="969"/>
      <c r="D27" s="542"/>
      <c r="E27" s="542"/>
    </row>
    <row r="28" spans="1:5" ht="15.75">
      <c r="A28" s="969"/>
      <c r="B28" s="969"/>
      <c r="C28" s="969"/>
      <c r="D28" s="542"/>
      <c r="E28" s="542"/>
    </row>
  </sheetData>
  <sheetProtection/>
  <mergeCells count="10">
    <mergeCell ref="A27:C27"/>
    <mergeCell ref="A28:C28"/>
    <mergeCell ref="A1:C1"/>
    <mergeCell ref="A5:C5"/>
    <mergeCell ref="A3:C3"/>
    <mergeCell ref="A4:C4"/>
    <mergeCell ref="B6:C6"/>
    <mergeCell ref="A7:A8"/>
    <mergeCell ref="B7:B8"/>
    <mergeCell ref="C7:C8"/>
  </mergeCells>
  <printOptions horizontalCentered="1"/>
  <pageMargins left="0.7874015748031497" right="0.7874015748031497" top="1.062992125984252" bottom="0.984251968503937" header="0.7874015748031497" footer="0.7874015748031497"/>
  <pageSetup orientation="portrait" paperSize="9" scale="95" r:id="rId1"/>
  <headerFooter alignWithMargins="0">
    <oddHeader>&amp;L&amp;"Times New Roman,Félkövér dőlt"............................................Önkormányzat&amp;R&amp;"Times New Roman CE,Félkövér dőlt"7.2. tájékoztató tábla a ……/2018. (……) önkormányzati rendelethez</oddHeader>
  </headerFooter>
</worksheet>
</file>

<file path=xl/worksheets/sheet4.xml><?xml version="1.0" encoding="utf-8"?>
<worksheet xmlns="http://schemas.openxmlformats.org/spreadsheetml/2006/main" xmlns:r="http://schemas.openxmlformats.org/officeDocument/2006/relationships">
  <sheetPr>
    <tabColor rgb="FF92D050"/>
  </sheetPr>
  <dimension ref="A1:I166"/>
  <sheetViews>
    <sheetView tabSelected="1" zoomScale="120" zoomScaleNormal="120" zoomScaleSheetLayoutView="100" workbookViewId="0" topLeftCell="A1">
      <selection activeCell="E84" sqref="E84"/>
    </sheetView>
  </sheetViews>
  <sheetFormatPr defaultColWidth="9.00390625" defaultRowHeight="12.75"/>
  <cols>
    <col min="1" max="1" width="9.50390625" style="156" customWidth="1"/>
    <col min="2" max="2" width="65.875" style="156" customWidth="1"/>
    <col min="3" max="3" width="17.875" style="157" customWidth="1"/>
    <col min="4" max="4" width="19.00390625" style="178" customWidth="1"/>
    <col min="5" max="5" width="17.875" style="178" customWidth="1"/>
    <col min="6" max="16384" width="9.375" style="178" customWidth="1"/>
  </cols>
  <sheetData>
    <row r="1" spans="1:5" ht="15.75">
      <c r="A1" s="318"/>
      <c r="B1" s="797" t="str">
        <f>CONCATENATE("1.1. melléklet ",Z_ALAPADATOK!A7," ",Z_ALAPADATOK!B7," ",Z_ALAPADATOK!C7," ",Z_ALAPADATOK!D7," ",Z_ALAPADATOK!E7," ",Z_ALAPADATOK!F7," ",Z_ALAPADATOK!G7," ",Z_ALAPADATOK!H7)</f>
        <v>1.1. melléklet a 4 / 2020. ( VII.17. ) önkormányzati rendelethez</v>
      </c>
      <c r="C1" s="798"/>
      <c r="D1" s="798"/>
      <c r="E1" s="798"/>
    </row>
    <row r="2" spans="1:5" ht="15.75">
      <c r="A2" s="799" t="str">
        <f>CONCATENATE(Z_ALAPADATOK!A3)</f>
        <v>Kállósemjén Nagyközség Önkormányzata</v>
      </c>
      <c r="B2" s="800"/>
      <c r="C2" s="800"/>
      <c r="D2" s="800"/>
      <c r="E2" s="800"/>
    </row>
    <row r="3" spans="1:5" ht="15.75">
      <c r="A3" s="799" t="str">
        <f>CONCATENATE(Z_ALAPADATOK!B1,". évi ZÁRSZÁMADÁSÁNAK PÉNZÜGYI MÉRLEGE")</f>
        <v>2019. évi ZÁRSZÁMADÁSÁNAK PÉNZÜGYI MÉRLEGE</v>
      </c>
      <c r="B3" s="799"/>
      <c r="C3" s="801"/>
      <c r="D3" s="799"/>
      <c r="E3" s="799"/>
    </row>
    <row r="4" spans="1:5" ht="12" customHeight="1">
      <c r="A4" s="799"/>
      <c r="B4" s="799"/>
      <c r="C4" s="801"/>
      <c r="D4" s="799"/>
      <c r="E4" s="799"/>
    </row>
    <row r="5" spans="1:5" ht="15.75">
      <c r="A5" s="318"/>
      <c r="B5" s="318"/>
      <c r="C5" s="319"/>
      <c r="D5" s="320"/>
      <c r="E5" s="320"/>
    </row>
    <row r="6" spans="1:5" ht="15.75" customHeight="1">
      <c r="A6" s="793" t="s">
        <v>3</v>
      </c>
      <c r="B6" s="793"/>
      <c r="C6" s="793"/>
      <c r="D6" s="793"/>
      <c r="E6" s="793"/>
    </row>
    <row r="7" spans="1:5" ht="15.75" customHeight="1" thickBot="1">
      <c r="A7" s="795" t="s">
        <v>100</v>
      </c>
      <c r="B7" s="795"/>
      <c r="C7" s="321"/>
      <c r="D7" s="320"/>
      <c r="E7" s="321" t="s">
        <v>487</v>
      </c>
    </row>
    <row r="8" spans="1:5" ht="15.75">
      <c r="A8" s="803" t="s">
        <v>51</v>
      </c>
      <c r="B8" s="805" t="s">
        <v>5</v>
      </c>
      <c r="C8" s="789" t="str">
        <f>+CONCATENATE(LEFT(Z_ÖSSZEFÜGGÉSEK!A6,4),". évi")</f>
        <v>2019. évi</v>
      </c>
      <c r="D8" s="790"/>
      <c r="E8" s="791"/>
    </row>
    <row r="9" spans="1:5" ht="24.75" thickBot="1">
      <c r="A9" s="804"/>
      <c r="B9" s="806"/>
      <c r="C9" s="251" t="s">
        <v>418</v>
      </c>
      <c r="D9" s="250" t="s">
        <v>419</v>
      </c>
      <c r="E9" s="311" t="str">
        <f>+CONCATENATE(LEFT(Z_ÖSSZEFÜGGÉSEK!A6,4),". XII. 31.",CHAR(10),"teljesítés")</f>
        <v>2019. XII. 31.
teljesítés</v>
      </c>
    </row>
    <row r="10" spans="1:5" s="179" customFormat="1" ht="12" customHeight="1" thickBot="1">
      <c r="A10" s="175" t="s">
        <v>385</v>
      </c>
      <c r="B10" s="176" t="s">
        <v>386</v>
      </c>
      <c r="C10" s="176" t="s">
        <v>387</v>
      </c>
      <c r="D10" s="176" t="s">
        <v>389</v>
      </c>
      <c r="E10" s="252" t="s">
        <v>388</v>
      </c>
    </row>
    <row r="11" spans="1:5" s="180" customFormat="1" ht="12" customHeight="1" thickBot="1">
      <c r="A11" s="18" t="s">
        <v>6</v>
      </c>
      <c r="B11" s="19" t="s">
        <v>161</v>
      </c>
      <c r="C11" s="168">
        <f>+C12+C13+C14+C15+C16+C17</f>
        <v>306085968</v>
      </c>
      <c r="D11" s="168">
        <f>+D12+D13+D14+D15+D16+D17</f>
        <v>307217491</v>
      </c>
      <c r="E11" s="104">
        <f>+E12+E13+E14+E15+E16+E17</f>
        <v>292384339</v>
      </c>
    </row>
    <row r="12" spans="1:5" s="180" customFormat="1" ht="12" customHeight="1">
      <c r="A12" s="13" t="s">
        <v>63</v>
      </c>
      <c r="B12" s="181" t="s">
        <v>162</v>
      </c>
      <c r="C12" s="170">
        <v>127996975</v>
      </c>
      <c r="D12" s="170">
        <v>127996975</v>
      </c>
      <c r="E12" s="106">
        <v>130701805</v>
      </c>
    </row>
    <row r="13" spans="1:5" s="180" customFormat="1" ht="12" customHeight="1">
      <c r="A13" s="12" t="s">
        <v>64</v>
      </c>
      <c r="B13" s="182" t="s">
        <v>163</v>
      </c>
      <c r="C13" s="169">
        <v>57524400</v>
      </c>
      <c r="D13" s="169">
        <v>57524400</v>
      </c>
      <c r="E13" s="105">
        <v>59874484</v>
      </c>
    </row>
    <row r="14" spans="1:5" s="180" customFormat="1" ht="12" customHeight="1">
      <c r="A14" s="12" t="s">
        <v>65</v>
      </c>
      <c r="B14" s="182" t="s">
        <v>164</v>
      </c>
      <c r="C14" s="169">
        <v>77966400</v>
      </c>
      <c r="D14" s="169">
        <v>77966400</v>
      </c>
      <c r="E14" s="105">
        <v>79081659</v>
      </c>
    </row>
    <row r="15" spans="1:5" s="180" customFormat="1" ht="12" customHeight="1">
      <c r="A15" s="12" t="s">
        <v>66</v>
      </c>
      <c r="B15" s="182" t="s">
        <v>165</v>
      </c>
      <c r="C15" s="169">
        <v>4515720</v>
      </c>
      <c r="D15" s="169">
        <v>5647243</v>
      </c>
      <c r="E15" s="105">
        <v>6093331</v>
      </c>
    </row>
    <row r="16" spans="1:5" s="180" customFormat="1" ht="12" customHeight="1">
      <c r="A16" s="12" t="s">
        <v>97</v>
      </c>
      <c r="B16" s="112" t="s">
        <v>333</v>
      </c>
      <c r="C16" s="169">
        <v>38082473</v>
      </c>
      <c r="D16" s="169">
        <v>38082473</v>
      </c>
      <c r="E16" s="105">
        <v>16633060</v>
      </c>
    </row>
    <row r="17" spans="1:5" s="180" customFormat="1" ht="12" customHeight="1" thickBot="1">
      <c r="A17" s="14" t="s">
        <v>67</v>
      </c>
      <c r="B17" s="113" t="s">
        <v>334</v>
      </c>
      <c r="C17" s="169"/>
      <c r="D17" s="169"/>
      <c r="E17" s="105"/>
    </row>
    <row r="18" spans="1:5" s="180" customFormat="1" ht="12" customHeight="1" thickBot="1">
      <c r="A18" s="18" t="s">
        <v>7</v>
      </c>
      <c r="B18" s="111" t="s">
        <v>166</v>
      </c>
      <c r="C18" s="168">
        <f>+C19+C20+C21+C22+C23</f>
        <v>126121616</v>
      </c>
      <c r="D18" s="168">
        <f>+D19+D20+D21+D22+D23</f>
        <v>155541371</v>
      </c>
      <c r="E18" s="104">
        <f>+E19+E20+E21+E22+E23</f>
        <v>173110984</v>
      </c>
    </row>
    <row r="19" spans="1:5" s="180" customFormat="1" ht="12" customHeight="1">
      <c r="A19" s="13" t="s">
        <v>69</v>
      </c>
      <c r="B19" s="181" t="s">
        <v>167</v>
      </c>
      <c r="C19" s="170"/>
      <c r="D19" s="170"/>
      <c r="E19" s="106"/>
    </row>
    <row r="20" spans="1:5" s="180" customFormat="1" ht="12" customHeight="1">
      <c r="A20" s="12" t="s">
        <v>70</v>
      </c>
      <c r="B20" s="182" t="s">
        <v>168</v>
      </c>
      <c r="C20" s="169"/>
      <c r="D20" s="169"/>
      <c r="E20" s="105"/>
    </row>
    <row r="21" spans="1:5" s="180" customFormat="1" ht="12" customHeight="1">
      <c r="A21" s="12" t="s">
        <v>71</v>
      </c>
      <c r="B21" s="182" t="s">
        <v>325</v>
      </c>
      <c r="C21" s="169"/>
      <c r="D21" s="169"/>
      <c r="E21" s="105"/>
    </row>
    <row r="22" spans="1:5" s="180" customFormat="1" ht="12" customHeight="1">
      <c r="A22" s="12" t="s">
        <v>72</v>
      </c>
      <c r="B22" s="182" t="s">
        <v>326</v>
      </c>
      <c r="C22" s="169"/>
      <c r="D22" s="169"/>
      <c r="E22" s="105"/>
    </row>
    <row r="23" spans="1:5" s="180" customFormat="1" ht="12" customHeight="1">
      <c r="A23" s="12" t="s">
        <v>73</v>
      </c>
      <c r="B23" s="182" t="s">
        <v>169</v>
      </c>
      <c r="C23" s="169">
        <v>126121616</v>
      </c>
      <c r="D23" s="169">
        <v>155541371</v>
      </c>
      <c r="E23" s="105">
        <v>173110984</v>
      </c>
    </row>
    <row r="24" spans="1:5" s="180" customFormat="1" ht="12" customHeight="1" thickBot="1">
      <c r="A24" s="14" t="s">
        <v>80</v>
      </c>
      <c r="B24" s="113" t="s">
        <v>170</v>
      </c>
      <c r="C24" s="171"/>
      <c r="D24" s="171">
        <v>34001502</v>
      </c>
      <c r="E24" s="107">
        <v>34001502</v>
      </c>
    </row>
    <row r="25" spans="1:5" s="180" customFormat="1" ht="12" customHeight="1" thickBot="1">
      <c r="A25" s="18" t="s">
        <v>8</v>
      </c>
      <c r="B25" s="19" t="s">
        <v>171</v>
      </c>
      <c r="C25" s="168">
        <f>+C26+C27+C28+C29+C30</f>
        <v>0</v>
      </c>
      <c r="D25" s="168">
        <f>+D26+D27+D28+D29+D30</f>
        <v>122200885</v>
      </c>
      <c r="E25" s="104">
        <f>+E26+E27+E28+E29+E30</f>
        <v>161074272</v>
      </c>
    </row>
    <row r="26" spans="1:5" s="180" customFormat="1" ht="12" customHeight="1">
      <c r="A26" s="13" t="s">
        <v>52</v>
      </c>
      <c r="B26" s="181" t="s">
        <v>172</v>
      </c>
      <c r="C26" s="170"/>
      <c r="D26" s="170">
        <v>106200046</v>
      </c>
      <c r="E26" s="106">
        <v>80334000</v>
      </c>
    </row>
    <row r="27" spans="1:5" s="180" customFormat="1" ht="12" customHeight="1">
      <c r="A27" s="12" t="s">
        <v>53</v>
      </c>
      <c r="B27" s="182" t="s">
        <v>173</v>
      </c>
      <c r="C27" s="169"/>
      <c r="D27" s="169"/>
      <c r="E27" s="105"/>
    </row>
    <row r="28" spans="1:5" s="180" customFormat="1" ht="12" customHeight="1">
      <c r="A28" s="12" t="s">
        <v>54</v>
      </c>
      <c r="B28" s="182" t="s">
        <v>327</v>
      </c>
      <c r="C28" s="169"/>
      <c r="D28" s="169"/>
      <c r="E28" s="105"/>
    </row>
    <row r="29" spans="1:5" s="180" customFormat="1" ht="12" customHeight="1">
      <c r="A29" s="12" t="s">
        <v>55</v>
      </c>
      <c r="B29" s="182" t="s">
        <v>328</v>
      </c>
      <c r="C29" s="169"/>
      <c r="D29" s="169"/>
      <c r="E29" s="105"/>
    </row>
    <row r="30" spans="1:5" s="180" customFormat="1" ht="12" customHeight="1">
      <c r="A30" s="12" t="s">
        <v>110</v>
      </c>
      <c r="B30" s="182" t="s">
        <v>174</v>
      </c>
      <c r="C30" s="169"/>
      <c r="D30" s="169">
        <v>16000839</v>
      </c>
      <c r="E30" s="105">
        <v>80740272</v>
      </c>
    </row>
    <row r="31" spans="1:5" s="180" customFormat="1" ht="12" customHeight="1" thickBot="1">
      <c r="A31" s="14" t="s">
        <v>111</v>
      </c>
      <c r="B31" s="183" t="s">
        <v>175</v>
      </c>
      <c r="C31" s="171"/>
      <c r="D31" s="171">
        <v>16000839</v>
      </c>
      <c r="E31" s="107">
        <v>70071082</v>
      </c>
    </row>
    <row r="32" spans="1:5" s="180" customFormat="1" ht="12" customHeight="1" thickBot="1">
      <c r="A32" s="18" t="s">
        <v>112</v>
      </c>
      <c r="B32" s="19" t="s">
        <v>476</v>
      </c>
      <c r="C32" s="174">
        <f>SUM(C33:C39)</f>
        <v>52630600</v>
      </c>
      <c r="D32" s="174">
        <f>SUM(D33:D39)</f>
        <v>55768175</v>
      </c>
      <c r="E32" s="210">
        <f>SUM(E33:E39)</f>
        <v>63469415</v>
      </c>
    </row>
    <row r="33" spans="1:5" s="180" customFormat="1" ht="12" customHeight="1">
      <c r="A33" s="13" t="s">
        <v>176</v>
      </c>
      <c r="B33" s="759" t="s">
        <v>477</v>
      </c>
      <c r="C33" s="170"/>
      <c r="D33" s="170"/>
      <c r="E33" s="106"/>
    </row>
    <row r="34" spans="1:5" s="180" customFormat="1" ht="12" customHeight="1">
      <c r="A34" s="12" t="s">
        <v>177</v>
      </c>
      <c r="B34" s="760" t="s">
        <v>861</v>
      </c>
      <c r="C34" s="169"/>
      <c r="D34" s="169"/>
      <c r="E34" s="105"/>
    </row>
    <row r="35" spans="1:5" s="180" customFormat="1" ht="12" customHeight="1">
      <c r="A35" s="12" t="s">
        <v>178</v>
      </c>
      <c r="B35" s="760" t="s">
        <v>478</v>
      </c>
      <c r="C35" s="169">
        <v>30000000</v>
      </c>
      <c r="D35" s="169">
        <v>33137575</v>
      </c>
      <c r="E35" s="105">
        <v>40715898</v>
      </c>
    </row>
    <row r="36" spans="1:5" s="180" customFormat="1" ht="12" customHeight="1">
      <c r="A36" s="12" t="s">
        <v>179</v>
      </c>
      <c r="B36" s="760" t="s">
        <v>479</v>
      </c>
      <c r="C36" s="169">
        <v>600000</v>
      </c>
      <c r="D36" s="169">
        <v>600000</v>
      </c>
      <c r="E36" s="105">
        <v>527750</v>
      </c>
    </row>
    <row r="37" spans="1:5" s="180" customFormat="1" ht="12" customHeight="1">
      <c r="A37" s="12" t="s">
        <v>480</v>
      </c>
      <c r="B37" s="760" t="s">
        <v>180</v>
      </c>
      <c r="C37" s="169">
        <v>7800000</v>
      </c>
      <c r="D37" s="169">
        <v>7800000</v>
      </c>
      <c r="E37" s="105">
        <v>9884105</v>
      </c>
    </row>
    <row r="38" spans="1:5" s="180" customFormat="1" ht="12" customHeight="1">
      <c r="A38" s="12" t="s">
        <v>481</v>
      </c>
      <c r="B38" s="760" t="s">
        <v>872</v>
      </c>
      <c r="C38" s="169">
        <v>730600</v>
      </c>
      <c r="D38" s="169">
        <v>730600</v>
      </c>
      <c r="E38" s="105">
        <v>714345</v>
      </c>
    </row>
    <row r="39" spans="1:5" s="180" customFormat="1" ht="12" customHeight="1" thickBot="1">
      <c r="A39" s="14" t="s">
        <v>482</v>
      </c>
      <c r="B39" s="761" t="s">
        <v>846</v>
      </c>
      <c r="C39" s="171">
        <v>13500000</v>
      </c>
      <c r="D39" s="171">
        <v>13500000</v>
      </c>
      <c r="E39" s="107">
        <v>11627317</v>
      </c>
    </row>
    <row r="40" spans="1:5" s="180" customFormat="1" ht="12" customHeight="1" thickBot="1">
      <c r="A40" s="18" t="s">
        <v>10</v>
      </c>
      <c r="B40" s="19" t="s">
        <v>335</v>
      </c>
      <c r="C40" s="168">
        <f>SUM(C41:C51)</f>
        <v>48473454</v>
      </c>
      <c r="D40" s="168">
        <f>SUM(D41:D51)</f>
        <v>69073499</v>
      </c>
      <c r="E40" s="104">
        <f>SUM(E41:E51)</f>
        <v>83064740</v>
      </c>
    </row>
    <row r="41" spans="1:5" s="180" customFormat="1" ht="12" customHeight="1">
      <c r="A41" s="13" t="s">
        <v>56</v>
      </c>
      <c r="B41" s="181" t="s">
        <v>183</v>
      </c>
      <c r="C41" s="170">
        <v>50000</v>
      </c>
      <c r="D41" s="170">
        <v>6952756</v>
      </c>
      <c r="E41" s="106">
        <v>6614835</v>
      </c>
    </row>
    <row r="42" spans="1:5" s="180" customFormat="1" ht="12" customHeight="1">
      <c r="A42" s="12" t="s">
        <v>57</v>
      </c>
      <c r="B42" s="182" t="s">
        <v>184</v>
      </c>
      <c r="C42" s="169">
        <v>8844760</v>
      </c>
      <c r="D42" s="169">
        <v>13450203</v>
      </c>
      <c r="E42" s="105">
        <v>22303913</v>
      </c>
    </row>
    <row r="43" spans="1:5" s="180" customFormat="1" ht="12" customHeight="1">
      <c r="A43" s="12" t="s">
        <v>58</v>
      </c>
      <c r="B43" s="182" t="s">
        <v>185</v>
      </c>
      <c r="C43" s="169"/>
      <c r="D43" s="169">
        <v>1071157</v>
      </c>
      <c r="E43" s="105">
        <v>1056169</v>
      </c>
    </row>
    <row r="44" spans="1:5" s="180" customFormat="1" ht="12" customHeight="1">
      <c r="A44" s="12" t="s">
        <v>114</v>
      </c>
      <c r="B44" s="182" t="s">
        <v>186</v>
      </c>
      <c r="C44" s="169"/>
      <c r="D44" s="169"/>
      <c r="E44" s="105"/>
    </row>
    <row r="45" spans="1:5" s="180" customFormat="1" ht="12" customHeight="1">
      <c r="A45" s="12" t="s">
        <v>115</v>
      </c>
      <c r="B45" s="182" t="s">
        <v>187</v>
      </c>
      <c r="C45" s="169">
        <v>29301932</v>
      </c>
      <c r="D45" s="169">
        <v>29366074</v>
      </c>
      <c r="E45" s="105">
        <v>22870037</v>
      </c>
    </row>
    <row r="46" spans="1:5" s="180" customFormat="1" ht="12" customHeight="1">
      <c r="A46" s="12" t="s">
        <v>116</v>
      </c>
      <c r="B46" s="182" t="s">
        <v>188</v>
      </c>
      <c r="C46" s="169">
        <v>10276762</v>
      </c>
      <c r="D46" s="169">
        <v>12977528</v>
      </c>
      <c r="E46" s="105">
        <v>16343977</v>
      </c>
    </row>
    <row r="47" spans="1:5" s="180" customFormat="1" ht="12" customHeight="1">
      <c r="A47" s="12" t="s">
        <v>117</v>
      </c>
      <c r="B47" s="182" t="s">
        <v>189</v>
      </c>
      <c r="C47" s="169"/>
      <c r="D47" s="169"/>
      <c r="E47" s="105"/>
    </row>
    <row r="48" spans="1:5" s="180" customFormat="1" ht="12" customHeight="1">
      <c r="A48" s="12" t="s">
        <v>118</v>
      </c>
      <c r="B48" s="182" t="s">
        <v>483</v>
      </c>
      <c r="C48" s="169"/>
      <c r="D48" s="169">
        <v>68107</v>
      </c>
      <c r="E48" s="105">
        <v>59335</v>
      </c>
    </row>
    <row r="49" spans="1:5" s="180" customFormat="1" ht="12" customHeight="1">
      <c r="A49" s="12" t="s">
        <v>181</v>
      </c>
      <c r="B49" s="182" t="s">
        <v>191</v>
      </c>
      <c r="C49" s="172"/>
      <c r="D49" s="172"/>
      <c r="E49" s="108"/>
    </row>
    <row r="50" spans="1:5" s="180" customFormat="1" ht="12" customHeight="1">
      <c r="A50" s="14" t="s">
        <v>182</v>
      </c>
      <c r="B50" s="183" t="s">
        <v>337</v>
      </c>
      <c r="C50" s="173"/>
      <c r="D50" s="173"/>
      <c r="E50" s="109"/>
    </row>
    <row r="51" spans="1:5" s="180" customFormat="1" ht="12" customHeight="1" thickBot="1">
      <c r="A51" s="14" t="s">
        <v>336</v>
      </c>
      <c r="B51" s="113" t="s">
        <v>192</v>
      </c>
      <c r="C51" s="173"/>
      <c r="D51" s="173">
        <v>5187674</v>
      </c>
      <c r="E51" s="109">
        <v>13816474</v>
      </c>
    </row>
    <row r="52" spans="1:5" s="180" customFormat="1" ht="12" customHeight="1" thickBot="1">
      <c r="A52" s="18" t="s">
        <v>11</v>
      </c>
      <c r="B52" s="19" t="s">
        <v>193</v>
      </c>
      <c r="C52" s="168">
        <f>SUM(C53:C57)</f>
        <v>20011156</v>
      </c>
      <c r="D52" s="168">
        <f>SUM(D53:D57)</f>
        <v>20011156</v>
      </c>
      <c r="E52" s="104">
        <f>SUM(E53:E57)</f>
        <v>0</v>
      </c>
    </row>
    <row r="53" spans="1:5" s="180" customFormat="1" ht="12" customHeight="1">
      <c r="A53" s="13" t="s">
        <v>59</v>
      </c>
      <c r="B53" s="181" t="s">
        <v>197</v>
      </c>
      <c r="C53" s="221"/>
      <c r="D53" s="221"/>
      <c r="E53" s="110"/>
    </row>
    <row r="54" spans="1:5" s="180" customFormat="1" ht="12" customHeight="1">
      <c r="A54" s="12" t="s">
        <v>60</v>
      </c>
      <c r="B54" s="182" t="s">
        <v>198</v>
      </c>
      <c r="C54" s="172">
        <v>20011156</v>
      </c>
      <c r="D54" s="172">
        <v>20011156</v>
      </c>
      <c r="E54" s="108"/>
    </row>
    <row r="55" spans="1:5" s="180" customFormat="1" ht="12" customHeight="1">
      <c r="A55" s="12" t="s">
        <v>194</v>
      </c>
      <c r="B55" s="182" t="s">
        <v>199</v>
      </c>
      <c r="C55" s="172"/>
      <c r="D55" s="172"/>
      <c r="E55" s="108"/>
    </row>
    <row r="56" spans="1:5" s="180" customFormat="1" ht="12" customHeight="1">
      <c r="A56" s="12" t="s">
        <v>195</v>
      </c>
      <c r="B56" s="182" t="s">
        <v>200</v>
      </c>
      <c r="C56" s="172"/>
      <c r="D56" s="172"/>
      <c r="E56" s="108"/>
    </row>
    <row r="57" spans="1:5" s="180" customFormat="1" ht="12" customHeight="1" thickBot="1">
      <c r="A57" s="14" t="s">
        <v>196</v>
      </c>
      <c r="B57" s="113" t="s">
        <v>201</v>
      </c>
      <c r="C57" s="173"/>
      <c r="D57" s="173"/>
      <c r="E57" s="109"/>
    </row>
    <row r="58" spans="1:5" s="180" customFormat="1" ht="12" customHeight="1" thickBot="1">
      <c r="A58" s="18" t="s">
        <v>119</v>
      </c>
      <c r="B58" s="19" t="s">
        <v>202</v>
      </c>
      <c r="C58" s="168">
        <f>SUM(C59:C61)</f>
        <v>0</v>
      </c>
      <c r="D58" s="168">
        <f>SUM(D59:D61)</f>
        <v>1714506</v>
      </c>
      <c r="E58" s="104">
        <f>SUM(E59:E61)</f>
        <v>1776006</v>
      </c>
    </row>
    <row r="59" spans="1:5" s="180" customFormat="1" ht="12" customHeight="1">
      <c r="A59" s="13" t="s">
        <v>61</v>
      </c>
      <c r="B59" s="181" t="s">
        <v>203</v>
      </c>
      <c r="C59" s="170"/>
      <c r="D59" s="170"/>
      <c r="E59" s="106"/>
    </row>
    <row r="60" spans="1:5" s="180" customFormat="1" ht="12" customHeight="1">
      <c r="A60" s="12" t="s">
        <v>62</v>
      </c>
      <c r="B60" s="182" t="s">
        <v>329</v>
      </c>
      <c r="C60" s="169"/>
      <c r="D60" s="169">
        <v>1591955</v>
      </c>
      <c r="E60" s="105">
        <v>1645275</v>
      </c>
    </row>
    <row r="61" spans="1:5" s="180" customFormat="1" ht="12" customHeight="1">
      <c r="A61" s="12" t="s">
        <v>206</v>
      </c>
      <c r="B61" s="182" t="s">
        <v>204</v>
      </c>
      <c r="C61" s="169"/>
      <c r="D61" s="169">
        <v>122551</v>
      </c>
      <c r="E61" s="105">
        <v>130731</v>
      </c>
    </row>
    <row r="62" spans="1:5" s="180" customFormat="1" ht="12" customHeight="1" thickBot="1">
      <c r="A62" s="14" t="s">
        <v>207</v>
      </c>
      <c r="B62" s="113" t="s">
        <v>205</v>
      </c>
      <c r="C62" s="171"/>
      <c r="D62" s="171"/>
      <c r="E62" s="107"/>
    </row>
    <row r="63" spans="1:5" s="180" customFormat="1" ht="12" customHeight="1" thickBot="1">
      <c r="A63" s="18" t="s">
        <v>13</v>
      </c>
      <c r="B63" s="111" t="s">
        <v>208</v>
      </c>
      <c r="C63" s="168">
        <f>SUM(C64:C66)</f>
        <v>0</v>
      </c>
      <c r="D63" s="168">
        <f>SUM(D64:D66)</f>
        <v>523800</v>
      </c>
      <c r="E63" s="104">
        <f>SUM(E64:E66)</f>
        <v>1110200</v>
      </c>
    </row>
    <row r="64" spans="1:5" s="180" customFormat="1" ht="12" customHeight="1">
      <c r="A64" s="13" t="s">
        <v>120</v>
      </c>
      <c r="B64" s="181" t="s">
        <v>210</v>
      </c>
      <c r="C64" s="172"/>
      <c r="D64" s="172"/>
      <c r="E64" s="108"/>
    </row>
    <row r="65" spans="1:5" s="180" customFormat="1" ht="12" customHeight="1">
      <c r="A65" s="12" t="s">
        <v>121</v>
      </c>
      <c r="B65" s="182" t="s">
        <v>330</v>
      </c>
      <c r="C65" s="172"/>
      <c r="D65" s="172"/>
      <c r="E65" s="108"/>
    </row>
    <row r="66" spans="1:5" s="180" customFormat="1" ht="12" customHeight="1">
      <c r="A66" s="12" t="s">
        <v>144</v>
      </c>
      <c r="B66" s="182" t="s">
        <v>211</v>
      </c>
      <c r="C66" s="172"/>
      <c r="D66" s="172">
        <v>523800</v>
      </c>
      <c r="E66" s="108">
        <v>1110200</v>
      </c>
    </row>
    <row r="67" spans="1:5" s="180" customFormat="1" ht="12" customHeight="1" thickBot="1">
      <c r="A67" s="14" t="s">
        <v>209</v>
      </c>
      <c r="B67" s="113" t="s">
        <v>212</v>
      </c>
      <c r="C67" s="172"/>
      <c r="D67" s="172"/>
      <c r="E67" s="108"/>
    </row>
    <row r="68" spans="1:5" s="180" customFormat="1" ht="12" customHeight="1" thickBot="1">
      <c r="A68" s="234" t="s">
        <v>377</v>
      </c>
      <c r="B68" s="19" t="s">
        <v>213</v>
      </c>
      <c r="C68" s="174">
        <f>+C11+C18+C25+C32+C40+C52+C58+C63</f>
        <v>553322794</v>
      </c>
      <c r="D68" s="174">
        <f>+D11+D18+D25+D32+D40+D52+D58+D63</f>
        <v>732050883</v>
      </c>
      <c r="E68" s="210">
        <f>+E11+E18+E25+E32+E40+E52+E58+E63</f>
        <v>775989956</v>
      </c>
    </row>
    <row r="69" spans="1:5" s="180" customFormat="1" ht="12" customHeight="1" thickBot="1">
      <c r="A69" s="222" t="s">
        <v>214</v>
      </c>
      <c r="B69" s="111" t="s">
        <v>215</v>
      </c>
      <c r="C69" s="168">
        <f>SUM(C70:C72)</f>
        <v>0</v>
      </c>
      <c r="D69" s="168">
        <f>SUM(D70:D72)</f>
        <v>0</v>
      </c>
      <c r="E69" s="104">
        <f>SUM(E70:E72)</f>
        <v>0</v>
      </c>
    </row>
    <row r="70" spans="1:5" s="180" customFormat="1" ht="12" customHeight="1">
      <c r="A70" s="13" t="s">
        <v>243</v>
      </c>
      <c r="B70" s="181" t="s">
        <v>216</v>
      </c>
      <c r="C70" s="172"/>
      <c r="D70" s="172"/>
      <c r="E70" s="108"/>
    </row>
    <row r="71" spans="1:5" s="180" customFormat="1" ht="12" customHeight="1">
      <c r="A71" s="12" t="s">
        <v>252</v>
      </c>
      <c r="B71" s="182" t="s">
        <v>217</v>
      </c>
      <c r="C71" s="172"/>
      <c r="D71" s="172"/>
      <c r="E71" s="108"/>
    </row>
    <row r="72" spans="1:5" s="180" customFormat="1" ht="12" customHeight="1" thickBot="1">
      <c r="A72" s="14" t="s">
        <v>253</v>
      </c>
      <c r="B72" s="230" t="s">
        <v>362</v>
      </c>
      <c r="C72" s="172"/>
      <c r="D72" s="172"/>
      <c r="E72" s="108"/>
    </row>
    <row r="73" spans="1:5" s="180" customFormat="1" ht="12" customHeight="1" thickBot="1">
      <c r="A73" s="222" t="s">
        <v>219</v>
      </c>
      <c r="B73" s="111" t="s">
        <v>220</v>
      </c>
      <c r="C73" s="168">
        <f>SUM(C74:C77)</f>
        <v>0</v>
      </c>
      <c r="D73" s="168">
        <f>SUM(D74:D77)</f>
        <v>0</v>
      </c>
      <c r="E73" s="104">
        <f>SUM(E74:E77)</f>
        <v>0</v>
      </c>
    </row>
    <row r="74" spans="1:5" s="180" customFormat="1" ht="12" customHeight="1">
      <c r="A74" s="13" t="s">
        <v>98</v>
      </c>
      <c r="B74" s="309" t="s">
        <v>221</v>
      </c>
      <c r="C74" s="172"/>
      <c r="D74" s="172"/>
      <c r="E74" s="108"/>
    </row>
    <row r="75" spans="1:5" s="180" customFormat="1" ht="12" customHeight="1">
      <c r="A75" s="12" t="s">
        <v>99</v>
      </c>
      <c r="B75" s="309" t="s">
        <v>490</v>
      </c>
      <c r="C75" s="172"/>
      <c r="D75" s="172"/>
      <c r="E75" s="108"/>
    </row>
    <row r="76" spans="1:5" s="180" customFormat="1" ht="12" customHeight="1">
      <c r="A76" s="12" t="s">
        <v>244</v>
      </c>
      <c r="B76" s="309" t="s">
        <v>222</v>
      </c>
      <c r="C76" s="172"/>
      <c r="D76" s="172"/>
      <c r="E76" s="108"/>
    </row>
    <row r="77" spans="1:5" s="180" customFormat="1" ht="12" customHeight="1" thickBot="1">
      <c r="A77" s="14" t="s">
        <v>245</v>
      </c>
      <c r="B77" s="310" t="s">
        <v>491</v>
      </c>
      <c r="C77" s="172"/>
      <c r="D77" s="172"/>
      <c r="E77" s="108"/>
    </row>
    <row r="78" spans="1:5" s="180" customFormat="1" ht="12" customHeight="1" thickBot="1">
      <c r="A78" s="222" t="s">
        <v>223</v>
      </c>
      <c r="B78" s="111" t="s">
        <v>224</v>
      </c>
      <c r="C78" s="168">
        <f>SUM(C79:C80)</f>
        <v>0</v>
      </c>
      <c r="D78" s="168">
        <f>SUM(D79:D80)</f>
        <v>91574849</v>
      </c>
      <c r="E78" s="104">
        <f>SUM(E79:E80)</f>
        <v>386269925</v>
      </c>
    </row>
    <row r="79" spans="1:5" s="180" customFormat="1" ht="12" customHeight="1">
      <c r="A79" s="13" t="s">
        <v>246</v>
      </c>
      <c r="B79" s="181" t="s">
        <v>225</v>
      </c>
      <c r="C79" s="172"/>
      <c r="D79" s="172">
        <v>91574849</v>
      </c>
      <c r="E79" s="108">
        <v>386269925</v>
      </c>
    </row>
    <row r="80" spans="1:5" s="180" customFormat="1" ht="12" customHeight="1" thickBot="1">
      <c r="A80" s="14" t="s">
        <v>247</v>
      </c>
      <c r="B80" s="113" t="s">
        <v>226</v>
      </c>
      <c r="C80" s="172"/>
      <c r="D80" s="172"/>
      <c r="E80" s="108"/>
    </row>
    <row r="81" spans="1:5" s="180" customFormat="1" ht="12" customHeight="1" thickBot="1">
      <c r="A81" s="222" t="s">
        <v>227</v>
      </c>
      <c r="B81" s="111" t="s">
        <v>228</v>
      </c>
      <c r="C81" s="168">
        <f>SUM(C82:C84)</f>
        <v>190268579</v>
      </c>
      <c r="D81" s="168">
        <f>SUM(D82:D84)</f>
        <v>191032088</v>
      </c>
      <c r="E81" s="104">
        <f>SUM(E82:E84)</f>
        <v>189811807</v>
      </c>
    </row>
    <row r="82" spans="1:5" s="180" customFormat="1" ht="12" customHeight="1">
      <c r="A82" s="13" t="s">
        <v>248</v>
      </c>
      <c r="B82" s="181" t="s">
        <v>229</v>
      </c>
      <c r="C82" s="172"/>
      <c r="D82" s="172">
        <v>763509</v>
      </c>
      <c r="E82" s="108">
        <v>14081659</v>
      </c>
    </row>
    <row r="83" spans="1:5" s="180" customFormat="1" ht="12" customHeight="1">
      <c r="A83" s="12" t="s">
        <v>249</v>
      </c>
      <c r="B83" s="182" t="s">
        <v>230</v>
      </c>
      <c r="C83" s="172"/>
      <c r="D83" s="172"/>
      <c r="E83" s="108"/>
    </row>
    <row r="84" spans="1:5" s="180" customFormat="1" ht="12" customHeight="1" thickBot="1">
      <c r="A84" s="14" t="s">
        <v>250</v>
      </c>
      <c r="B84" s="113" t="s">
        <v>873</v>
      </c>
      <c r="C84" s="172">
        <v>190268579</v>
      </c>
      <c r="D84" s="172">
        <v>190268579</v>
      </c>
      <c r="E84" s="108">
        <v>175730148</v>
      </c>
    </row>
    <row r="85" spans="1:5" s="180" customFormat="1" ht="12" customHeight="1" thickBot="1">
      <c r="A85" s="222" t="s">
        <v>231</v>
      </c>
      <c r="B85" s="111" t="s">
        <v>251</v>
      </c>
      <c r="C85" s="168">
        <f>SUM(C86:C89)</f>
        <v>0</v>
      </c>
      <c r="D85" s="168">
        <f>SUM(D86:D89)</f>
        <v>0</v>
      </c>
      <c r="E85" s="104">
        <f>SUM(E86:E89)</f>
        <v>0</v>
      </c>
    </row>
    <row r="86" spans="1:5" s="180" customFormat="1" ht="12" customHeight="1">
      <c r="A86" s="185" t="s">
        <v>232</v>
      </c>
      <c r="B86" s="181" t="s">
        <v>233</v>
      </c>
      <c r="C86" s="172"/>
      <c r="D86" s="172"/>
      <c r="E86" s="108"/>
    </row>
    <row r="87" spans="1:5" s="180" customFormat="1" ht="12" customHeight="1">
      <c r="A87" s="186" t="s">
        <v>234</v>
      </c>
      <c r="B87" s="182" t="s">
        <v>235</v>
      </c>
      <c r="C87" s="172"/>
      <c r="D87" s="172"/>
      <c r="E87" s="108"/>
    </row>
    <row r="88" spans="1:5" s="180" customFormat="1" ht="12" customHeight="1">
      <c r="A88" s="186" t="s">
        <v>236</v>
      </c>
      <c r="B88" s="182" t="s">
        <v>237</v>
      </c>
      <c r="C88" s="172"/>
      <c r="D88" s="172"/>
      <c r="E88" s="108"/>
    </row>
    <row r="89" spans="1:5" s="180" customFormat="1" ht="12" customHeight="1" thickBot="1">
      <c r="A89" s="187" t="s">
        <v>238</v>
      </c>
      <c r="B89" s="113" t="s">
        <v>239</v>
      </c>
      <c r="C89" s="172"/>
      <c r="D89" s="172"/>
      <c r="E89" s="108"/>
    </row>
    <row r="90" spans="1:5" s="180" customFormat="1" ht="12" customHeight="1" thickBot="1">
      <c r="A90" s="222" t="s">
        <v>240</v>
      </c>
      <c r="B90" s="111" t="s">
        <v>376</v>
      </c>
      <c r="C90" s="224"/>
      <c r="D90" s="224"/>
      <c r="E90" s="225"/>
    </row>
    <row r="91" spans="1:5" s="180" customFormat="1" ht="13.5" customHeight="1" thickBot="1">
      <c r="A91" s="222" t="s">
        <v>242</v>
      </c>
      <c r="B91" s="111" t="s">
        <v>241</v>
      </c>
      <c r="C91" s="224"/>
      <c r="D91" s="224"/>
      <c r="E91" s="225"/>
    </row>
    <row r="92" spans="1:5" s="180" customFormat="1" ht="15.75" customHeight="1" thickBot="1">
      <c r="A92" s="222" t="s">
        <v>254</v>
      </c>
      <c r="B92" s="188" t="s">
        <v>379</v>
      </c>
      <c r="C92" s="174">
        <f>+C69+C73+C78+C81+C85+C91+C90</f>
        <v>190268579</v>
      </c>
      <c r="D92" s="174">
        <f>+D69+D73+D78+D81+D85+D91+D90</f>
        <v>282606937</v>
      </c>
      <c r="E92" s="210">
        <f>+E69+E73+E78+E81+E85+E91+E90</f>
        <v>576081732</v>
      </c>
    </row>
    <row r="93" spans="1:5" s="180" customFormat="1" ht="25.5" customHeight="1" thickBot="1">
      <c r="A93" s="223" t="s">
        <v>378</v>
      </c>
      <c r="B93" s="189" t="s">
        <v>380</v>
      </c>
      <c r="C93" s="174">
        <f>+C68+C92</f>
        <v>743591373</v>
      </c>
      <c r="D93" s="174">
        <f>+D68+D92</f>
        <v>1014657820</v>
      </c>
      <c r="E93" s="210">
        <f>+E68+E92</f>
        <v>1352071688</v>
      </c>
    </row>
    <row r="94" spans="1:3" s="180" customFormat="1" ht="15" customHeight="1">
      <c r="A94" s="3"/>
      <c r="B94" s="4"/>
      <c r="C94" s="115"/>
    </row>
    <row r="95" spans="1:5" ht="16.5" customHeight="1">
      <c r="A95" s="794" t="s">
        <v>34</v>
      </c>
      <c r="B95" s="794"/>
      <c r="C95" s="794"/>
      <c r="D95" s="794"/>
      <c r="E95" s="794"/>
    </row>
    <row r="96" spans="1:5" s="190" customFormat="1" ht="16.5" customHeight="1" thickBot="1">
      <c r="A96" s="796" t="s">
        <v>101</v>
      </c>
      <c r="B96" s="796"/>
      <c r="C96" s="62"/>
      <c r="E96" s="62" t="str">
        <f>E7</f>
        <v> Forintban!</v>
      </c>
    </row>
    <row r="97" spans="1:5" ht="15.75">
      <c r="A97" s="803" t="s">
        <v>51</v>
      </c>
      <c r="B97" s="805" t="s">
        <v>420</v>
      </c>
      <c r="C97" s="789" t="str">
        <f>+CONCATENATE(LEFT(Z_ÖSSZEFÜGGÉSEK!A6,4),". évi")</f>
        <v>2019. évi</v>
      </c>
      <c r="D97" s="790"/>
      <c r="E97" s="791"/>
    </row>
    <row r="98" spans="1:5" ht="24.75" thickBot="1">
      <c r="A98" s="804"/>
      <c r="B98" s="806"/>
      <c r="C98" s="251" t="s">
        <v>418</v>
      </c>
      <c r="D98" s="250" t="s">
        <v>419</v>
      </c>
      <c r="E98" s="311" t="str">
        <f>CONCATENATE(E9)</f>
        <v>2019. XII. 31.
teljesítés</v>
      </c>
    </row>
    <row r="99" spans="1:5" s="179" customFormat="1" ht="12" customHeight="1" thickBot="1">
      <c r="A99" s="25" t="s">
        <v>385</v>
      </c>
      <c r="B99" s="26" t="s">
        <v>386</v>
      </c>
      <c r="C99" s="26" t="s">
        <v>387</v>
      </c>
      <c r="D99" s="26" t="s">
        <v>389</v>
      </c>
      <c r="E99" s="262" t="s">
        <v>388</v>
      </c>
    </row>
    <row r="100" spans="1:5" ht="12" customHeight="1" thickBot="1">
      <c r="A100" s="20" t="s">
        <v>6</v>
      </c>
      <c r="B100" s="24" t="s">
        <v>338</v>
      </c>
      <c r="C100" s="167">
        <f>C101+C102+C103+C104+C105+C118</f>
        <v>533311638</v>
      </c>
      <c r="D100" s="167">
        <f>D101+D102+D103+D104+D105+D118</f>
        <v>660390065</v>
      </c>
      <c r="E100" s="237">
        <f>E101+E102+E103+E104+E105+E118</f>
        <v>599815348</v>
      </c>
    </row>
    <row r="101" spans="1:5" ht="12" customHeight="1">
      <c r="A101" s="15" t="s">
        <v>63</v>
      </c>
      <c r="B101" s="8" t="s">
        <v>35</v>
      </c>
      <c r="C101" s="244">
        <v>244540205</v>
      </c>
      <c r="D101" s="244">
        <v>285631186</v>
      </c>
      <c r="E101" s="238">
        <v>281444334</v>
      </c>
    </row>
    <row r="102" spans="1:5" ht="12" customHeight="1">
      <c r="A102" s="12" t="s">
        <v>64</v>
      </c>
      <c r="B102" s="6" t="s">
        <v>122</v>
      </c>
      <c r="C102" s="169">
        <v>40619168</v>
      </c>
      <c r="D102" s="169">
        <v>48167685</v>
      </c>
      <c r="E102" s="105">
        <v>45846571</v>
      </c>
    </row>
    <row r="103" spans="1:5" ht="12" customHeight="1">
      <c r="A103" s="12" t="s">
        <v>65</v>
      </c>
      <c r="B103" s="6" t="s">
        <v>90</v>
      </c>
      <c r="C103" s="171">
        <v>187382749</v>
      </c>
      <c r="D103" s="171">
        <v>259234721</v>
      </c>
      <c r="E103" s="107">
        <v>215638080</v>
      </c>
    </row>
    <row r="104" spans="1:5" ht="12" customHeight="1">
      <c r="A104" s="12" t="s">
        <v>66</v>
      </c>
      <c r="B104" s="9" t="s">
        <v>123</v>
      </c>
      <c r="C104" s="171">
        <v>35847000</v>
      </c>
      <c r="D104" s="171">
        <v>39174500</v>
      </c>
      <c r="E104" s="107">
        <v>30394699</v>
      </c>
    </row>
    <row r="105" spans="1:5" ht="12" customHeight="1">
      <c r="A105" s="12" t="s">
        <v>75</v>
      </c>
      <c r="B105" s="17" t="s">
        <v>124</v>
      </c>
      <c r="C105" s="171">
        <f>SUM(C106:C118)</f>
        <v>24922516</v>
      </c>
      <c r="D105" s="171">
        <f>SUM(D106:D118)</f>
        <v>28181973</v>
      </c>
      <c r="E105" s="171">
        <f>SUM(E106:E118)</f>
        <v>26491664</v>
      </c>
    </row>
    <row r="106" spans="1:5" ht="12" customHeight="1">
      <c r="A106" s="12" t="s">
        <v>67</v>
      </c>
      <c r="B106" s="6" t="s">
        <v>343</v>
      </c>
      <c r="C106" s="171"/>
      <c r="D106" s="171">
        <v>307888</v>
      </c>
      <c r="E106" s="107">
        <v>307888</v>
      </c>
    </row>
    <row r="107" spans="1:5" ht="12" customHeight="1">
      <c r="A107" s="12" t="s">
        <v>68</v>
      </c>
      <c r="B107" s="66" t="s">
        <v>342</v>
      </c>
      <c r="C107" s="171"/>
      <c r="D107" s="171"/>
      <c r="E107" s="107"/>
    </row>
    <row r="108" spans="1:5" ht="12" customHeight="1">
      <c r="A108" s="12" t="s">
        <v>76</v>
      </c>
      <c r="B108" s="66" t="s">
        <v>341</v>
      </c>
      <c r="C108" s="171"/>
      <c r="D108" s="171"/>
      <c r="E108" s="107"/>
    </row>
    <row r="109" spans="1:5" ht="12" customHeight="1">
      <c r="A109" s="12" t="s">
        <v>77</v>
      </c>
      <c r="B109" s="64" t="s">
        <v>257</v>
      </c>
      <c r="C109" s="171"/>
      <c r="D109" s="171"/>
      <c r="E109" s="107"/>
    </row>
    <row r="110" spans="1:5" ht="12" customHeight="1">
      <c r="A110" s="12" t="s">
        <v>78</v>
      </c>
      <c r="B110" s="65" t="s">
        <v>258</v>
      </c>
      <c r="C110" s="171"/>
      <c r="D110" s="171"/>
      <c r="E110" s="107"/>
    </row>
    <row r="111" spans="1:5" ht="12" customHeight="1">
      <c r="A111" s="12" t="s">
        <v>79</v>
      </c>
      <c r="B111" s="65" t="s">
        <v>259</v>
      </c>
      <c r="C111" s="171"/>
      <c r="D111" s="171"/>
      <c r="E111" s="107"/>
    </row>
    <row r="112" spans="1:5" ht="12" customHeight="1">
      <c r="A112" s="12" t="s">
        <v>81</v>
      </c>
      <c r="B112" s="64" t="s">
        <v>260</v>
      </c>
      <c r="C112" s="171">
        <v>4190309</v>
      </c>
      <c r="D112" s="171">
        <v>4190309</v>
      </c>
      <c r="E112" s="107">
        <v>2500000</v>
      </c>
    </row>
    <row r="113" spans="1:5" ht="12" customHeight="1">
      <c r="A113" s="12" t="s">
        <v>125</v>
      </c>
      <c r="B113" s="64" t="s">
        <v>261</v>
      </c>
      <c r="C113" s="171"/>
      <c r="D113" s="171"/>
      <c r="E113" s="107"/>
    </row>
    <row r="114" spans="1:5" ht="12" customHeight="1">
      <c r="A114" s="12" t="s">
        <v>255</v>
      </c>
      <c r="B114" s="65" t="s">
        <v>262</v>
      </c>
      <c r="C114" s="171"/>
      <c r="D114" s="171">
        <v>2445000</v>
      </c>
      <c r="E114" s="107">
        <v>2445000</v>
      </c>
    </row>
    <row r="115" spans="1:5" ht="12" customHeight="1">
      <c r="A115" s="11" t="s">
        <v>256</v>
      </c>
      <c r="B115" s="66" t="s">
        <v>263</v>
      </c>
      <c r="C115" s="171"/>
      <c r="D115" s="171"/>
      <c r="E115" s="107"/>
    </row>
    <row r="116" spans="1:5" ht="12" customHeight="1">
      <c r="A116" s="12" t="s">
        <v>339</v>
      </c>
      <c r="B116" s="66" t="s">
        <v>264</v>
      </c>
      <c r="C116" s="171"/>
      <c r="D116" s="171"/>
      <c r="E116" s="107"/>
    </row>
    <row r="117" spans="1:5" ht="12" customHeight="1">
      <c r="A117" s="14" t="s">
        <v>340</v>
      </c>
      <c r="B117" s="66" t="s">
        <v>265</v>
      </c>
      <c r="C117" s="171">
        <v>20732207</v>
      </c>
      <c r="D117" s="171">
        <v>21238776</v>
      </c>
      <c r="E117" s="107">
        <v>21238776</v>
      </c>
    </row>
    <row r="118" spans="1:5" ht="12" customHeight="1">
      <c r="A118" s="12" t="s">
        <v>344</v>
      </c>
      <c r="B118" s="9" t="s">
        <v>36</v>
      </c>
      <c r="C118" s="169"/>
      <c r="D118" s="169"/>
      <c r="E118" s="105"/>
    </row>
    <row r="119" spans="1:5" ht="12" customHeight="1">
      <c r="A119" s="12" t="s">
        <v>345</v>
      </c>
      <c r="B119" s="6" t="s">
        <v>347</v>
      </c>
      <c r="C119" s="169"/>
      <c r="D119" s="169"/>
      <c r="E119" s="105"/>
    </row>
    <row r="120" spans="1:5" ht="12" customHeight="1" thickBot="1">
      <c r="A120" s="16" t="s">
        <v>346</v>
      </c>
      <c r="B120" s="233" t="s">
        <v>348</v>
      </c>
      <c r="C120" s="245"/>
      <c r="D120" s="245"/>
      <c r="E120" s="239"/>
    </row>
    <row r="121" spans="1:5" ht="12" customHeight="1" thickBot="1">
      <c r="A121" s="231" t="s">
        <v>7</v>
      </c>
      <c r="B121" s="232" t="s">
        <v>266</v>
      </c>
      <c r="C121" s="246">
        <f>+C122+C124+C126</f>
        <v>20011156</v>
      </c>
      <c r="D121" s="168">
        <f>+D122+D124+D126</f>
        <v>150700619</v>
      </c>
      <c r="E121" s="240">
        <f>+E122+E124+E126</f>
        <v>140244473</v>
      </c>
    </row>
    <row r="122" spans="1:5" ht="12" customHeight="1">
      <c r="A122" s="13" t="s">
        <v>69</v>
      </c>
      <c r="B122" s="6" t="s">
        <v>143</v>
      </c>
      <c r="C122" s="170">
        <v>9131377</v>
      </c>
      <c r="D122" s="255">
        <v>139820840</v>
      </c>
      <c r="E122" s="106">
        <v>137534852</v>
      </c>
    </row>
    <row r="123" spans="1:5" ht="12" customHeight="1">
      <c r="A123" s="13" t="s">
        <v>70</v>
      </c>
      <c r="B123" s="10" t="s">
        <v>270</v>
      </c>
      <c r="C123" s="170"/>
      <c r="D123" s="255">
        <v>56617728</v>
      </c>
      <c r="E123" s="106">
        <v>56617728</v>
      </c>
    </row>
    <row r="124" spans="1:5" ht="12" customHeight="1">
      <c r="A124" s="13" t="s">
        <v>71</v>
      </c>
      <c r="B124" s="10" t="s">
        <v>126</v>
      </c>
      <c r="C124" s="169">
        <v>10879779</v>
      </c>
      <c r="D124" s="256">
        <v>10879779</v>
      </c>
      <c r="E124" s="105">
        <v>2709621</v>
      </c>
    </row>
    <row r="125" spans="1:5" ht="12" customHeight="1">
      <c r="A125" s="13" t="s">
        <v>72</v>
      </c>
      <c r="B125" s="10" t="s">
        <v>271</v>
      </c>
      <c r="C125" s="169"/>
      <c r="D125" s="256"/>
      <c r="E125" s="105"/>
    </row>
    <row r="126" spans="1:5" ht="12" customHeight="1">
      <c r="A126" s="13" t="s">
        <v>73</v>
      </c>
      <c r="B126" s="113" t="s">
        <v>145</v>
      </c>
      <c r="C126" s="169"/>
      <c r="D126" s="256"/>
      <c r="E126" s="105"/>
    </row>
    <row r="127" spans="1:5" ht="12" customHeight="1">
      <c r="A127" s="13" t="s">
        <v>80</v>
      </c>
      <c r="B127" s="112" t="s">
        <v>331</v>
      </c>
      <c r="C127" s="169"/>
      <c r="D127" s="256"/>
      <c r="E127" s="105"/>
    </row>
    <row r="128" spans="1:5" ht="12" customHeight="1">
      <c r="A128" s="13" t="s">
        <v>82</v>
      </c>
      <c r="B128" s="177" t="s">
        <v>276</v>
      </c>
      <c r="C128" s="169"/>
      <c r="D128" s="256"/>
      <c r="E128" s="105"/>
    </row>
    <row r="129" spans="1:5" ht="15.75">
      <c r="A129" s="13" t="s">
        <v>127</v>
      </c>
      <c r="B129" s="65" t="s">
        <v>259</v>
      </c>
      <c r="C129" s="169"/>
      <c r="D129" s="256"/>
      <c r="E129" s="105"/>
    </row>
    <row r="130" spans="1:5" ht="12" customHeight="1">
      <c r="A130" s="13" t="s">
        <v>128</v>
      </c>
      <c r="B130" s="65" t="s">
        <v>275</v>
      </c>
      <c r="C130" s="169"/>
      <c r="D130" s="256"/>
      <c r="E130" s="105"/>
    </row>
    <row r="131" spans="1:5" ht="12" customHeight="1">
      <c r="A131" s="13" t="s">
        <v>129</v>
      </c>
      <c r="B131" s="65" t="s">
        <v>274</v>
      </c>
      <c r="C131" s="169"/>
      <c r="D131" s="256"/>
      <c r="E131" s="105"/>
    </row>
    <row r="132" spans="1:5" ht="12" customHeight="1">
      <c r="A132" s="13" t="s">
        <v>267</v>
      </c>
      <c r="B132" s="65" t="s">
        <v>262</v>
      </c>
      <c r="C132" s="169"/>
      <c r="D132" s="256"/>
      <c r="E132" s="105"/>
    </row>
    <row r="133" spans="1:5" ht="12" customHeight="1">
      <c r="A133" s="13" t="s">
        <v>268</v>
      </c>
      <c r="B133" s="65" t="s">
        <v>273</v>
      </c>
      <c r="C133" s="169"/>
      <c r="D133" s="256"/>
      <c r="E133" s="105"/>
    </row>
    <row r="134" spans="1:5" ht="16.5" thickBot="1">
      <c r="A134" s="11" t="s">
        <v>269</v>
      </c>
      <c r="B134" s="65" t="s">
        <v>272</v>
      </c>
      <c r="C134" s="171"/>
      <c r="D134" s="257"/>
      <c r="E134" s="107"/>
    </row>
    <row r="135" spans="1:5" ht="12" customHeight="1" thickBot="1">
      <c r="A135" s="18" t="s">
        <v>8</v>
      </c>
      <c r="B135" s="58" t="s">
        <v>349</v>
      </c>
      <c r="C135" s="168">
        <f>+C100+C121</f>
        <v>553322794</v>
      </c>
      <c r="D135" s="254">
        <f>+D100+D121</f>
        <v>811090684</v>
      </c>
      <c r="E135" s="104">
        <f>+E100+E121</f>
        <v>740059821</v>
      </c>
    </row>
    <row r="136" spans="1:5" ht="12" customHeight="1" thickBot="1">
      <c r="A136" s="18" t="s">
        <v>9</v>
      </c>
      <c r="B136" s="58" t="s">
        <v>421</v>
      </c>
      <c r="C136" s="168">
        <f>+C137+C138+C139</f>
        <v>0</v>
      </c>
      <c r="D136" s="254">
        <f>+D137+D138+D139</f>
        <v>0</v>
      </c>
      <c r="E136" s="104">
        <f>+E137+E138+E139</f>
        <v>0</v>
      </c>
    </row>
    <row r="137" spans="1:5" ht="12" customHeight="1">
      <c r="A137" s="13" t="s">
        <v>176</v>
      </c>
      <c r="B137" s="10" t="s">
        <v>357</v>
      </c>
      <c r="C137" s="169"/>
      <c r="D137" s="256"/>
      <c r="E137" s="105"/>
    </row>
    <row r="138" spans="1:5" ht="12" customHeight="1">
      <c r="A138" s="13" t="s">
        <v>177</v>
      </c>
      <c r="B138" s="10" t="s">
        <v>358</v>
      </c>
      <c r="C138" s="169"/>
      <c r="D138" s="256"/>
      <c r="E138" s="105"/>
    </row>
    <row r="139" spans="1:5" ht="12" customHeight="1" thickBot="1">
      <c r="A139" s="11" t="s">
        <v>178</v>
      </c>
      <c r="B139" s="10" t="s">
        <v>359</v>
      </c>
      <c r="C139" s="169"/>
      <c r="D139" s="256"/>
      <c r="E139" s="105"/>
    </row>
    <row r="140" spans="1:5" ht="12" customHeight="1" thickBot="1">
      <c r="A140" s="18" t="s">
        <v>10</v>
      </c>
      <c r="B140" s="58" t="s">
        <v>351</v>
      </c>
      <c r="C140" s="168">
        <f>SUM(C141:C146)</f>
        <v>0</v>
      </c>
      <c r="D140" s="254">
        <f>SUM(D141:D146)</f>
        <v>0</v>
      </c>
      <c r="E140" s="104">
        <f>SUM(E141:E146)</f>
        <v>0</v>
      </c>
    </row>
    <row r="141" spans="1:5" ht="12" customHeight="1">
      <c r="A141" s="13" t="s">
        <v>56</v>
      </c>
      <c r="B141" s="7" t="s">
        <v>360</v>
      </c>
      <c r="C141" s="169"/>
      <c r="D141" s="256"/>
      <c r="E141" s="105"/>
    </row>
    <row r="142" spans="1:5" ht="12" customHeight="1">
      <c r="A142" s="13" t="s">
        <v>57</v>
      </c>
      <c r="B142" s="7" t="s">
        <v>352</v>
      </c>
      <c r="C142" s="169"/>
      <c r="D142" s="256"/>
      <c r="E142" s="105"/>
    </row>
    <row r="143" spans="1:5" ht="12" customHeight="1">
      <c r="A143" s="13" t="s">
        <v>58</v>
      </c>
      <c r="B143" s="7" t="s">
        <v>353</v>
      </c>
      <c r="C143" s="169"/>
      <c r="D143" s="256"/>
      <c r="E143" s="105"/>
    </row>
    <row r="144" spans="1:5" ht="12" customHeight="1">
      <c r="A144" s="13" t="s">
        <v>114</v>
      </c>
      <c r="B144" s="7" t="s">
        <v>354</v>
      </c>
      <c r="C144" s="169"/>
      <c r="D144" s="256"/>
      <c r="E144" s="105"/>
    </row>
    <row r="145" spans="1:5" ht="12" customHeight="1">
      <c r="A145" s="13" t="s">
        <v>115</v>
      </c>
      <c r="B145" s="7" t="s">
        <v>355</v>
      </c>
      <c r="C145" s="169"/>
      <c r="D145" s="256"/>
      <c r="E145" s="105"/>
    </row>
    <row r="146" spans="1:5" ht="12" customHeight="1" thickBot="1">
      <c r="A146" s="16" t="s">
        <v>116</v>
      </c>
      <c r="B146" s="317" t="s">
        <v>356</v>
      </c>
      <c r="C146" s="245"/>
      <c r="D146" s="294"/>
      <c r="E146" s="239"/>
    </row>
    <row r="147" spans="1:5" ht="12" customHeight="1" thickBot="1">
      <c r="A147" s="18" t="s">
        <v>11</v>
      </c>
      <c r="B147" s="58" t="s">
        <v>364</v>
      </c>
      <c r="C147" s="174">
        <f>+C148+C149+C150+C151</f>
        <v>190268579</v>
      </c>
      <c r="D147" s="258">
        <f>+D148+D149+D150+D151</f>
        <v>203567136</v>
      </c>
      <c r="E147" s="210">
        <f>+E148+E149+E150+E151</f>
        <v>188880331</v>
      </c>
    </row>
    <row r="148" spans="1:5" ht="12" customHeight="1">
      <c r="A148" s="13" t="s">
        <v>59</v>
      </c>
      <c r="B148" s="7" t="s">
        <v>277</v>
      </c>
      <c r="C148" s="169"/>
      <c r="D148" s="256"/>
      <c r="E148" s="105"/>
    </row>
    <row r="149" spans="1:5" ht="12" customHeight="1">
      <c r="A149" s="13" t="s">
        <v>60</v>
      </c>
      <c r="B149" s="7" t="s">
        <v>278</v>
      </c>
      <c r="C149" s="169"/>
      <c r="D149" s="256">
        <v>13298557</v>
      </c>
      <c r="E149" s="105">
        <v>13150183</v>
      </c>
    </row>
    <row r="150" spans="1:5" ht="12" customHeight="1">
      <c r="A150" s="13" t="s">
        <v>194</v>
      </c>
      <c r="B150" s="7" t="s">
        <v>365</v>
      </c>
      <c r="C150" s="169"/>
      <c r="D150" s="256"/>
      <c r="E150" s="105"/>
    </row>
    <row r="151" spans="1:5" ht="12" customHeight="1" thickBot="1">
      <c r="A151" s="11" t="s">
        <v>195</v>
      </c>
      <c r="B151" s="396" t="s">
        <v>875</v>
      </c>
      <c r="C151" s="169">
        <v>190268579</v>
      </c>
      <c r="D151" s="256">
        <v>190268579</v>
      </c>
      <c r="E151" s="105">
        <v>175730148</v>
      </c>
    </row>
    <row r="152" spans="1:5" ht="12" customHeight="1" thickBot="1">
      <c r="A152" s="18" t="s">
        <v>12</v>
      </c>
      <c r="B152" s="58" t="s">
        <v>366</v>
      </c>
      <c r="C152" s="247">
        <f>SUM(C153:C157)</f>
        <v>0</v>
      </c>
      <c r="D152" s="259">
        <f>SUM(D153:D157)</f>
        <v>0</v>
      </c>
      <c r="E152" s="241">
        <f>SUM(E153:E157)</f>
        <v>0</v>
      </c>
    </row>
    <row r="153" spans="1:5" ht="12" customHeight="1">
      <c r="A153" s="13" t="s">
        <v>61</v>
      </c>
      <c r="B153" s="7" t="s">
        <v>361</v>
      </c>
      <c r="C153" s="169"/>
      <c r="D153" s="256"/>
      <c r="E153" s="105"/>
    </row>
    <row r="154" spans="1:5" ht="12" customHeight="1">
      <c r="A154" s="13" t="s">
        <v>62</v>
      </c>
      <c r="B154" s="7" t="s">
        <v>368</v>
      </c>
      <c r="C154" s="169"/>
      <c r="D154" s="256"/>
      <c r="E154" s="105"/>
    </row>
    <row r="155" spans="1:5" ht="12" customHeight="1">
      <c r="A155" s="13" t="s">
        <v>206</v>
      </c>
      <c r="B155" s="7" t="s">
        <v>363</v>
      </c>
      <c r="C155" s="169"/>
      <c r="D155" s="256"/>
      <c r="E155" s="105"/>
    </row>
    <row r="156" spans="1:5" ht="12" customHeight="1">
      <c r="A156" s="13" t="s">
        <v>207</v>
      </c>
      <c r="B156" s="7" t="s">
        <v>369</v>
      </c>
      <c r="C156" s="169"/>
      <c r="D156" s="256"/>
      <c r="E156" s="105"/>
    </row>
    <row r="157" spans="1:5" ht="12" customHeight="1" thickBot="1">
      <c r="A157" s="13" t="s">
        <v>367</v>
      </c>
      <c r="B157" s="7" t="s">
        <v>370</v>
      </c>
      <c r="C157" s="169"/>
      <c r="D157" s="256"/>
      <c r="E157" s="105"/>
    </row>
    <row r="158" spans="1:5" ht="12" customHeight="1" thickBot="1">
      <c r="A158" s="18" t="s">
        <v>13</v>
      </c>
      <c r="B158" s="58" t="s">
        <v>371</v>
      </c>
      <c r="C158" s="248"/>
      <c r="D158" s="260"/>
      <c r="E158" s="242"/>
    </row>
    <row r="159" spans="1:5" ht="12" customHeight="1" thickBot="1">
      <c r="A159" s="18" t="s">
        <v>14</v>
      </c>
      <c r="B159" s="58" t="s">
        <v>372</v>
      </c>
      <c r="C159" s="248"/>
      <c r="D159" s="260"/>
      <c r="E159" s="242"/>
    </row>
    <row r="160" spans="1:9" ht="15" customHeight="1" thickBot="1">
      <c r="A160" s="18" t="s">
        <v>15</v>
      </c>
      <c r="B160" s="58" t="s">
        <v>374</v>
      </c>
      <c r="C160" s="249">
        <f>+C136+C140+C147+C152+C158+C159</f>
        <v>190268579</v>
      </c>
      <c r="D160" s="261">
        <f>+D136+D140+D147+D152+D158+D159</f>
        <v>203567136</v>
      </c>
      <c r="E160" s="243">
        <f>+E136+E140+E147+E152+E158+E159</f>
        <v>188880331</v>
      </c>
      <c r="F160" s="191"/>
      <c r="G160" s="192"/>
      <c r="H160" s="192"/>
      <c r="I160" s="192"/>
    </row>
    <row r="161" spans="1:5" s="180" customFormat="1" ht="12.75" customHeight="1" thickBot="1">
      <c r="A161" s="114" t="s">
        <v>16</v>
      </c>
      <c r="B161" s="155" t="s">
        <v>373</v>
      </c>
      <c r="C161" s="249">
        <f>+C135+C160</f>
        <v>743591373</v>
      </c>
      <c r="D161" s="261">
        <f>+D135+D160</f>
        <v>1014657820</v>
      </c>
      <c r="E161" s="243">
        <f>+E135+E160</f>
        <v>928940152</v>
      </c>
    </row>
    <row r="162" spans="3:4" ht="15.75">
      <c r="C162" s="664">
        <f>C93-C161</f>
        <v>0</v>
      </c>
      <c r="D162" s="664">
        <f>D93-D161</f>
        <v>0</v>
      </c>
    </row>
    <row r="163" spans="1:5" ht="15.75">
      <c r="A163" s="792" t="s">
        <v>279</v>
      </c>
      <c r="B163" s="792"/>
      <c r="C163" s="792"/>
      <c r="D163" s="792"/>
      <c r="E163" s="792"/>
    </row>
    <row r="164" spans="1:5" ht="15" customHeight="1" thickBot="1">
      <c r="A164" s="802" t="s">
        <v>102</v>
      </c>
      <c r="B164" s="802"/>
      <c r="C164" s="116"/>
      <c r="E164" s="116" t="str">
        <f>E96</f>
        <v> Forintban!</v>
      </c>
    </row>
    <row r="165" spans="1:5" ht="25.5" customHeight="1" thickBot="1">
      <c r="A165" s="18">
        <v>1</v>
      </c>
      <c r="B165" s="23" t="s">
        <v>375</v>
      </c>
      <c r="C165" s="253">
        <f>+C68-C135</f>
        <v>0</v>
      </c>
      <c r="D165" s="168">
        <f>+D68-D135</f>
        <v>-79039801</v>
      </c>
      <c r="E165" s="104">
        <f>+E68-E135</f>
        <v>35930135</v>
      </c>
    </row>
    <row r="166" spans="1:5" ht="32.25" customHeight="1" thickBot="1">
      <c r="A166" s="18" t="s">
        <v>7</v>
      </c>
      <c r="B166" s="23" t="s">
        <v>381</v>
      </c>
      <c r="C166" s="168">
        <f>+C92-C160</f>
        <v>0</v>
      </c>
      <c r="D166" s="168">
        <f>+D92-D160</f>
        <v>79039801</v>
      </c>
      <c r="E166" s="104">
        <f>+E92-E160</f>
        <v>387201401</v>
      </c>
    </row>
  </sheetData>
  <sheetProtection/>
  <mergeCells count="16">
    <mergeCell ref="B1:E1"/>
    <mergeCell ref="A2:E2"/>
    <mergeCell ref="A3:E3"/>
    <mergeCell ref="A4:E4"/>
    <mergeCell ref="A164:B164"/>
    <mergeCell ref="A8:A9"/>
    <mergeCell ref="B8:B9"/>
    <mergeCell ref="C8:E8"/>
    <mergeCell ref="A97:A98"/>
    <mergeCell ref="B97:B98"/>
    <mergeCell ref="C97:E97"/>
    <mergeCell ref="A163:E163"/>
    <mergeCell ref="A6:E6"/>
    <mergeCell ref="A95:E95"/>
    <mergeCell ref="A7:B7"/>
    <mergeCell ref="A96:B96"/>
  </mergeCells>
  <printOptions horizontalCentered="1"/>
  <pageMargins left="0.6692913385826772" right="0.6692913385826772" top="0.8661417322834646" bottom="0.8661417322834646" header="0" footer="0"/>
  <pageSetup fitToHeight="2" orientation="portrait" paperSize="9" scale="72" r:id="rId1"/>
  <rowBreaks count="2" manualBreakCount="2">
    <brk id="68" max="4" man="1"/>
    <brk id="146" max="4" man="1"/>
  </rowBreaks>
</worksheet>
</file>

<file path=xl/worksheets/sheet40.xml><?xml version="1.0" encoding="utf-8"?>
<worksheet xmlns="http://schemas.openxmlformats.org/spreadsheetml/2006/main" xmlns:r="http://schemas.openxmlformats.org/officeDocument/2006/relationships">
  <sheetPr>
    <tabColor rgb="FF92D050"/>
  </sheetPr>
  <dimension ref="A1:F46"/>
  <sheetViews>
    <sheetView zoomScale="120" zoomScaleNormal="120" workbookViewId="0" topLeftCell="A25">
      <selection activeCell="C11" sqref="C11"/>
    </sheetView>
  </sheetViews>
  <sheetFormatPr defaultColWidth="12.00390625" defaultRowHeight="12.75"/>
  <cols>
    <col min="1" max="1" width="58.875" style="544" customWidth="1"/>
    <col min="2" max="2" width="6.875" style="544" customWidth="1"/>
    <col min="3" max="3" width="17.125" style="544" customWidth="1"/>
    <col min="4" max="4" width="19.125" style="544" customWidth="1"/>
    <col min="5" max="16384" width="12.00390625" style="544" customWidth="1"/>
  </cols>
  <sheetData>
    <row r="1" spans="1:4" ht="16.5" customHeight="1">
      <c r="A1" s="987" t="str">
        <f>CONCATENATE("7.3. tájékoztató tábla ",Z_ALAPADATOK!A7," ",Z_ALAPADATOK!B7," ",Z_ALAPADATOK!C7," ",Z_ALAPADATOK!D7," ",Z_ALAPADATOK!E7," ",Z_ALAPADATOK!F7," ",Z_ALAPADATOK!G7," ",Z_ALAPADATOK!H7)</f>
        <v>7.3. tájékoztató tábla a 4 / 2020. ( VII.17. ) önkormányzati rendelethez</v>
      </c>
      <c r="B1" s="987"/>
      <c r="C1" s="987"/>
      <c r="D1" s="987"/>
    </row>
    <row r="2" s="643" customFormat="1" ht="16.5" customHeight="1"/>
    <row r="3" spans="1:4" s="572" customFormat="1" ht="16.5" customHeight="1">
      <c r="A3" s="988" t="s">
        <v>770</v>
      </c>
      <c r="B3" s="988"/>
      <c r="C3" s="988"/>
      <c r="D3" s="988"/>
    </row>
    <row r="4" spans="1:4" s="572" customFormat="1" ht="16.5" customHeight="1">
      <c r="A4" s="988" t="s">
        <v>774</v>
      </c>
      <c r="B4" s="988"/>
      <c r="C4" s="988"/>
      <c r="D4" s="988"/>
    </row>
    <row r="5" spans="1:4" s="572" customFormat="1" ht="16.5" customHeight="1">
      <c r="A5" s="982" t="str">
        <f>'Z_7.1.tájékoztató_t.'!A4</f>
        <v>2019. év</v>
      </c>
      <c r="B5" s="983"/>
      <c r="C5" s="983"/>
      <c r="D5" s="983"/>
    </row>
    <row r="6" ht="16.5" customHeight="1" thickBot="1"/>
    <row r="7" spans="1:4" ht="43.5" customHeight="1" thickBot="1">
      <c r="A7" s="545" t="s">
        <v>44</v>
      </c>
      <c r="B7" s="546" t="s">
        <v>603</v>
      </c>
      <c r="C7" s="547" t="s">
        <v>724</v>
      </c>
      <c r="D7" s="548" t="s">
        <v>725</v>
      </c>
    </row>
    <row r="8" spans="1:4" ht="16.5" thickBot="1">
      <c r="A8" s="549" t="s">
        <v>385</v>
      </c>
      <c r="B8" s="550" t="s">
        <v>386</v>
      </c>
      <c r="C8" s="550" t="s">
        <v>387</v>
      </c>
      <c r="D8" s="551" t="s">
        <v>389</v>
      </c>
    </row>
    <row r="9" spans="1:4" ht="15.75" customHeight="1">
      <c r="A9" s="552" t="s">
        <v>726</v>
      </c>
      <c r="B9" s="553" t="s">
        <v>6</v>
      </c>
      <c r="C9" s="554">
        <v>13333521</v>
      </c>
      <c r="D9" s="555"/>
    </row>
    <row r="10" spans="1:4" ht="15.75" customHeight="1">
      <c r="A10" s="552" t="s">
        <v>727</v>
      </c>
      <c r="B10" s="556" t="s">
        <v>7</v>
      </c>
      <c r="C10" s="557">
        <v>1616545</v>
      </c>
      <c r="D10" s="558"/>
    </row>
    <row r="11" spans="1:4" ht="15.75" customHeight="1">
      <c r="A11" s="552" t="s">
        <v>728</v>
      </c>
      <c r="B11" s="556" t="s">
        <v>8</v>
      </c>
      <c r="C11" s="557"/>
      <c r="D11" s="558"/>
    </row>
    <row r="12" spans="1:4" ht="15.75" customHeight="1" thickBot="1">
      <c r="A12" s="559" t="s">
        <v>729</v>
      </c>
      <c r="B12" s="560" t="s">
        <v>9</v>
      </c>
      <c r="C12" s="561"/>
      <c r="D12" s="562"/>
    </row>
    <row r="13" spans="1:4" ht="15.75" customHeight="1" thickBot="1">
      <c r="A13" s="563" t="s">
        <v>730</v>
      </c>
      <c r="B13" s="564" t="s">
        <v>10</v>
      </c>
      <c r="C13" s="758"/>
      <c r="D13" s="565">
        <f>+D14+D15+D16+D17</f>
        <v>0</v>
      </c>
    </row>
    <row r="14" spans="1:4" ht="15.75" customHeight="1">
      <c r="A14" s="566" t="s">
        <v>731</v>
      </c>
      <c r="B14" s="553" t="s">
        <v>11</v>
      </c>
      <c r="C14" s="554"/>
      <c r="D14" s="555"/>
    </row>
    <row r="15" spans="1:4" ht="15.75" customHeight="1">
      <c r="A15" s="552" t="s">
        <v>732</v>
      </c>
      <c r="B15" s="556" t="s">
        <v>12</v>
      </c>
      <c r="C15" s="557"/>
      <c r="D15" s="558"/>
    </row>
    <row r="16" spans="1:4" ht="15.75" customHeight="1">
      <c r="A16" s="552" t="s">
        <v>733</v>
      </c>
      <c r="B16" s="556" t="s">
        <v>13</v>
      </c>
      <c r="C16" s="557"/>
      <c r="D16" s="558"/>
    </row>
    <row r="17" spans="1:4" ht="15.75" customHeight="1" thickBot="1">
      <c r="A17" s="559" t="s">
        <v>734</v>
      </c>
      <c r="B17" s="560" t="s">
        <v>14</v>
      </c>
      <c r="C17" s="561"/>
      <c r="D17" s="562"/>
    </row>
    <row r="18" spans="1:4" ht="15.75" customHeight="1" thickBot="1">
      <c r="A18" s="563" t="s">
        <v>735</v>
      </c>
      <c r="B18" s="564" t="s">
        <v>15</v>
      </c>
      <c r="C18" s="758"/>
      <c r="D18" s="565">
        <f>+D19+D20+D21</f>
        <v>0</v>
      </c>
    </row>
    <row r="19" spans="1:4" ht="15.75" customHeight="1">
      <c r="A19" s="566" t="s">
        <v>736</v>
      </c>
      <c r="B19" s="553" t="s">
        <v>16</v>
      </c>
      <c r="C19" s="554"/>
      <c r="D19" s="555"/>
    </row>
    <row r="20" spans="1:4" ht="15.75" customHeight="1">
      <c r="A20" s="552" t="s">
        <v>737</v>
      </c>
      <c r="B20" s="556" t="s">
        <v>17</v>
      </c>
      <c r="C20" s="557"/>
      <c r="D20" s="558"/>
    </row>
    <row r="21" spans="1:4" ht="15.75" customHeight="1" thickBot="1">
      <c r="A21" s="559" t="s">
        <v>738</v>
      </c>
      <c r="B21" s="560" t="s">
        <v>18</v>
      </c>
      <c r="C21" s="561"/>
      <c r="D21" s="562"/>
    </row>
    <row r="22" spans="1:4" ht="15.75" customHeight="1" thickBot="1">
      <c r="A22" s="563" t="s">
        <v>739</v>
      </c>
      <c r="B22" s="564" t="s">
        <v>19</v>
      </c>
      <c r="C22" s="758"/>
      <c r="D22" s="565">
        <f>+D23+D24+D25</f>
        <v>0</v>
      </c>
    </row>
    <row r="23" spans="1:4" ht="15.75" customHeight="1">
      <c r="A23" s="566" t="s">
        <v>740</v>
      </c>
      <c r="B23" s="553" t="s">
        <v>20</v>
      </c>
      <c r="C23" s="554"/>
      <c r="D23" s="555"/>
    </row>
    <row r="24" spans="1:4" ht="15.75" customHeight="1">
      <c r="A24" s="552" t="s">
        <v>741</v>
      </c>
      <c r="B24" s="556" t="s">
        <v>21</v>
      </c>
      <c r="C24" s="557"/>
      <c r="D24" s="558"/>
    </row>
    <row r="25" spans="1:4" ht="15.75" customHeight="1">
      <c r="A25" s="552" t="s">
        <v>742</v>
      </c>
      <c r="B25" s="556" t="s">
        <v>22</v>
      </c>
      <c r="C25" s="557"/>
      <c r="D25" s="558"/>
    </row>
    <row r="26" spans="1:4" ht="15.75" customHeight="1">
      <c r="A26" s="552" t="s">
        <v>743</v>
      </c>
      <c r="B26" s="556" t="s">
        <v>23</v>
      </c>
      <c r="C26" s="557"/>
      <c r="D26" s="558"/>
    </row>
    <row r="27" spans="1:4" ht="15.75" customHeight="1">
      <c r="A27" s="552"/>
      <c r="B27" s="556" t="s">
        <v>24</v>
      </c>
      <c r="C27" s="557"/>
      <c r="D27" s="558"/>
    </row>
    <row r="28" spans="1:4" ht="15.75" customHeight="1">
      <c r="A28" s="552"/>
      <c r="B28" s="556" t="s">
        <v>25</v>
      </c>
      <c r="C28" s="557"/>
      <c r="D28" s="558"/>
    </row>
    <row r="29" spans="1:4" ht="15.75" customHeight="1">
      <c r="A29" s="552"/>
      <c r="B29" s="556" t="s">
        <v>26</v>
      </c>
      <c r="C29" s="557"/>
      <c r="D29" s="558"/>
    </row>
    <row r="30" spans="1:4" ht="15.75" customHeight="1">
      <c r="A30" s="552"/>
      <c r="B30" s="556" t="s">
        <v>27</v>
      </c>
      <c r="C30" s="557"/>
      <c r="D30" s="558"/>
    </row>
    <row r="31" spans="1:4" ht="15.75" customHeight="1">
      <c r="A31" s="552"/>
      <c r="B31" s="556" t="s">
        <v>28</v>
      </c>
      <c r="C31" s="557"/>
      <c r="D31" s="558"/>
    </row>
    <row r="32" spans="1:4" ht="15.75" customHeight="1">
      <c r="A32" s="552"/>
      <c r="B32" s="556" t="s">
        <v>29</v>
      </c>
      <c r="C32" s="557"/>
      <c r="D32" s="558"/>
    </row>
    <row r="33" spans="1:4" ht="15.75" customHeight="1">
      <c r="A33" s="552"/>
      <c r="B33" s="556" t="s">
        <v>30</v>
      </c>
      <c r="C33" s="557"/>
      <c r="D33" s="558"/>
    </row>
    <row r="34" spans="1:4" ht="15.75" customHeight="1">
      <c r="A34" s="552"/>
      <c r="B34" s="556" t="s">
        <v>31</v>
      </c>
      <c r="C34" s="557"/>
      <c r="D34" s="558"/>
    </row>
    <row r="35" spans="1:4" ht="15.75" customHeight="1">
      <c r="A35" s="552"/>
      <c r="B35" s="556" t="s">
        <v>32</v>
      </c>
      <c r="C35" s="557"/>
      <c r="D35" s="558"/>
    </row>
    <row r="36" spans="1:4" ht="15.75" customHeight="1">
      <c r="A36" s="552"/>
      <c r="B36" s="556" t="s">
        <v>33</v>
      </c>
      <c r="C36" s="557"/>
      <c r="D36" s="558"/>
    </row>
    <row r="37" spans="1:4" ht="15.75" customHeight="1">
      <c r="A37" s="552"/>
      <c r="B37" s="556" t="s">
        <v>597</v>
      </c>
      <c r="C37" s="557"/>
      <c r="D37" s="558"/>
    </row>
    <row r="38" spans="1:4" ht="15.75" customHeight="1">
      <c r="A38" s="552"/>
      <c r="B38" s="556" t="s">
        <v>598</v>
      </c>
      <c r="C38" s="557"/>
      <c r="D38" s="558"/>
    </row>
    <row r="39" spans="1:4" ht="15.75" customHeight="1">
      <c r="A39" s="552"/>
      <c r="B39" s="556" t="s">
        <v>599</v>
      </c>
      <c r="C39" s="557"/>
      <c r="D39" s="558"/>
    </row>
    <row r="40" spans="1:4" ht="15.75" customHeight="1">
      <c r="A40" s="552"/>
      <c r="B40" s="556" t="s">
        <v>600</v>
      </c>
      <c r="C40" s="557"/>
      <c r="D40" s="558"/>
    </row>
    <row r="41" spans="1:4" ht="15.75" customHeight="1" thickBot="1">
      <c r="A41" s="559"/>
      <c r="B41" s="560" t="s">
        <v>601</v>
      </c>
      <c r="C41" s="561"/>
      <c r="D41" s="562"/>
    </row>
    <row r="42" spans="1:6" ht="15.75" customHeight="1" thickBot="1">
      <c r="A42" s="984" t="s">
        <v>744</v>
      </c>
      <c r="B42" s="985"/>
      <c r="C42" s="567"/>
      <c r="D42" s="565">
        <f>+D9+D10+D11+D12+D13+D18+D22+D26+D27+D28+D29+D30+D31+D32+D33+D34+D35+D36+D37+D38+D39+D40+D41</f>
        <v>0</v>
      </c>
      <c r="F42" s="568"/>
    </row>
    <row r="43" ht="15.75">
      <c r="A43" s="569" t="s">
        <v>745</v>
      </c>
    </row>
    <row r="44" spans="1:4" ht="15.75">
      <c r="A44" s="570"/>
      <c r="B44" s="570"/>
      <c r="C44" s="986"/>
      <c r="D44" s="986"/>
    </row>
    <row r="45" spans="1:2" ht="15.75">
      <c r="A45" s="571"/>
      <c r="B45" s="571"/>
    </row>
    <row r="46" spans="1:3" ht="15.75">
      <c r="A46" s="571"/>
      <c r="B46" s="571"/>
      <c r="C46" s="571"/>
    </row>
  </sheetData>
  <sheetProtection sheet="1"/>
  <mergeCells count="6">
    <mergeCell ref="A5:D5"/>
    <mergeCell ref="A42:B42"/>
    <mergeCell ref="C44:D44"/>
    <mergeCell ref="A1:D1"/>
    <mergeCell ref="A3:D3"/>
    <mergeCell ref="A4:D4"/>
  </mergeCells>
  <printOptions horizontalCentered="1"/>
  <pageMargins left="0.7874015748031497" right="0.7874015748031497" top="0.9448818897637796" bottom="0.984251968503937" header="0.7874015748031497" footer="0.7874015748031497"/>
  <pageSetup orientation="portrait" paperSize="9" scale="93" r:id="rId1"/>
</worksheet>
</file>

<file path=xl/worksheets/sheet41.xml><?xml version="1.0" encoding="utf-8"?>
<worksheet xmlns="http://schemas.openxmlformats.org/spreadsheetml/2006/main" xmlns:r="http://schemas.openxmlformats.org/officeDocument/2006/relationships">
  <sheetPr>
    <tabColor rgb="FF92D050"/>
  </sheetPr>
  <dimension ref="A1:F24"/>
  <sheetViews>
    <sheetView zoomScale="120" zoomScaleNormal="120" zoomScalePageLayoutView="0" workbookViewId="0" topLeftCell="A1">
      <selection activeCell="M12" sqref="M12"/>
    </sheetView>
  </sheetViews>
  <sheetFormatPr defaultColWidth="9.00390625" defaultRowHeight="12.75"/>
  <cols>
    <col min="1" max="1" width="9.375" style="81" customWidth="1"/>
    <col min="2" max="2" width="51.875" style="81" customWidth="1"/>
    <col min="3" max="3" width="25.00390625" style="81" customWidth="1"/>
    <col min="4" max="4" width="22.875" style="81" customWidth="1"/>
    <col min="5" max="5" width="25.00390625" style="81" customWidth="1"/>
    <col min="6" max="6" width="5.50390625" style="81" customWidth="1"/>
    <col min="7" max="16384" width="9.375" style="81" customWidth="1"/>
  </cols>
  <sheetData>
    <row r="1" spans="1:5" ht="12.75">
      <c r="A1" s="647"/>
      <c r="B1" s="647"/>
      <c r="C1" s="647"/>
      <c r="D1" s="647"/>
      <c r="E1" s="647"/>
    </row>
    <row r="2" spans="1:5" ht="15.75">
      <c r="A2" s="785" t="str">
        <f>CONCATENATE(PROPER(Z_ALAPADATOK!A3)," tulajdonában álló gazdálkodó szervezetek működéséből származó")</f>
        <v>Kállósemjén Nagyközség Önkormányzata tulajdonában álló gazdálkodó szervezetek működéséből származó</v>
      </c>
      <c r="B2" s="785"/>
      <c r="C2" s="785"/>
      <c r="D2" s="785"/>
      <c r="E2" s="785"/>
    </row>
    <row r="3" spans="1:6" ht="15.75">
      <c r="A3" s="992" t="str">
        <f>CONCATENATE("kötelezettségek és részesedések alakulása ",Z_ALAPADATOK!B1,". évben")</f>
        <v>kötelezettségek és részesedések alakulása 2019. évben</v>
      </c>
      <c r="B3" s="785"/>
      <c r="C3" s="785"/>
      <c r="D3" s="785"/>
      <c r="E3" s="785"/>
      <c r="F3" s="989" t="str">
        <f>CONCATENATE("8. tájékoztató tábla ",Z_ALAPADATOK!A7," ",Z_ALAPADATOK!B7," ",Z_ALAPADATOK!C7," ",Z_ALAPADATOK!D7," ",Z_ALAPADATOK!E7," ",Z_ALAPADATOK!F7," ",Z_ALAPADATOK!G7," ",Z_ALAPADATOK!H7)</f>
        <v>8. tájékoztató tábla a 4 / 2020. ( VII.17. ) önkormányzati rendelethez</v>
      </c>
    </row>
    <row r="4" spans="1:6" ht="16.5" thickBot="1">
      <c r="A4" s="648"/>
      <c r="B4" s="647"/>
      <c r="C4" s="647"/>
      <c r="D4" s="647"/>
      <c r="E4" s="647"/>
      <c r="F4" s="989"/>
    </row>
    <row r="5" spans="1:6" ht="79.5" thickBot="1">
      <c r="A5" s="649" t="s">
        <v>603</v>
      </c>
      <c r="B5" s="650" t="s">
        <v>746</v>
      </c>
      <c r="C5" s="650" t="s">
        <v>747</v>
      </c>
      <c r="D5" s="650" t="s">
        <v>748</v>
      </c>
      <c r="E5" s="651" t="s">
        <v>749</v>
      </c>
      <c r="F5" s="989"/>
    </row>
    <row r="6" spans="1:6" ht="15.75">
      <c r="A6" s="644" t="s">
        <v>6</v>
      </c>
      <c r="B6" s="574"/>
      <c r="C6" s="575"/>
      <c r="D6" s="576"/>
      <c r="E6" s="577"/>
      <c r="F6" s="989"/>
    </row>
    <row r="7" spans="1:6" ht="15.75">
      <c r="A7" s="645" t="s">
        <v>7</v>
      </c>
      <c r="B7" s="578"/>
      <c r="C7" s="579"/>
      <c r="D7" s="580"/>
      <c r="E7" s="581"/>
      <c r="F7" s="989"/>
    </row>
    <row r="8" spans="1:6" ht="15.75">
      <c r="A8" s="645" t="s">
        <v>8</v>
      </c>
      <c r="B8" s="578"/>
      <c r="C8" s="579"/>
      <c r="D8" s="580"/>
      <c r="E8" s="581"/>
      <c r="F8" s="989"/>
    </row>
    <row r="9" spans="1:6" ht="15.75">
      <c r="A9" s="645" t="s">
        <v>9</v>
      </c>
      <c r="B9" s="578"/>
      <c r="C9" s="579"/>
      <c r="D9" s="580"/>
      <c r="E9" s="581"/>
      <c r="F9" s="989"/>
    </row>
    <row r="10" spans="1:6" ht="15.75">
      <c r="A10" s="645" t="s">
        <v>10</v>
      </c>
      <c r="B10" s="578"/>
      <c r="C10" s="579"/>
      <c r="D10" s="580"/>
      <c r="E10" s="581"/>
      <c r="F10" s="989"/>
    </row>
    <row r="11" spans="1:6" ht="15.75">
      <c r="A11" s="645" t="s">
        <v>11</v>
      </c>
      <c r="B11" s="578"/>
      <c r="C11" s="579"/>
      <c r="D11" s="580"/>
      <c r="E11" s="581"/>
      <c r="F11" s="989"/>
    </row>
    <row r="12" spans="1:6" ht="15.75">
      <c r="A12" s="645" t="s">
        <v>12</v>
      </c>
      <c r="B12" s="578"/>
      <c r="C12" s="579"/>
      <c r="D12" s="580"/>
      <c r="E12" s="581"/>
      <c r="F12" s="989"/>
    </row>
    <row r="13" spans="1:6" ht="15.75">
      <c r="A13" s="645" t="s">
        <v>13</v>
      </c>
      <c r="B13" s="578"/>
      <c r="C13" s="579"/>
      <c r="D13" s="580"/>
      <c r="E13" s="581"/>
      <c r="F13" s="989"/>
    </row>
    <row r="14" spans="1:6" ht="15.75">
      <c r="A14" s="645" t="s">
        <v>14</v>
      </c>
      <c r="B14" s="578"/>
      <c r="C14" s="579"/>
      <c r="D14" s="580"/>
      <c r="E14" s="581"/>
      <c r="F14" s="989"/>
    </row>
    <row r="15" spans="1:6" ht="15.75">
      <c r="A15" s="645" t="s">
        <v>15</v>
      </c>
      <c r="B15" s="578"/>
      <c r="C15" s="579"/>
      <c r="D15" s="580"/>
      <c r="E15" s="581"/>
      <c r="F15" s="989"/>
    </row>
    <row r="16" spans="1:6" ht="15.75">
      <c r="A16" s="645" t="s">
        <v>16</v>
      </c>
      <c r="B16" s="578"/>
      <c r="C16" s="579"/>
      <c r="D16" s="580"/>
      <c r="E16" s="581"/>
      <c r="F16" s="989"/>
    </row>
    <row r="17" spans="1:6" ht="15.75">
      <c r="A17" s="645" t="s">
        <v>17</v>
      </c>
      <c r="B17" s="578"/>
      <c r="C17" s="579"/>
      <c r="D17" s="580"/>
      <c r="E17" s="581"/>
      <c r="F17" s="989"/>
    </row>
    <row r="18" spans="1:6" ht="15.75">
      <c r="A18" s="645" t="s">
        <v>18</v>
      </c>
      <c r="B18" s="578"/>
      <c r="C18" s="579"/>
      <c r="D18" s="580"/>
      <c r="E18" s="581"/>
      <c r="F18" s="989"/>
    </row>
    <row r="19" spans="1:6" ht="15.75">
      <c r="A19" s="645" t="s">
        <v>19</v>
      </c>
      <c r="B19" s="578"/>
      <c r="C19" s="579"/>
      <c r="D19" s="580"/>
      <c r="E19" s="581"/>
      <c r="F19" s="989"/>
    </row>
    <row r="20" spans="1:6" ht="15.75">
      <c r="A20" s="645" t="s">
        <v>20</v>
      </c>
      <c r="B20" s="578"/>
      <c r="C20" s="579"/>
      <c r="D20" s="580"/>
      <c r="E20" s="581"/>
      <c r="F20" s="989"/>
    </row>
    <row r="21" spans="1:6" ht="15.75">
      <c r="A21" s="645" t="s">
        <v>21</v>
      </c>
      <c r="B21" s="578"/>
      <c r="C21" s="579"/>
      <c r="D21" s="580"/>
      <c r="E21" s="581"/>
      <c r="F21" s="989"/>
    </row>
    <row r="22" spans="1:6" ht="16.5" thickBot="1">
      <c r="A22" s="646" t="s">
        <v>22</v>
      </c>
      <c r="B22" s="582"/>
      <c r="C22" s="583"/>
      <c r="D22" s="584"/>
      <c r="E22" s="585"/>
      <c r="F22" s="989"/>
    </row>
    <row r="23" spans="1:6" ht="16.5" thickBot="1">
      <c r="A23" s="990" t="s">
        <v>750</v>
      </c>
      <c r="B23" s="991"/>
      <c r="C23" s="586"/>
      <c r="D23" s="587">
        <f>IF(SUM(D6:D22)=0,"",SUM(D6:D22))</f>
      </c>
      <c r="E23" s="588">
        <f>IF(SUM(E6:E22)=0,"",SUM(E6:E22))</f>
      </c>
      <c r="F23" s="989"/>
    </row>
    <row r="24" ht="15.75">
      <c r="A24" s="573"/>
    </row>
  </sheetData>
  <sheetProtection sheet="1"/>
  <mergeCells count="4">
    <mergeCell ref="F3:F23"/>
    <mergeCell ref="A23:B23"/>
    <mergeCell ref="A2:E2"/>
    <mergeCell ref="A3:E3"/>
  </mergeCells>
  <printOptions/>
  <pageMargins left="0.7086614173228347" right="0.7086614173228347" top="0.9448818897637796" bottom="0.7480314960629921" header="0.31496062992125984" footer="0.31496062992125984"/>
  <pageSetup orientation="landscape" paperSize="9" r:id="rId1"/>
</worksheet>
</file>

<file path=xl/worksheets/sheet42.xml><?xml version="1.0" encoding="utf-8"?>
<worksheet xmlns="http://schemas.openxmlformats.org/spreadsheetml/2006/main" xmlns:r="http://schemas.openxmlformats.org/officeDocument/2006/relationships">
  <sheetPr>
    <tabColor rgb="FF92D050"/>
  </sheetPr>
  <dimension ref="A2:C15"/>
  <sheetViews>
    <sheetView zoomScale="120" zoomScaleNormal="120" workbookViewId="0" topLeftCell="A1">
      <selection activeCell="C16" sqref="C16"/>
    </sheetView>
  </sheetViews>
  <sheetFormatPr defaultColWidth="9.00390625" defaultRowHeight="12.75"/>
  <cols>
    <col min="1" max="1" width="7.625" style="31" customWidth="1"/>
    <col min="2" max="2" width="60.875" style="31" customWidth="1"/>
    <col min="3" max="3" width="25.625" style="31" customWidth="1"/>
    <col min="4" max="16384" width="9.375" style="31" customWidth="1"/>
  </cols>
  <sheetData>
    <row r="2" spans="1:3" ht="15">
      <c r="A2" s="942" t="str">
        <f>CONCATENATE("9. tájékoztató tábla ",Z_ALAPADATOK!A7," ",Z_ALAPADATOK!B7," ",Z_ALAPADATOK!C7," ",Z_ALAPADATOK!D7," ",Z_ALAPADATOK!E7," ",Z_ALAPADATOK!F7," ",Z_ALAPADATOK!G7," ",Z_ALAPADATOK!H7)</f>
        <v>9. tájékoztató tábla a 4 / 2020. ( VII.17. ) önkormányzati rendelethez</v>
      </c>
      <c r="B2" s="994"/>
      <c r="C2" s="994"/>
    </row>
    <row r="3" spans="1:3" ht="14.25">
      <c r="A3" s="589"/>
      <c r="B3" s="589"/>
      <c r="C3" s="589"/>
    </row>
    <row r="4" spans="1:3" ht="33.75" customHeight="1">
      <c r="A4" s="993" t="s">
        <v>751</v>
      </c>
      <c r="B4" s="993"/>
      <c r="C4" s="993"/>
    </row>
    <row r="5" ht="13.5" thickBot="1">
      <c r="C5" s="590"/>
    </row>
    <row r="6" spans="1:3" s="594" customFormat="1" ht="43.5" customHeight="1" thickBot="1">
      <c r="A6" s="591" t="s">
        <v>4</v>
      </c>
      <c r="B6" s="592" t="s">
        <v>44</v>
      </c>
      <c r="C6" s="593" t="s">
        <v>752</v>
      </c>
    </row>
    <row r="7" spans="1:3" ht="28.5" customHeight="1">
      <c r="A7" s="595" t="s">
        <v>6</v>
      </c>
      <c r="B7" s="596" t="str">
        <f>CONCATENATE("Pénzkészlet ",Z_ALAPADATOK!B1,". január 1-jén
Ebből:")</f>
        <v>Pénzkészlet 2019. január 1-jén
Ebből:</v>
      </c>
      <c r="C7" s="707">
        <f>SUM(C8:C9)</f>
        <v>494063519</v>
      </c>
    </row>
    <row r="8" spans="1:3" ht="18" customHeight="1">
      <c r="A8" s="597" t="s">
        <v>7</v>
      </c>
      <c r="B8" s="598" t="s">
        <v>753</v>
      </c>
      <c r="C8" s="652">
        <v>492159589</v>
      </c>
    </row>
    <row r="9" spans="1:3" ht="18" customHeight="1">
      <c r="A9" s="597" t="s">
        <v>8</v>
      </c>
      <c r="B9" s="598" t="s">
        <v>754</v>
      </c>
      <c r="C9" s="652">
        <v>1903930</v>
      </c>
    </row>
    <row r="10" spans="1:3" ht="18" customHeight="1">
      <c r="A10" s="597" t="s">
        <v>9</v>
      </c>
      <c r="B10" s="599" t="s">
        <v>755</v>
      </c>
      <c r="C10" s="652">
        <v>1001016123</v>
      </c>
    </row>
    <row r="11" spans="1:3" ht="18" customHeight="1">
      <c r="A11" s="600" t="s">
        <v>10</v>
      </c>
      <c r="B11" s="601" t="s">
        <v>756</v>
      </c>
      <c r="C11" s="653">
        <v>972757170</v>
      </c>
    </row>
    <row r="12" spans="1:3" ht="18" customHeight="1" thickBot="1">
      <c r="A12" s="602" t="s">
        <v>11</v>
      </c>
      <c r="B12" s="603" t="s">
        <v>757</v>
      </c>
      <c r="C12" s="654"/>
    </row>
    <row r="13" spans="1:3" ht="25.5" customHeight="1">
      <c r="A13" s="604" t="s">
        <v>12</v>
      </c>
      <c r="B13" s="605" t="str">
        <f>CONCATENATE("Pénzkészlet ",Z_ALAPADATOK!B1,". december 31-én
Ebből:")</f>
        <v>Pénzkészlet 2019. december 31-én
Ebből:</v>
      </c>
      <c r="C13" s="655">
        <f>C7+C10-C11+C12</f>
        <v>522322472</v>
      </c>
    </row>
    <row r="14" spans="1:3" ht="18" customHeight="1">
      <c r="A14" s="597" t="s">
        <v>13</v>
      </c>
      <c r="B14" s="598" t="s">
        <v>753</v>
      </c>
      <c r="C14" s="652">
        <v>521089197</v>
      </c>
    </row>
    <row r="15" spans="1:3" ht="18" customHeight="1" thickBot="1">
      <c r="A15" s="602" t="s">
        <v>14</v>
      </c>
      <c r="B15" s="606" t="s">
        <v>754</v>
      </c>
      <c r="C15" s="654">
        <v>1233275</v>
      </c>
    </row>
  </sheetData>
  <sheetProtection/>
  <mergeCells count="2">
    <mergeCell ref="A4:C4"/>
    <mergeCell ref="A2:C2"/>
  </mergeCells>
  <printOptions horizontalCentered="1"/>
  <pageMargins left="0.7874015748031497" right="0.7874015748031497" top="0.984251968503937" bottom="0.984251968503937" header="0.7874015748031497" footer="0.7874015748031497"/>
  <pageSetup orientation="portrait" paperSize="9" scale="95" r:id="rId1"/>
</worksheet>
</file>

<file path=xl/worksheets/sheet5.xml><?xml version="1.0" encoding="utf-8"?>
<worksheet xmlns="http://schemas.openxmlformats.org/spreadsheetml/2006/main" xmlns:r="http://schemas.openxmlformats.org/officeDocument/2006/relationships">
  <sheetPr>
    <tabColor rgb="FF92D050"/>
  </sheetPr>
  <dimension ref="A1:I166"/>
  <sheetViews>
    <sheetView zoomScale="120" zoomScaleNormal="120" zoomScaleSheetLayoutView="100" workbookViewId="0" topLeftCell="A109">
      <selection activeCell="I110" sqref="I110"/>
    </sheetView>
  </sheetViews>
  <sheetFormatPr defaultColWidth="9.00390625" defaultRowHeight="12.75"/>
  <cols>
    <col min="1" max="1" width="9.50390625" style="156" customWidth="1"/>
    <col min="2" max="2" width="65.875" style="156" customWidth="1"/>
    <col min="3" max="3" width="17.875" style="157" customWidth="1"/>
    <col min="4" max="5" width="17.875" style="178" customWidth="1"/>
    <col min="6" max="16384" width="9.375" style="178" customWidth="1"/>
  </cols>
  <sheetData>
    <row r="1" spans="1:5" ht="15.75">
      <c r="A1" s="318"/>
      <c r="B1" s="797" t="str">
        <f>CONCATENATE("1.2. melléklet ",Z_ALAPADATOK!A7," ",Z_ALAPADATOK!B7," ",Z_ALAPADATOK!C7," ",Z_ALAPADATOK!D7," ",Z_ALAPADATOK!E7," ",Z_ALAPADATOK!F7," ",Z_ALAPADATOK!G7," ",Z_ALAPADATOK!H7)</f>
        <v>1.2. melléklet a 4 / 2020. ( VII.17. ) önkormányzati rendelethez</v>
      </c>
      <c r="C1" s="798"/>
      <c r="D1" s="798"/>
      <c r="E1" s="798"/>
    </row>
    <row r="2" spans="1:5" ht="15.75">
      <c r="A2" s="799" t="str">
        <f>CONCATENATE(Z_ALAPADATOK!A3)</f>
        <v>Kállósemjén Nagyközség Önkormányzata</v>
      </c>
      <c r="B2" s="800"/>
      <c r="C2" s="800"/>
      <c r="D2" s="800"/>
      <c r="E2" s="800"/>
    </row>
    <row r="3" spans="1:5" ht="15.75">
      <c r="A3" s="799" t="str">
        <f>CONCATENATE(Z_ALAPADATOK!B1,". ÉVI ZÁRSZÁMADÁS")</f>
        <v>2019. ÉVI ZÁRSZÁMADÁS</v>
      </c>
      <c r="B3" s="799"/>
      <c r="C3" s="801"/>
      <c r="D3" s="799"/>
      <c r="E3" s="799"/>
    </row>
    <row r="4" spans="1:5" ht="17.25" customHeight="1">
      <c r="A4" s="799" t="s">
        <v>839</v>
      </c>
      <c r="B4" s="799"/>
      <c r="C4" s="801"/>
      <c r="D4" s="799"/>
      <c r="E4" s="799"/>
    </row>
    <row r="5" spans="1:5" ht="15.75">
      <c r="A5" s="318"/>
      <c r="B5" s="318"/>
      <c r="C5" s="319"/>
      <c r="D5" s="320"/>
      <c r="E5" s="320"/>
    </row>
    <row r="6" spans="1:5" ht="15.75" customHeight="1">
      <c r="A6" s="793" t="s">
        <v>3</v>
      </c>
      <c r="B6" s="793"/>
      <c r="C6" s="793"/>
      <c r="D6" s="793"/>
      <c r="E6" s="793"/>
    </row>
    <row r="7" spans="1:5" ht="15.75" customHeight="1" thickBot="1">
      <c r="A7" s="795" t="s">
        <v>100</v>
      </c>
      <c r="B7" s="795"/>
      <c r="C7" s="321"/>
      <c r="D7" s="320"/>
      <c r="E7" s="321" t="str">
        <f>CONCATENATE('Z_1.1.sz.mell.'!E7)</f>
        <v> Forintban!</v>
      </c>
    </row>
    <row r="8" spans="1:5" ht="15.75">
      <c r="A8" s="803" t="s">
        <v>51</v>
      </c>
      <c r="B8" s="805" t="s">
        <v>5</v>
      </c>
      <c r="C8" s="789" t="str">
        <f>+CONCATENATE(LEFT(Z_ÖSSZEFÜGGÉSEK!A6,4),". évi")</f>
        <v>2019. évi</v>
      </c>
      <c r="D8" s="790"/>
      <c r="E8" s="791"/>
    </row>
    <row r="9" spans="1:5" ht="24.75" thickBot="1">
      <c r="A9" s="804"/>
      <c r="B9" s="806"/>
      <c r="C9" s="251" t="s">
        <v>418</v>
      </c>
      <c r="D9" s="250" t="s">
        <v>419</v>
      </c>
      <c r="E9" s="311" t="str">
        <f>CONCATENATE('Z_1.1.sz.mell.'!E9)</f>
        <v>2019. XII. 31.
teljesítés</v>
      </c>
    </row>
    <row r="10" spans="1:5" s="179" customFormat="1" ht="12" customHeight="1" thickBot="1">
      <c r="A10" s="175" t="s">
        <v>385</v>
      </c>
      <c r="B10" s="176" t="s">
        <v>386</v>
      </c>
      <c r="C10" s="176" t="s">
        <v>387</v>
      </c>
      <c r="D10" s="176" t="s">
        <v>389</v>
      </c>
      <c r="E10" s="252" t="s">
        <v>388</v>
      </c>
    </row>
    <row r="11" spans="1:5" s="180" customFormat="1" ht="12" customHeight="1" thickBot="1">
      <c r="A11" s="18" t="s">
        <v>6</v>
      </c>
      <c r="B11" s="19" t="s">
        <v>161</v>
      </c>
      <c r="C11" s="168">
        <f>+C12+C13+C14+C15+C16+C17</f>
        <v>306085968</v>
      </c>
      <c r="D11" s="168">
        <f>+D12+D13+D14+D15+D16+D17</f>
        <v>307217491</v>
      </c>
      <c r="E11" s="104">
        <f>+E12+E13+E14+E15+E16+E17</f>
        <v>292384339</v>
      </c>
    </row>
    <row r="12" spans="1:5" s="180" customFormat="1" ht="12" customHeight="1">
      <c r="A12" s="13" t="s">
        <v>63</v>
      </c>
      <c r="B12" s="181" t="s">
        <v>162</v>
      </c>
      <c r="C12" s="170">
        <v>127996975</v>
      </c>
      <c r="D12" s="170">
        <v>127996975</v>
      </c>
      <c r="E12" s="106">
        <v>130701805</v>
      </c>
    </row>
    <row r="13" spans="1:5" s="180" customFormat="1" ht="12" customHeight="1">
      <c r="A13" s="12" t="s">
        <v>64</v>
      </c>
      <c r="B13" s="182" t="s">
        <v>163</v>
      </c>
      <c r="C13" s="169">
        <v>57524400</v>
      </c>
      <c r="D13" s="169">
        <v>57524400</v>
      </c>
      <c r="E13" s="105">
        <v>59874484</v>
      </c>
    </row>
    <row r="14" spans="1:5" s="180" customFormat="1" ht="12" customHeight="1">
      <c r="A14" s="12" t="s">
        <v>65</v>
      </c>
      <c r="B14" s="182" t="s">
        <v>164</v>
      </c>
      <c r="C14" s="169">
        <v>77966400</v>
      </c>
      <c r="D14" s="169">
        <v>77966400</v>
      </c>
      <c r="E14" s="105">
        <v>79081659</v>
      </c>
    </row>
    <row r="15" spans="1:5" s="180" customFormat="1" ht="12" customHeight="1">
      <c r="A15" s="12" t="s">
        <v>66</v>
      </c>
      <c r="B15" s="182" t="s">
        <v>165</v>
      </c>
      <c r="C15" s="169">
        <v>4515720</v>
      </c>
      <c r="D15" s="169">
        <v>5647243</v>
      </c>
      <c r="E15" s="105">
        <v>6093331</v>
      </c>
    </row>
    <row r="16" spans="1:5" s="180" customFormat="1" ht="12" customHeight="1">
      <c r="A16" s="12" t="s">
        <v>97</v>
      </c>
      <c r="B16" s="112" t="s">
        <v>333</v>
      </c>
      <c r="C16" s="169">
        <v>38082473</v>
      </c>
      <c r="D16" s="169">
        <v>38082473</v>
      </c>
      <c r="E16" s="105">
        <v>16633060</v>
      </c>
    </row>
    <row r="17" spans="1:5" s="180" customFormat="1" ht="12" customHeight="1" thickBot="1">
      <c r="A17" s="14" t="s">
        <v>67</v>
      </c>
      <c r="B17" s="113" t="s">
        <v>334</v>
      </c>
      <c r="C17" s="169"/>
      <c r="D17" s="169"/>
      <c r="E17" s="105"/>
    </row>
    <row r="18" spans="1:5" s="180" customFormat="1" ht="12" customHeight="1" thickBot="1">
      <c r="A18" s="18" t="s">
        <v>7</v>
      </c>
      <c r="B18" s="111" t="s">
        <v>166</v>
      </c>
      <c r="C18" s="168">
        <f>+C19+C20+C21+C22+C23</f>
        <v>126121616</v>
      </c>
      <c r="D18" s="168">
        <f>+D19+D20+D21+D22+D23</f>
        <v>151865719</v>
      </c>
      <c r="E18" s="104">
        <f>+E19+E20+E21+E22+E23</f>
        <v>155737022</v>
      </c>
    </row>
    <row r="19" spans="1:5" s="180" customFormat="1" ht="12" customHeight="1">
      <c r="A19" s="13" t="s">
        <v>69</v>
      </c>
      <c r="B19" s="181" t="s">
        <v>167</v>
      </c>
      <c r="C19" s="170"/>
      <c r="D19" s="170"/>
      <c r="E19" s="106"/>
    </row>
    <row r="20" spans="1:5" s="180" customFormat="1" ht="12" customHeight="1">
      <c r="A20" s="12" t="s">
        <v>70</v>
      </c>
      <c r="B20" s="182" t="s">
        <v>168</v>
      </c>
      <c r="C20" s="169"/>
      <c r="D20" s="169"/>
      <c r="E20" s="105"/>
    </row>
    <row r="21" spans="1:5" s="180" customFormat="1" ht="12" customHeight="1">
      <c r="A21" s="12" t="s">
        <v>71</v>
      </c>
      <c r="B21" s="182" t="s">
        <v>325</v>
      </c>
      <c r="C21" s="169"/>
      <c r="D21" s="169"/>
      <c r="E21" s="105"/>
    </row>
    <row r="22" spans="1:5" s="180" customFormat="1" ht="12" customHeight="1">
      <c r="A22" s="12" t="s">
        <v>72</v>
      </c>
      <c r="B22" s="182" t="s">
        <v>326</v>
      </c>
      <c r="C22" s="169"/>
      <c r="D22" s="169"/>
      <c r="E22" s="105"/>
    </row>
    <row r="23" spans="1:5" s="180" customFormat="1" ht="12" customHeight="1">
      <c r="A23" s="12" t="s">
        <v>73</v>
      </c>
      <c r="B23" s="182" t="s">
        <v>169</v>
      </c>
      <c r="C23" s="169">
        <v>126121616</v>
      </c>
      <c r="D23" s="169">
        <v>151865719</v>
      </c>
      <c r="E23" s="105">
        <v>155737022</v>
      </c>
    </row>
    <row r="24" spans="1:5" s="180" customFormat="1" ht="12" customHeight="1" thickBot="1">
      <c r="A24" s="14" t="s">
        <v>80</v>
      </c>
      <c r="B24" s="113" t="s">
        <v>170</v>
      </c>
      <c r="C24" s="171"/>
      <c r="D24" s="171"/>
      <c r="E24" s="107"/>
    </row>
    <row r="25" spans="1:5" s="180" customFormat="1" ht="12" customHeight="1" thickBot="1">
      <c r="A25" s="18" t="s">
        <v>8</v>
      </c>
      <c r="B25" s="19" t="s">
        <v>171</v>
      </c>
      <c r="C25" s="168">
        <f>+C26+C27+C28+C29+C30</f>
        <v>0</v>
      </c>
      <c r="D25" s="168">
        <f>+D26+D27+D28+D29+D30</f>
        <v>122200885</v>
      </c>
      <c r="E25" s="104">
        <f>+E26+E27+E28+E29+E30</f>
        <v>161074272</v>
      </c>
    </row>
    <row r="26" spans="1:5" s="180" customFormat="1" ht="12" customHeight="1">
      <c r="A26" s="13" t="s">
        <v>52</v>
      </c>
      <c r="B26" s="181" t="s">
        <v>172</v>
      </c>
      <c r="C26" s="170"/>
      <c r="D26" s="170">
        <v>106200046</v>
      </c>
      <c r="E26" s="106">
        <v>80334000</v>
      </c>
    </row>
    <row r="27" spans="1:5" s="180" customFormat="1" ht="12" customHeight="1">
      <c r="A27" s="12" t="s">
        <v>53</v>
      </c>
      <c r="B27" s="182" t="s">
        <v>173</v>
      </c>
      <c r="C27" s="169"/>
      <c r="D27" s="169"/>
      <c r="E27" s="105"/>
    </row>
    <row r="28" spans="1:5" s="180" customFormat="1" ht="12" customHeight="1">
      <c r="A28" s="12" t="s">
        <v>54</v>
      </c>
      <c r="B28" s="182" t="s">
        <v>327</v>
      </c>
      <c r="C28" s="169"/>
      <c r="D28" s="169"/>
      <c r="E28" s="105"/>
    </row>
    <row r="29" spans="1:5" s="180" customFormat="1" ht="12" customHeight="1">
      <c r="A29" s="12" t="s">
        <v>55</v>
      </c>
      <c r="B29" s="182" t="s">
        <v>328</v>
      </c>
      <c r="C29" s="169"/>
      <c r="D29" s="169"/>
      <c r="E29" s="105"/>
    </row>
    <row r="30" spans="1:5" s="180" customFormat="1" ht="12" customHeight="1">
      <c r="A30" s="12" t="s">
        <v>110</v>
      </c>
      <c r="B30" s="182" t="s">
        <v>174</v>
      </c>
      <c r="C30" s="169"/>
      <c r="D30" s="169">
        <v>16000839</v>
      </c>
      <c r="E30" s="105">
        <v>80740272</v>
      </c>
    </row>
    <row r="31" spans="1:5" s="180" customFormat="1" ht="12" customHeight="1" thickBot="1">
      <c r="A31" s="14" t="s">
        <v>111</v>
      </c>
      <c r="B31" s="183" t="s">
        <v>175</v>
      </c>
      <c r="C31" s="171"/>
      <c r="D31" s="171"/>
      <c r="E31" s="107"/>
    </row>
    <row r="32" spans="1:5" s="180" customFormat="1" ht="12" customHeight="1" thickBot="1">
      <c r="A32" s="18" t="s">
        <v>112</v>
      </c>
      <c r="B32" s="19" t="s">
        <v>476</v>
      </c>
      <c r="C32" s="174">
        <f>SUM(C33:C39)</f>
        <v>52630600</v>
      </c>
      <c r="D32" s="174">
        <f>SUM(D33:D39)</f>
        <v>55768175</v>
      </c>
      <c r="E32" s="210">
        <f>SUM(E33:E39)</f>
        <v>63469415</v>
      </c>
    </row>
    <row r="33" spans="1:5" s="180" customFormat="1" ht="12" customHeight="1">
      <c r="A33" s="13" t="s">
        <v>176</v>
      </c>
      <c r="B33" s="181" t="str">
        <f>'Z_1.1.sz.mell.'!B33</f>
        <v>Építményadó</v>
      </c>
      <c r="C33" s="170"/>
      <c r="D33" s="170"/>
      <c r="E33" s="106"/>
    </row>
    <row r="34" spans="1:5" s="180" customFormat="1" ht="12" customHeight="1">
      <c r="A34" s="12" t="s">
        <v>177</v>
      </c>
      <c r="B34" s="181" t="str">
        <f>'Z_1.1.sz.mell.'!B34</f>
        <v>Idegenforgalmi adó </v>
      </c>
      <c r="C34" s="169"/>
      <c r="D34" s="169"/>
      <c r="E34" s="105"/>
    </row>
    <row r="35" spans="1:5" s="180" customFormat="1" ht="12" customHeight="1">
      <c r="A35" s="12" t="s">
        <v>178</v>
      </c>
      <c r="B35" s="181" t="str">
        <f>'Z_1.1.sz.mell.'!B35</f>
        <v>Iparűzési adó</v>
      </c>
      <c r="C35" s="169">
        <v>30000000</v>
      </c>
      <c r="D35" s="169">
        <v>33137575</v>
      </c>
      <c r="E35" s="105">
        <v>40715898</v>
      </c>
    </row>
    <row r="36" spans="1:5" s="180" customFormat="1" ht="12" customHeight="1">
      <c r="A36" s="12" t="s">
        <v>179</v>
      </c>
      <c r="B36" s="181" t="str">
        <f>'Z_1.1.sz.mell.'!B36</f>
        <v>Talajterhelési díj</v>
      </c>
      <c r="C36" s="169">
        <v>600000</v>
      </c>
      <c r="D36" s="169">
        <v>600000</v>
      </c>
      <c r="E36" s="105">
        <v>527750</v>
      </c>
    </row>
    <row r="37" spans="1:5" s="180" customFormat="1" ht="12" customHeight="1">
      <c r="A37" s="12" t="s">
        <v>480</v>
      </c>
      <c r="B37" s="181" t="str">
        <f>'Z_1.1.sz.mell.'!B37</f>
        <v>Gépjárműadó</v>
      </c>
      <c r="C37" s="169">
        <v>7800000</v>
      </c>
      <c r="D37" s="169">
        <v>7800000</v>
      </c>
      <c r="E37" s="105">
        <v>9884105</v>
      </c>
    </row>
    <row r="38" spans="1:5" s="180" customFormat="1" ht="12" customHeight="1">
      <c r="A38" s="12" t="s">
        <v>481</v>
      </c>
      <c r="B38" s="181" t="str">
        <f>'Z_1.1.sz.mell.'!B38</f>
        <v>Egyéb közhatalmi bevételek</v>
      </c>
      <c r="C38" s="169">
        <v>730600</v>
      </c>
      <c r="D38" s="169">
        <v>730600</v>
      </c>
      <c r="E38" s="105">
        <v>714345</v>
      </c>
    </row>
    <row r="39" spans="1:5" s="180" customFormat="1" ht="12" customHeight="1" thickBot="1">
      <c r="A39" s="14" t="s">
        <v>482</v>
      </c>
      <c r="B39" s="181" t="str">
        <f>'Z_1.1.sz.mell.'!B39</f>
        <v>Kommunális adó</v>
      </c>
      <c r="C39" s="171">
        <v>13500000</v>
      </c>
      <c r="D39" s="171">
        <v>13500000</v>
      </c>
      <c r="E39" s="107">
        <v>11627317</v>
      </c>
    </row>
    <row r="40" spans="1:5" s="180" customFormat="1" ht="12" customHeight="1" thickBot="1">
      <c r="A40" s="18" t="s">
        <v>10</v>
      </c>
      <c r="B40" s="19" t="s">
        <v>335</v>
      </c>
      <c r="C40" s="168">
        <f>SUM(C41:C51)</f>
        <v>48293454</v>
      </c>
      <c r="D40" s="168">
        <f>SUM(D41:D51)</f>
        <v>68709470</v>
      </c>
      <c r="E40" s="104">
        <f>SUM(E41:E51)</f>
        <v>82673994</v>
      </c>
    </row>
    <row r="41" spans="1:5" s="180" customFormat="1" ht="12" customHeight="1">
      <c r="A41" s="13" t="s">
        <v>56</v>
      </c>
      <c r="B41" s="181" t="s">
        <v>183</v>
      </c>
      <c r="C41" s="170">
        <v>50000</v>
      </c>
      <c r="D41" s="170">
        <v>6952756</v>
      </c>
      <c r="E41" s="106">
        <v>6614835</v>
      </c>
    </row>
    <row r="42" spans="1:5" s="180" customFormat="1" ht="12" customHeight="1">
      <c r="A42" s="12" t="s">
        <v>57</v>
      </c>
      <c r="B42" s="182" t="s">
        <v>184</v>
      </c>
      <c r="C42" s="169">
        <v>8664760</v>
      </c>
      <c r="D42" s="169">
        <v>13270203</v>
      </c>
      <c r="E42" s="105">
        <v>22118913</v>
      </c>
    </row>
    <row r="43" spans="1:5" s="180" customFormat="1" ht="12" customHeight="1">
      <c r="A43" s="12" t="s">
        <v>58</v>
      </c>
      <c r="B43" s="182" t="s">
        <v>185</v>
      </c>
      <c r="C43" s="169"/>
      <c r="D43" s="169">
        <v>1071157</v>
      </c>
      <c r="E43" s="105">
        <v>1056169</v>
      </c>
    </row>
    <row r="44" spans="1:5" s="180" customFormat="1" ht="12" customHeight="1">
      <c r="A44" s="12" t="s">
        <v>114</v>
      </c>
      <c r="B44" s="182" t="s">
        <v>186</v>
      </c>
      <c r="C44" s="169"/>
      <c r="D44" s="169"/>
      <c r="E44" s="105"/>
    </row>
    <row r="45" spans="1:5" s="180" customFormat="1" ht="12" customHeight="1">
      <c r="A45" s="12" t="s">
        <v>115</v>
      </c>
      <c r="B45" s="182" t="s">
        <v>187</v>
      </c>
      <c r="C45" s="169">
        <v>29301932</v>
      </c>
      <c r="D45" s="169">
        <v>29366074</v>
      </c>
      <c r="E45" s="105">
        <v>22870037</v>
      </c>
    </row>
    <row r="46" spans="1:5" s="180" customFormat="1" ht="12" customHeight="1">
      <c r="A46" s="12" t="s">
        <v>116</v>
      </c>
      <c r="B46" s="182" t="s">
        <v>188</v>
      </c>
      <c r="C46" s="169">
        <v>10276762</v>
      </c>
      <c r="D46" s="169">
        <v>12963011</v>
      </c>
      <c r="E46" s="105">
        <v>16326046</v>
      </c>
    </row>
    <row r="47" spans="1:5" s="180" customFormat="1" ht="12" customHeight="1">
      <c r="A47" s="12" t="s">
        <v>117</v>
      </c>
      <c r="B47" s="182" t="s">
        <v>189</v>
      </c>
      <c r="C47" s="169"/>
      <c r="D47" s="169"/>
      <c r="E47" s="105"/>
    </row>
    <row r="48" spans="1:5" s="180" customFormat="1" ht="12" customHeight="1">
      <c r="A48" s="12" t="s">
        <v>118</v>
      </c>
      <c r="B48" s="182" t="s">
        <v>483</v>
      </c>
      <c r="C48" s="169"/>
      <c r="D48" s="169">
        <v>63257</v>
      </c>
      <c r="E48" s="105">
        <v>50439</v>
      </c>
    </row>
    <row r="49" spans="1:5" s="180" customFormat="1" ht="12" customHeight="1">
      <c r="A49" s="12" t="s">
        <v>181</v>
      </c>
      <c r="B49" s="182" t="s">
        <v>191</v>
      </c>
      <c r="C49" s="172"/>
      <c r="D49" s="172"/>
      <c r="E49" s="108"/>
    </row>
    <row r="50" spans="1:5" s="180" customFormat="1" ht="12" customHeight="1">
      <c r="A50" s="14" t="s">
        <v>182</v>
      </c>
      <c r="B50" s="183" t="s">
        <v>337</v>
      </c>
      <c r="C50" s="173"/>
      <c r="D50" s="173"/>
      <c r="E50" s="109"/>
    </row>
    <row r="51" spans="1:5" s="180" customFormat="1" ht="12" customHeight="1" thickBot="1">
      <c r="A51" s="14" t="s">
        <v>336</v>
      </c>
      <c r="B51" s="113" t="s">
        <v>192</v>
      </c>
      <c r="C51" s="173"/>
      <c r="D51" s="173">
        <v>5023012</v>
      </c>
      <c r="E51" s="109">
        <v>13637555</v>
      </c>
    </row>
    <row r="52" spans="1:5" s="180" customFormat="1" ht="12" customHeight="1" thickBot="1">
      <c r="A52" s="18" t="s">
        <v>11</v>
      </c>
      <c r="B52" s="19" t="s">
        <v>193</v>
      </c>
      <c r="C52" s="168">
        <f>SUM(C53:C57)</f>
        <v>20011156</v>
      </c>
      <c r="D52" s="168">
        <f>SUM(D53:D57)</f>
        <v>20011156</v>
      </c>
      <c r="E52" s="104">
        <f>SUM(E53:E57)</f>
        <v>0</v>
      </c>
    </row>
    <row r="53" spans="1:5" s="180" customFormat="1" ht="12" customHeight="1">
      <c r="A53" s="13" t="s">
        <v>59</v>
      </c>
      <c r="B53" s="181" t="s">
        <v>197</v>
      </c>
      <c r="C53" s="221"/>
      <c r="D53" s="221"/>
      <c r="E53" s="110"/>
    </row>
    <row r="54" spans="1:5" s="180" customFormat="1" ht="12" customHeight="1">
      <c r="A54" s="12" t="s">
        <v>60</v>
      </c>
      <c r="B54" s="182" t="s">
        <v>198</v>
      </c>
      <c r="C54" s="172">
        <v>20011156</v>
      </c>
      <c r="D54" s="172">
        <v>20011156</v>
      </c>
      <c r="E54" s="108"/>
    </row>
    <row r="55" spans="1:5" s="180" customFormat="1" ht="12" customHeight="1">
      <c r="A55" s="12" t="s">
        <v>194</v>
      </c>
      <c r="B55" s="182" t="s">
        <v>199</v>
      </c>
      <c r="C55" s="172"/>
      <c r="D55" s="172"/>
      <c r="E55" s="108"/>
    </row>
    <row r="56" spans="1:5" s="180" customFormat="1" ht="12" customHeight="1">
      <c r="A56" s="12" t="s">
        <v>195</v>
      </c>
      <c r="B56" s="182" t="s">
        <v>200</v>
      </c>
      <c r="C56" s="172"/>
      <c r="D56" s="172"/>
      <c r="E56" s="108"/>
    </row>
    <row r="57" spans="1:5" s="180" customFormat="1" ht="12" customHeight="1" thickBot="1">
      <c r="A57" s="14" t="s">
        <v>196</v>
      </c>
      <c r="B57" s="113" t="s">
        <v>201</v>
      </c>
      <c r="C57" s="173"/>
      <c r="D57" s="173"/>
      <c r="E57" s="109"/>
    </row>
    <row r="58" spans="1:5" s="180" customFormat="1" ht="12" customHeight="1" thickBot="1">
      <c r="A58" s="18" t="s">
        <v>119</v>
      </c>
      <c r="B58" s="19" t="s">
        <v>202</v>
      </c>
      <c r="C58" s="168">
        <f>SUM(C59:C61)</f>
        <v>0</v>
      </c>
      <c r="D58" s="168">
        <f>SUM(D59:D61)</f>
        <v>1714506</v>
      </c>
      <c r="E58" s="104">
        <f>SUM(E59:E61)</f>
        <v>1776006</v>
      </c>
    </row>
    <row r="59" spans="1:5" s="180" customFormat="1" ht="12" customHeight="1">
      <c r="A59" s="13" t="s">
        <v>61</v>
      </c>
      <c r="B59" s="181" t="s">
        <v>203</v>
      </c>
      <c r="C59" s="170"/>
      <c r="D59" s="170"/>
      <c r="E59" s="106"/>
    </row>
    <row r="60" spans="1:5" s="180" customFormat="1" ht="12" customHeight="1">
      <c r="A60" s="12" t="s">
        <v>62</v>
      </c>
      <c r="B60" s="182" t="s">
        <v>329</v>
      </c>
      <c r="C60" s="169"/>
      <c r="D60" s="169">
        <v>1591955</v>
      </c>
      <c r="E60" s="105"/>
    </row>
    <row r="61" spans="1:5" s="180" customFormat="1" ht="12" customHeight="1">
      <c r="A61" s="12" t="s">
        <v>206</v>
      </c>
      <c r="B61" s="182" t="s">
        <v>204</v>
      </c>
      <c r="C61" s="169"/>
      <c r="D61" s="169">
        <v>122551</v>
      </c>
      <c r="E61" s="105">
        <v>1776006</v>
      </c>
    </row>
    <row r="62" spans="1:5" s="180" customFormat="1" ht="12" customHeight="1" thickBot="1">
      <c r="A62" s="14" t="s">
        <v>207</v>
      </c>
      <c r="B62" s="113" t="s">
        <v>205</v>
      </c>
      <c r="C62" s="171"/>
      <c r="D62" s="171"/>
      <c r="E62" s="107"/>
    </row>
    <row r="63" spans="1:5" s="180" customFormat="1" ht="12" customHeight="1" thickBot="1">
      <c r="A63" s="18" t="s">
        <v>13</v>
      </c>
      <c r="B63" s="111" t="s">
        <v>208</v>
      </c>
      <c r="C63" s="168">
        <f>SUM(C64:C66)</f>
        <v>0</v>
      </c>
      <c r="D63" s="168">
        <f>SUM(D64:D66)</f>
        <v>523800</v>
      </c>
      <c r="E63" s="104">
        <f>SUM(E64:E66)</f>
        <v>1110200</v>
      </c>
    </row>
    <row r="64" spans="1:5" s="180" customFormat="1" ht="12" customHeight="1">
      <c r="A64" s="13" t="s">
        <v>120</v>
      </c>
      <c r="B64" s="181" t="s">
        <v>210</v>
      </c>
      <c r="C64" s="172"/>
      <c r="D64" s="172"/>
      <c r="E64" s="108"/>
    </row>
    <row r="65" spans="1:5" s="180" customFormat="1" ht="12" customHeight="1">
      <c r="A65" s="12" t="s">
        <v>121</v>
      </c>
      <c r="B65" s="182" t="s">
        <v>330</v>
      </c>
      <c r="C65" s="172"/>
      <c r="D65" s="172"/>
      <c r="E65" s="108"/>
    </row>
    <row r="66" spans="1:5" s="180" customFormat="1" ht="12" customHeight="1">
      <c r="A66" s="12" t="s">
        <v>144</v>
      </c>
      <c r="B66" s="182" t="s">
        <v>211</v>
      </c>
      <c r="C66" s="172"/>
      <c r="D66" s="172">
        <v>523800</v>
      </c>
      <c r="E66" s="108">
        <v>1110200</v>
      </c>
    </row>
    <row r="67" spans="1:5" s="180" customFormat="1" ht="12" customHeight="1" thickBot="1">
      <c r="A67" s="14" t="s">
        <v>209</v>
      </c>
      <c r="B67" s="113" t="s">
        <v>212</v>
      </c>
      <c r="C67" s="172"/>
      <c r="D67" s="172"/>
      <c r="E67" s="108"/>
    </row>
    <row r="68" spans="1:5" s="180" customFormat="1" ht="12" customHeight="1" thickBot="1">
      <c r="A68" s="234" t="s">
        <v>377</v>
      </c>
      <c r="B68" s="19" t="s">
        <v>213</v>
      </c>
      <c r="C68" s="174">
        <f>+C11+C18+C25+C32+C40+C52+C58+C63</f>
        <v>553142794</v>
      </c>
      <c r="D68" s="174">
        <f>+D11+D18+D25+D32+D40+D52+D58+D63</f>
        <v>728011202</v>
      </c>
      <c r="E68" s="210">
        <f>+E11+E18+E25+E32+E40+E52+E58+E63</f>
        <v>758225248</v>
      </c>
    </row>
    <row r="69" spans="1:5" s="180" customFormat="1" ht="12" customHeight="1" thickBot="1">
      <c r="A69" s="222" t="s">
        <v>214</v>
      </c>
      <c r="B69" s="111" t="s">
        <v>215</v>
      </c>
      <c r="C69" s="168">
        <f>SUM(C70:C72)</f>
        <v>0</v>
      </c>
      <c r="D69" s="168">
        <f>SUM(D70:D72)</f>
        <v>0</v>
      </c>
      <c r="E69" s="104">
        <f>SUM(E70:E72)</f>
        <v>0</v>
      </c>
    </row>
    <row r="70" spans="1:5" s="180" customFormat="1" ht="12" customHeight="1">
      <c r="A70" s="13" t="s">
        <v>243</v>
      </c>
      <c r="B70" s="181" t="s">
        <v>216</v>
      </c>
      <c r="C70" s="172"/>
      <c r="D70" s="172"/>
      <c r="E70" s="108"/>
    </row>
    <row r="71" spans="1:5" s="180" customFormat="1" ht="12" customHeight="1">
      <c r="A71" s="12" t="s">
        <v>252</v>
      </c>
      <c r="B71" s="182" t="s">
        <v>217</v>
      </c>
      <c r="C71" s="172"/>
      <c r="D71" s="172"/>
      <c r="E71" s="108"/>
    </row>
    <row r="72" spans="1:5" s="180" customFormat="1" ht="12" customHeight="1" thickBot="1">
      <c r="A72" s="14" t="s">
        <v>253</v>
      </c>
      <c r="B72" s="230" t="s">
        <v>362</v>
      </c>
      <c r="C72" s="172"/>
      <c r="D72" s="172"/>
      <c r="E72" s="108"/>
    </row>
    <row r="73" spans="1:5" s="180" customFormat="1" ht="12" customHeight="1" thickBot="1">
      <c r="A73" s="222" t="s">
        <v>219</v>
      </c>
      <c r="B73" s="111" t="s">
        <v>220</v>
      </c>
      <c r="C73" s="168">
        <f>SUM(C74:C77)</f>
        <v>0</v>
      </c>
      <c r="D73" s="168">
        <f>SUM(D74:D77)</f>
        <v>0</v>
      </c>
      <c r="E73" s="104">
        <f>SUM(E74:E77)</f>
        <v>0</v>
      </c>
    </row>
    <row r="74" spans="1:5" s="180" customFormat="1" ht="12" customHeight="1">
      <c r="A74" s="13" t="s">
        <v>98</v>
      </c>
      <c r="B74" s="309" t="s">
        <v>221</v>
      </c>
      <c r="C74" s="172"/>
      <c r="D74" s="172"/>
      <c r="E74" s="108"/>
    </row>
    <row r="75" spans="1:5" s="180" customFormat="1" ht="12" customHeight="1">
      <c r="A75" s="12" t="s">
        <v>99</v>
      </c>
      <c r="B75" s="309" t="s">
        <v>490</v>
      </c>
      <c r="C75" s="172"/>
      <c r="D75" s="172"/>
      <c r="E75" s="108"/>
    </row>
    <row r="76" spans="1:5" s="180" customFormat="1" ht="12" customHeight="1">
      <c r="A76" s="12" t="s">
        <v>244</v>
      </c>
      <c r="B76" s="309" t="s">
        <v>222</v>
      </c>
      <c r="C76" s="172"/>
      <c r="D76" s="172"/>
      <c r="E76" s="108"/>
    </row>
    <row r="77" spans="1:5" s="180" customFormat="1" ht="12" customHeight="1" thickBot="1">
      <c r="A77" s="14" t="s">
        <v>245</v>
      </c>
      <c r="B77" s="310" t="s">
        <v>491</v>
      </c>
      <c r="C77" s="172"/>
      <c r="D77" s="172"/>
      <c r="E77" s="108"/>
    </row>
    <row r="78" spans="1:5" s="180" customFormat="1" ht="12" customHeight="1" thickBot="1">
      <c r="A78" s="222" t="s">
        <v>223</v>
      </c>
      <c r="B78" s="111" t="s">
        <v>224</v>
      </c>
      <c r="C78" s="168">
        <f>SUM(C79:C80)</f>
        <v>0</v>
      </c>
      <c r="D78" s="168">
        <f>SUM(D79:D80)</f>
        <v>83584665</v>
      </c>
      <c r="E78" s="104">
        <f>SUM(E79:E80)</f>
        <v>348875820</v>
      </c>
    </row>
    <row r="79" spans="1:5" s="180" customFormat="1" ht="12" customHeight="1">
      <c r="A79" s="13" t="s">
        <v>246</v>
      </c>
      <c r="B79" s="181" t="s">
        <v>225</v>
      </c>
      <c r="C79" s="172"/>
      <c r="D79" s="172">
        <v>83584665</v>
      </c>
      <c r="E79" s="108">
        <v>348875820</v>
      </c>
    </row>
    <row r="80" spans="1:5" s="180" customFormat="1" ht="12" customHeight="1" thickBot="1">
      <c r="A80" s="14" t="s">
        <v>247</v>
      </c>
      <c r="B80" s="113" t="s">
        <v>226</v>
      </c>
      <c r="C80" s="172"/>
      <c r="D80" s="172"/>
      <c r="E80" s="108"/>
    </row>
    <row r="81" spans="1:5" s="180" customFormat="1" ht="12" customHeight="1" thickBot="1">
      <c r="A81" s="222" t="s">
        <v>227</v>
      </c>
      <c r="B81" s="111" t="s">
        <v>228</v>
      </c>
      <c r="C81" s="168">
        <f>SUM(C82:C84)</f>
        <v>120278376</v>
      </c>
      <c r="D81" s="168">
        <f>SUM(D82:D84)</f>
        <v>121041885</v>
      </c>
      <c r="E81" s="104">
        <f>SUM(E82:E84)</f>
        <v>118639911</v>
      </c>
    </row>
    <row r="82" spans="1:5" s="180" customFormat="1" ht="12" customHeight="1">
      <c r="A82" s="13" t="s">
        <v>248</v>
      </c>
      <c r="B82" s="181" t="s">
        <v>229</v>
      </c>
      <c r="C82" s="172"/>
      <c r="D82" s="172">
        <v>763509</v>
      </c>
      <c r="E82" s="108">
        <v>14081659</v>
      </c>
    </row>
    <row r="83" spans="1:5" s="180" customFormat="1" ht="12" customHeight="1">
      <c r="A83" s="12" t="s">
        <v>249</v>
      </c>
      <c r="B83" s="182" t="s">
        <v>230</v>
      </c>
      <c r="C83" s="172"/>
      <c r="D83" s="172"/>
      <c r="E83" s="108"/>
    </row>
    <row r="84" spans="1:5" s="180" customFormat="1" ht="12" customHeight="1" thickBot="1">
      <c r="A84" s="14" t="s">
        <v>250</v>
      </c>
      <c r="B84" s="113" t="s">
        <v>873</v>
      </c>
      <c r="C84" s="172">
        <v>120278376</v>
      </c>
      <c r="D84" s="172">
        <v>120278376</v>
      </c>
      <c r="E84" s="108">
        <v>104558252</v>
      </c>
    </row>
    <row r="85" spans="1:5" s="180" customFormat="1" ht="12" customHeight="1" thickBot="1">
      <c r="A85" s="222" t="s">
        <v>231</v>
      </c>
      <c r="B85" s="111" t="s">
        <v>251</v>
      </c>
      <c r="C85" s="168">
        <f>SUM(C86:C89)</f>
        <v>0</v>
      </c>
      <c r="D85" s="168">
        <f>SUM(D86:D89)</f>
        <v>0</v>
      </c>
      <c r="E85" s="104">
        <f>SUM(E86:E89)</f>
        <v>0</v>
      </c>
    </row>
    <row r="86" spans="1:5" s="180" customFormat="1" ht="12" customHeight="1">
      <c r="A86" s="185" t="s">
        <v>232</v>
      </c>
      <c r="B86" s="181" t="s">
        <v>233</v>
      </c>
      <c r="C86" s="172"/>
      <c r="D86" s="172"/>
      <c r="E86" s="108"/>
    </row>
    <row r="87" spans="1:5" s="180" customFormat="1" ht="12" customHeight="1">
      <c r="A87" s="186" t="s">
        <v>234</v>
      </c>
      <c r="B87" s="182" t="s">
        <v>235</v>
      </c>
      <c r="C87" s="172"/>
      <c r="D87" s="172"/>
      <c r="E87" s="108"/>
    </row>
    <row r="88" spans="1:5" s="180" customFormat="1" ht="12" customHeight="1">
      <c r="A88" s="186" t="s">
        <v>236</v>
      </c>
      <c r="B88" s="182" t="s">
        <v>237</v>
      </c>
      <c r="C88" s="172"/>
      <c r="D88" s="172"/>
      <c r="E88" s="108"/>
    </row>
    <row r="89" spans="1:5" s="180" customFormat="1" ht="12" customHeight="1" thickBot="1">
      <c r="A89" s="187" t="s">
        <v>238</v>
      </c>
      <c r="B89" s="113" t="s">
        <v>239</v>
      </c>
      <c r="C89" s="172"/>
      <c r="D89" s="172"/>
      <c r="E89" s="108"/>
    </row>
    <row r="90" spans="1:5" s="180" customFormat="1" ht="12" customHeight="1" thickBot="1">
      <c r="A90" s="222" t="s">
        <v>240</v>
      </c>
      <c r="B90" s="111" t="s">
        <v>376</v>
      </c>
      <c r="C90" s="224"/>
      <c r="D90" s="224"/>
      <c r="E90" s="225"/>
    </row>
    <row r="91" spans="1:5" s="180" customFormat="1" ht="13.5" customHeight="1" thickBot="1">
      <c r="A91" s="222" t="s">
        <v>242</v>
      </c>
      <c r="B91" s="111" t="s">
        <v>241</v>
      </c>
      <c r="C91" s="224"/>
      <c r="D91" s="224"/>
      <c r="E91" s="225"/>
    </row>
    <row r="92" spans="1:5" s="180" customFormat="1" ht="15.75" customHeight="1" thickBot="1">
      <c r="A92" s="222" t="s">
        <v>254</v>
      </c>
      <c r="B92" s="188" t="s">
        <v>379</v>
      </c>
      <c r="C92" s="174">
        <f>+C69+C73+C78+C81+C85+C91+C90</f>
        <v>120278376</v>
      </c>
      <c r="D92" s="174">
        <f>+D69+D73+D78+D81+D85+D91+D90</f>
        <v>204626550</v>
      </c>
      <c r="E92" s="210">
        <f>+E69+E73+E78+E81+E85+E91+E90</f>
        <v>467515731</v>
      </c>
    </row>
    <row r="93" spans="1:5" s="180" customFormat="1" ht="25.5" customHeight="1" thickBot="1">
      <c r="A93" s="223" t="s">
        <v>378</v>
      </c>
      <c r="B93" s="189" t="s">
        <v>380</v>
      </c>
      <c r="C93" s="174">
        <f>+C68+C92</f>
        <v>673421170</v>
      </c>
      <c r="D93" s="174">
        <f>+D68+D92</f>
        <v>932637752</v>
      </c>
      <c r="E93" s="210">
        <f>+E68+E92</f>
        <v>1225740979</v>
      </c>
    </row>
    <row r="94" spans="1:3" s="180" customFormat="1" ht="15" customHeight="1">
      <c r="A94" s="3"/>
      <c r="B94" s="4"/>
      <c r="C94" s="115"/>
    </row>
    <row r="95" spans="1:5" ht="16.5" customHeight="1">
      <c r="A95" s="794" t="s">
        <v>34</v>
      </c>
      <c r="B95" s="794"/>
      <c r="C95" s="794"/>
      <c r="D95" s="794"/>
      <c r="E95" s="794"/>
    </row>
    <row r="96" spans="1:5" s="190" customFormat="1" ht="16.5" customHeight="1" thickBot="1">
      <c r="A96" s="796" t="s">
        <v>101</v>
      </c>
      <c r="B96" s="796"/>
      <c r="C96" s="62"/>
      <c r="E96" s="62" t="str">
        <f>E7</f>
        <v> Forintban!</v>
      </c>
    </row>
    <row r="97" spans="1:5" ht="15.75">
      <c r="A97" s="803" t="s">
        <v>51</v>
      </c>
      <c r="B97" s="805" t="s">
        <v>420</v>
      </c>
      <c r="C97" s="789" t="str">
        <f>+CONCATENATE(LEFT(Z_ÖSSZEFÜGGÉSEK!A6,4),". évi")</f>
        <v>2019. évi</v>
      </c>
      <c r="D97" s="790"/>
      <c r="E97" s="791"/>
    </row>
    <row r="98" spans="1:5" ht="24.75" thickBot="1">
      <c r="A98" s="804"/>
      <c r="B98" s="806"/>
      <c r="C98" s="251" t="s">
        <v>418</v>
      </c>
      <c r="D98" s="250" t="s">
        <v>419</v>
      </c>
      <c r="E98" s="311" t="str">
        <f>CONCATENATE(E9)</f>
        <v>2019. XII. 31.
teljesítés</v>
      </c>
    </row>
    <row r="99" spans="1:5" s="179" customFormat="1" ht="12" customHeight="1" thickBot="1">
      <c r="A99" s="25" t="s">
        <v>385</v>
      </c>
      <c r="B99" s="26" t="s">
        <v>386</v>
      </c>
      <c r="C99" s="26" t="s">
        <v>387</v>
      </c>
      <c r="D99" s="26" t="s">
        <v>389</v>
      </c>
      <c r="E99" s="262" t="s">
        <v>388</v>
      </c>
    </row>
    <row r="100" spans="1:5" ht="12" customHeight="1" thickBot="1">
      <c r="A100" s="20" t="s">
        <v>6</v>
      </c>
      <c r="B100" s="24" t="s">
        <v>338</v>
      </c>
      <c r="C100" s="167">
        <f>C101+C102+C103+C104+C105+C118</f>
        <v>463141435</v>
      </c>
      <c r="D100" s="167">
        <f>D101+D102+D103+D104+D105+D118</f>
        <v>578975987</v>
      </c>
      <c r="E100" s="237">
        <f>E101+E102+E103+E104+E105+E118</f>
        <v>523597044</v>
      </c>
    </row>
    <row r="101" spans="1:5" ht="12" customHeight="1">
      <c r="A101" s="15" t="s">
        <v>63</v>
      </c>
      <c r="B101" s="8" t="s">
        <v>35</v>
      </c>
      <c r="C101" s="244">
        <v>193445845</v>
      </c>
      <c r="D101" s="244">
        <v>226416296</v>
      </c>
      <c r="E101" s="238">
        <v>224929786</v>
      </c>
    </row>
    <row r="102" spans="1:5" ht="12" customHeight="1">
      <c r="A102" s="12" t="s">
        <v>64</v>
      </c>
      <c r="B102" s="6" t="s">
        <v>122</v>
      </c>
      <c r="C102" s="169">
        <v>30503910</v>
      </c>
      <c r="D102" s="169">
        <v>37052585</v>
      </c>
      <c r="E102" s="105">
        <v>34731471</v>
      </c>
    </row>
    <row r="103" spans="1:5" ht="12" customHeight="1">
      <c r="A103" s="12" t="s">
        <v>65</v>
      </c>
      <c r="B103" s="6" t="s">
        <v>90</v>
      </c>
      <c r="C103" s="171">
        <v>178422164</v>
      </c>
      <c r="D103" s="171">
        <v>248150633</v>
      </c>
      <c r="E103" s="107">
        <v>207049424</v>
      </c>
    </row>
    <row r="104" spans="1:5" ht="12" customHeight="1">
      <c r="A104" s="12" t="s">
        <v>66</v>
      </c>
      <c r="B104" s="9" t="s">
        <v>123</v>
      </c>
      <c r="C104" s="171">
        <v>35847000</v>
      </c>
      <c r="D104" s="171">
        <v>39174500</v>
      </c>
      <c r="E104" s="107">
        <v>30394699</v>
      </c>
    </row>
    <row r="105" spans="1:5" ht="12" customHeight="1">
      <c r="A105" s="12" t="s">
        <v>75</v>
      </c>
      <c r="B105" s="17" t="s">
        <v>124</v>
      </c>
      <c r="C105" s="171">
        <f>SUM(C106:C118)</f>
        <v>24922516</v>
      </c>
      <c r="D105" s="171">
        <f>SUM(D106:D118)</f>
        <v>28181973</v>
      </c>
      <c r="E105" s="171">
        <f>SUM(E106:E118)</f>
        <v>26491664</v>
      </c>
    </row>
    <row r="106" spans="1:5" ht="12" customHeight="1">
      <c r="A106" s="12" t="s">
        <v>67</v>
      </c>
      <c r="B106" s="6" t="s">
        <v>343</v>
      </c>
      <c r="C106" s="171"/>
      <c r="D106" s="171">
        <v>307888</v>
      </c>
      <c r="E106" s="107">
        <v>307888</v>
      </c>
    </row>
    <row r="107" spans="1:5" ht="12" customHeight="1">
      <c r="A107" s="12" t="s">
        <v>68</v>
      </c>
      <c r="B107" s="66" t="s">
        <v>342</v>
      </c>
      <c r="C107" s="171"/>
      <c r="D107" s="171"/>
      <c r="E107" s="107"/>
    </row>
    <row r="108" spans="1:5" ht="12" customHeight="1">
      <c r="A108" s="12" t="s">
        <v>76</v>
      </c>
      <c r="B108" s="66" t="s">
        <v>341</v>
      </c>
      <c r="C108" s="171"/>
      <c r="D108" s="171"/>
      <c r="E108" s="107"/>
    </row>
    <row r="109" spans="1:5" ht="12" customHeight="1">
      <c r="A109" s="12" t="s">
        <v>77</v>
      </c>
      <c r="B109" s="64" t="s">
        <v>257</v>
      </c>
      <c r="C109" s="171"/>
      <c r="D109" s="171"/>
      <c r="E109" s="107"/>
    </row>
    <row r="110" spans="1:5" ht="12" customHeight="1">
      <c r="A110" s="12" t="s">
        <v>78</v>
      </c>
      <c r="B110" s="65" t="s">
        <v>258</v>
      </c>
      <c r="C110" s="171"/>
      <c r="D110" s="171"/>
      <c r="E110" s="107"/>
    </row>
    <row r="111" spans="1:5" ht="12" customHeight="1">
      <c r="A111" s="12" t="s">
        <v>79</v>
      </c>
      <c r="B111" s="65" t="s">
        <v>259</v>
      </c>
      <c r="C111" s="171"/>
      <c r="D111" s="171"/>
      <c r="E111" s="107"/>
    </row>
    <row r="112" spans="1:5" ht="12" customHeight="1">
      <c r="A112" s="12" t="s">
        <v>81</v>
      </c>
      <c r="B112" s="64" t="s">
        <v>260</v>
      </c>
      <c r="C112" s="171">
        <v>4190309</v>
      </c>
      <c r="D112" s="171">
        <v>4190309</v>
      </c>
      <c r="E112" s="107">
        <v>2500000</v>
      </c>
    </row>
    <row r="113" spans="1:5" ht="12" customHeight="1">
      <c r="A113" s="12" t="s">
        <v>125</v>
      </c>
      <c r="B113" s="64" t="s">
        <v>261</v>
      </c>
      <c r="C113" s="171"/>
      <c r="D113" s="171"/>
      <c r="E113" s="107"/>
    </row>
    <row r="114" spans="1:5" ht="12" customHeight="1">
      <c r="A114" s="12" t="s">
        <v>255</v>
      </c>
      <c r="B114" s="65" t="s">
        <v>262</v>
      </c>
      <c r="C114" s="171"/>
      <c r="D114" s="171">
        <v>2445000</v>
      </c>
      <c r="E114" s="107">
        <v>2445000</v>
      </c>
    </row>
    <row r="115" spans="1:5" ht="12" customHeight="1">
      <c r="A115" s="11" t="s">
        <v>256</v>
      </c>
      <c r="B115" s="66" t="s">
        <v>263</v>
      </c>
      <c r="C115" s="171"/>
      <c r="D115" s="171"/>
      <c r="E115" s="107"/>
    </row>
    <row r="116" spans="1:5" ht="12" customHeight="1">
      <c r="A116" s="12" t="s">
        <v>339</v>
      </c>
      <c r="B116" s="66" t="s">
        <v>264</v>
      </c>
      <c r="C116" s="171"/>
      <c r="D116" s="171"/>
      <c r="E116" s="107"/>
    </row>
    <row r="117" spans="1:5" ht="12" customHeight="1">
      <c r="A117" s="14" t="s">
        <v>340</v>
      </c>
      <c r="B117" s="66" t="s">
        <v>265</v>
      </c>
      <c r="C117" s="171">
        <v>20732207</v>
      </c>
      <c r="D117" s="171">
        <v>21238776</v>
      </c>
      <c r="E117" s="107">
        <v>21238776</v>
      </c>
    </row>
    <row r="118" spans="1:5" ht="12" customHeight="1">
      <c r="A118" s="12" t="s">
        <v>344</v>
      </c>
      <c r="B118" s="9" t="s">
        <v>36</v>
      </c>
      <c r="C118" s="169"/>
      <c r="D118" s="169"/>
      <c r="E118" s="105"/>
    </row>
    <row r="119" spans="1:5" ht="12" customHeight="1">
      <c r="A119" s="12" t="s">
        <v>345</v>
      </c>
      <c r="B119" s="6" t="s">
        <v>347</v>
      </c>
      <c r="C119" s="169"/>
      <c r="D119" s="169"/>
      <c r="E119" s="105"/>
    </row>
    <row r="120" spans="1:5" ht="12" customHeight="1" thickBot="1">
      <c r="A120" s="16" t="s">
        <v>346</v>
      </c>
      <c r="B120" s="233" t="s">
        <v>348</v>
      </c>
      <c r="C120" s="245"/>
      <c r="D120" s="245"/>
      <c r="E120" s="239"/>
    </row>
    <row r="121" spans="1:5" ht="12" customHeight="1" thickBot="1">
      <c r="A121" s="231" t="s">
        <v>7</v>
      </c>
      <c r="B121" s="232" t="s">
        <v>266</v>
      </c>
      <c r="C121" s="246">
        <f>+C122+C124+C126</f>
        <v>20011156</v>
      </c>
      <c r="D121" s="168">
        <f>+D122+D124+D126</f>
        <v>150094629</v>
      </c>
      <c r="E121" s="240">
        <f>+E122+E124+E126</f>
        <v>139638483</v>
      </c>
    </row>
    <row r="122" spans="1:5" ht="12" customHeight="1">
      <c r="A122" s="13" t="s">
        <v>69</v>
      </c>
      <c r="B122" s="6" t="s">
        <v>143</v>
      </c>
      <c r="C122" s="170">
        <v>9131377</v>
      </c>
      <c r="D122" s="255">
        <v>139214850</v>
      </c>
      <c r="E122" s="106">
        <v>136928862</v>
      </c>
    </row>
    <row r="123" spans="1:5" ht="12" customHeight="1">
      <c r="A123" s="13" t="s">
        <v>70</v>
      </c>
      <c r="B123" s="10" t="s">
        <v>270</v>
      </c>
      <c r="C123" s="170"/>
      <c r="D123" s="255"/>
      <c r="E123" s="106"/>
    </row>
    <row r="124" spans="1:5" ht="12" customHeight="1">
      <c r="A124" s="13" t="s">
        <v>71</v>
      </c>
      <c r="B124" s="10" t="s">
        <v>126</v>
      </c>
      <c r="C124" s="169">
        <v>10879779</v>
      </c>
      <c r="D124" s="256">
        <v>10879779</v>
      </c>
      <c r="E124" s="105">
        <v>2709621</v>
      </c>
    </row>
    <row r="125" spans="1:5" ht="12" customHeight="1">
      <c r="A125" s="13" t="s">
        <v>72</v>
      </c>
      <c r="B125" s="10" t="s">
        <v>271</v>
      </c>
      <c r="C125" s="169"/>
      <c r="D125" s="256"/>
      <c r="E125" s="105"/>
    </row>
    <row r="126" spans="1:5" ht="12" customHeight="1">
      <c r="A126" s="13" t="s">
        <v>73</v>
      </c>
      <c r="B126" s="113" t="s">
        <v>145</v>
      </c>
      <c r="C126" s="169"/>
      <c r="D126" s="256"/>
      <c r="E126" s="105"/>
    </row>
    <row r="127" spans="1:5" ht="12" customHeight="1">
      <c r="A127" s="13" t="s">
        <v>80</v>
      </c>
      <c r="B127" s="112" t="s">
        <v>331</v>
      </c>
      <c r="C127" s="169"/>
      <c r="D127" s="256"/>
      <c r="E127" s="105"/>
    </row>
    <row r="128" spans="1:5" ht="12" customHeight="1">
      <c r="A128" s="13" t="s">
        <v>82</v>
      </c>
      <c r="B128" s="177" t="s">
        <v>276</v>
      </c>
      <c r="C128" s="169"/>
      <c r="D128" s="256"/>
      <c r="E128" s="105"/>
    </row>
    <row r="129" spans="1:5" ht="15.75">
      <c r="A129" s="13" t="s">
        <v>127</v>
      </c>
      <c r="B129" s="65" t="s">
        <v>259</v>
      </c>
      <c r="C129" s="169"/>
      <c r="D129" s="256"/>
      <c r="E129" s="105"/>
    </row>
    <row r="130" spans="1:5" ht="12" customHeight="1">
      <c r="A130" s="13" t="s">
        <v>128</v>
      </c>
      <c r="B130" s="65" t="s">
        <v>275</v>
      </c>
      <c r="C130" s="169"/>
      <c r="D130" s="256"/>
      <c r="E130" s="105"/>
    </row>
    <row r="131" spans="1:5" ht="12" customHeight="1">
      <c r="A131" s="13" t="s">
        <v>129</v>
      </c>
      <c r="B131" s="65" t="s">
        <v>274</v>
      </c>
      <c r="C131" s="169"/>
      <c r="D131" s="256"/>
      <c r="E131" s="105"/>
    </row>
    <row r="132" spans="1:5" ht="12" customHeight="1">
      <c r="A132" s="13" t="s">
        <v>267</v>
      </c>
      <c r="B132" s="65" t="s">
        <v>262</v>
      </c>
      <c r="C132" s="169"/>
      <c r="D132" s="256"/>
      <c r="E132" s="105"/>
    </row>
    <row r="133" spans="1:5" ht="12" customHeight="1">
      <c r="A133" s="13" t="s">
        <v>268</v>
      </c>
      <c r="B133" s="65" t="s">
        <v>273</v>
      </c>
      <c r="C133" s="169"/>
      <c r="D133" s="256"/>
      <c r="E133" s="105"/>
    </row>
    <row r="134" spans="1:5" ht="16.5" thickBot="1">
      <c r="A134" s="11" t="s">
        <v>269</v>
      </c>
      <c r="B134" s="65" t="s">
        <v>272</v>
      </c>
      <c r="C134" s="171"/>
      <c r="D134" s="257"/>
      <c r="E134" s="107"/>
    </row>
    <row r="135" spans="1:5" ht="12" customHeight="1" thickBot="1">
      <c r="A135" s="18" t="s">
        <v>8</v>
      </c>
      <c r="B135" s="58" t="s">
        <v>349</v>
      </c>
      <c r="C135" s="168">
        <f>+C100+C121</f>
        <v>483152591</v>
      </c>
      <c r="D135" s="254">
        <f>+D100+D121</f>
        <v>729070616</v>
      </c>
      <c r="E135" s="104">
        <f>+E100+E121</f>
        <v>663235527</v>
      </c>
    </row>
    <row r="136" spans="1:5" ht="12" customHeight="1" thickBot="1">
      <c r="A136" s="18" t="s">
        <v>9</v>
      </c>
      <c r="B136" s="58" t="s">
        <v>421</v>
      </c>
      <c r="C136" s="168">
        <f>+C137+C138+C139</f>
        <v>0</v>
      </c>
      <c r="D136" s="254">
        <f>+D137+D138+D139</f>
        <v>0</v>
      </c>
      <c r="E136" s="104">
        <f>+E137+E138+E139</f>
        <v>0</v>
      </c>
    </row>
    <row r="137" spans="1:5" ht="12" customHeight="1">
      <c r="A137" s="13" t="s">
        <v>176</v>
      </c>
      <c r="B137" s="10" t="s">
        <v>357</v>
      </c>
      <c r="C137" s="169"/>
      <c r="D137" s="256"/>
      <c r="E137" s="105"/>
    </row>
    <row r="138" spans="1:5" ht="12" customHeight="1">
      <c r="A138" s="13" t="s">
        <v>177</v>
      </c>
      <c r="B138" s="10" t="s">
        <v>358</v>
      </c>
      <c r="C138" s="169"/>
      <c r="D138" s="256"/>
      <c r="E138" s="105"/>
    </row>
    <row r="139" spans="1:5" ht="12" customHeight="1" thickBot="1">
      <c r="A139" s="11" t="s">
        <v>178</v>
      </c>
      <c r="B139" s="10" t="s">
        <v>359</v>
      </c>
      <c r="C139" s="169"/>
      <c r="D139" s="256"/>
      <c r="E139" s="105"/>
    </row>
    <row r="140" spans="1:5" ht="12" customHeight="1" thickBot="1">
      <c r="A140" s="18" t="s">
        <v>10</v>
      </c>
      <c r="B140" s="58" t="s">
        <v>351</v>
      </c>
      <c r="C140" s="168">
        <f>SUM(C141:C146)</f>
        <v>0</v>
      </c>
      <c r="D140" s="254">
        <f>SUM(D141:D146)</f>
        <v>0</v>
      </c>
      <c r="E140" s="104">
        <f>SUM(E141:E146)</f>
        <v>0</v>
      </c>
    </row>
    <row r="141" spans="1:5" ht="12" customHeight="1">
      <c r="A141" s="13" t="s">
        <v>56</v>
      </c>
      <c r="B141" s="7" t="s">
        <v>360</v>
      </c>
      <c r="C141" s="169"/>
      <c r="D141" s="256"/>
      <c r="E141" s="105"/>
    </row>
    <row r="142" spans="1:5" ht="12" customHeight="1">
      <c r="A142" s="13" t="s">
        <v>57</v>
      </c>
      <c r="B142" s="7" t="s">
        <v>352</v>
      </c>
      <c r="C142" s="169"/>
      <c r="D142" s="256"/>
      <c r="E142" s="105"/>
    </row>
    <row r="143" spans="1:5" ht="12" customHeight="1">
      <c r="A143" s="13" t="s">
        <v>58</v>
      </c>
      <c r="B143" s="7" t="s">
        <v>353</v>
      </c>
      <c r="C143" s="169"/>
      <c r="D143" s="256"/>
      <c r="E143" s="105"/>
    </row>
    <row r="144" spans="1:5" ht="12" customHeight="1">
      <c r="A144" s="13" t="s">
        <v>114</v>
      </c>
      <c r="B144" s="7" t="s">
        <v>354</v>
      </c>
      <c r="C144" s="169"/>
      <c r="D144" s="256"/>
      <c r="E144" s="105"/>
    </row>
    <row r="145" spans="1:5" ht="12" customHeight="1">
      <c r="A145" s="13" t="s">
        <v>115</v>
      </c>
      <c r="B145" s="7" t="s">
        <v>355</v>
      </c>
      <c r="C145" s="169"/>
      <c r="D145" s="256"/>
      <c r="E145" s="105"/>
    </row>
    <row r="146" spans="1:5" ht="12" customHeight="1" thickBot="1">
      <c r="A146" s="16" t="s">
        <v>116</v>
      </c>
      <c r="B146" s="317" t="s">
        <v>356</v>
      </c>
      <c r="C146" s="245"/>
      <c r="D146" s="294"/>
      <c r="E146" s="239"/>
    </row>
    <row r="147" spans="1:5" ht="12" customHeight="1" thickBot="1">
      <c r="A147" s="18" t="s">
        <v>11</v>
      </c>
      <c r="B147" s="58" t="s">
        <v>364</v>
      </c>
      <c r="C147" s="174">
        <f>+C148+C149+C150+C151</f>
        <v>190268579</v>
      </c>
      <c r="D147" s="258">
        <f>+D148+D149+D150+D151</f>
        <v>203567136</v>
      </c>
      <c r="E147" s="210">
        <f>+E148+E149+E150+E151</f>
        <v>188880331</v>
      </c>
    </row>
    <row r="148" spans="1:5" ht="12" customHeight="1">
      <c r="A148" s="13" t="s">
        <v>59</v>
      </c>
      <c r="B148" s="7" t="s">
        <v>277</v>
      </c>
      <c r="C148" s="169"/>
      <c r="D148" s="256"/>
      <c r="E148" s="105"/>
    </row>
    <row r="149" spans="1:5" ht="12" customHeight="1">
      <c r="A149" s="13" t="s">
        <v>60</v>
      </c>
      <c r="B149" s="7" t="s">
        <v>278</v>
      </c>
      <c r="C149" s="169"/>
      <c r="D149" s="256">
        <v>13298557</v>
      </c>
      <c r="E149" s="105">
        <v>13150183</v>
      </c>
    </row>
    <row r="150" spans="1:5" ht="12" customHeight="1">
      <c r="A150" s="13" t="s">
        <v>194</v>
      </c>
      <c r="B150" s="7" t="s">
        <v>365</v>
      </c>
      <c r="C150" s="169"/>
      <c r="D150" s="256"/>
      <c r="E150" s="105"/>
    </row>
    <row r="151" spans="1:5" ht="12" customHeight="1" thickBot="1">
      <c r="A151" s="11" t="s">
        <v>195</v>
      </c>
      <c r="B151" s="396" t="s">
        <v>875</v>
      </c>
      <c r="C151" s="169">
        <v>190268579</v>
      </c>
      <c r="D151" s="256">
        <v>190268579</v>
      </c>
      <c r="E151" s="105">
        <v>175730148</v>
      </c>
    </row>
    <row r="152" spans="1:5" ht="12" customHeight="1" thickBot="1">
      <c r="A152" s="18" t="s">
        <v>12</v>
      </c>
      <c r="B152" s="58" t="s">
        <v>366</v>
      </c>
      <c r="C152" s="247">
        <f>SUM(C153:C157)</f>
        <v>0</v>
      </c>
      <c r="D152" s="259">
        <f>SUM(D153:D157)</f>
        <v>0</v>
      </c>
      <c r="E152" s="241">
        <f>SUM(E153:E157)</f>
        <v>0</v>
      </c>
    </row>
    <row r="153" spans="1:5" ht="12" customHeight="1">
      <c r="A153" s="13" t="s">
        <v>61</v>
      </c>
      <c r="B153" s="7" t="s">
        <v>361</v>
      </c>
      <c r="C153" s="169"/>
      <c r="D153" s="256"/>
      <c r="E153" s="105"/>
    </row>
    <row r="154" spans="1:5" ht="12" customHeight="1">
      <c r="A154" s="13" t="s">
        <v>62</v>
      </c>
      <c r="B154" s="7" t="s">
        <v>368</v>
      </c>
      <c r="C154" s="169"/>
      <c r="D154" s="256"/>
      <c r="E154" s="105"/>
    </row>
    <row r="155" spans="1:5" ht="12" customHeight="1">
      <c r="A155" s="13" t="s">
        <v>206</v>
      </c>
      <c r="B155" s="7" t="s">
        <v>363</v>
      </c>
      <c r="C155" s="169"/>
      <c r="D155" s="256"/>
      <c r="E155" s="105"/>
    </row>
    <row r="156" spans="1:5" ht="12" customHeight="1">
      <c r="A156" s="13" t="s">
        <v>207</v>
      </c>
      <c r="B156" s="7" t="s">
        <v>369</v>
      </c>
      <c r="C156" s="169"/>
      <c r="D156" s="256"/>
      <c r="E156" s="105"/>
    </row>
    <row r="157" spans="1:5" ht="12" customHeight="1" thickBot="1">
      <c r="A157" s="13" t="s">
        <v>367</v>
      </c>
      <c r="B157" s="7" t="s">
        <v>370</v>
      </c>
      <c r="C157" s="169"/>
      <c r="D157" s="256"/>
      <c r="E157" s="105"/>
    </row>
    <row r="158" spans="1:5" ht="12" customHeight="1" thickBot="1">
      <c r="A158" s="18" t="s">
        <v>13</v>
      </c>
      <c r="B158" s="58" t="s">
        <v>371</v>
      </c>
      <c r="C158" s="248"/>
      <c r="D158" s="260"/>
      <c r="E158" s="242"/>
    </row>
    <row r="159" spans="1:5" ht="12" customHeight="1" thickBot="1">
      <c r="A159" s="18" t="s">
        <v>14</v>
      </c>
      <c r="B159" s="58" t="s">
        <v>372</v>
      </c>
      <c r="C159" s="248"/>
      <c r="D159" s="260"/>
      <c r="E159" s="242"/>
    </row>
    <row r="160" spans="1:9" ht="15" customHeight="1" thickBot="1">
      <c r="A160" s="18" t="s">
        <v>15</v>
      </c>
      <c r="B160" s="58" t="s">
        <v>374</v>
      </c>
      <c r="C160" s="249">
        <f>+C136+C140+C147+C152+C158+C159</f>
        <v>190268579</v>
      </c>
      <c r="D160" s="261">
        <f>+D136+D140+D147+D152+D158+D159</f>
        <v>203567136</v>
      </c>
      <c r="E160" s="243">
        <f>+E136+E140+E147+E152+E158+E159</f>
        <v>188880331</v>
      </c>
      <c r="F160" s="191"/>
      <c r="G160" s="192"/>
      <c r="H160" s="192"/>
      <c r="I160" s="192"/>
    </row>
    <row r="161" spans="1:5" s="180" customFormat="1" ht="12.75" customHeight="1" thickBot="1">
      <c r="A161" s="114" t="s">
        <v>16</v>
      </c>
      <c r="B161" s="155" t="s">
        <v>373</v>
      </c>
      <c r="C161" s="249">
        <f>+C135+C160</f>
        <v>673421170</v>
      </c>
      <c r="D161" s="261">
        <f>+D135+D160</f>
        <v>932637752</v>
      </c>
      <c r="E161" s="243">
        <f>+E135+E160</f>
        <v>852115858</v>
      </c>
    </row>
    <row r="162" spans="3:4" ht="15.75">
      <c r="C162" s="664">
        <f>C93-C161</f>
        <v>0</v>
      </c>
      <c r="D162" s="664">
        <f>D93-D161</f>
        <v>0</v>
      </c>
    </row>
    <row r="163" spans="1:5" ht="15.75">
      <c r="A163" s="792" t="s">
        <v>279</v>
      </c>
      <c r="B163" s="792"/>
      <c r="C163" s="792"/>
      <c r="D163" s="792"/>
      <c r="E163" s="792"/>
    </row>
    <row r="164" spans="1:5" ht="15" customHeight="1" thickBot="1">
      <c r="A164" s="802" t="s">
        <v>102</v>
      </c>
      <c r="B164" s="802"/>
      <c r="C164" s="116"/>
      <c r="E164" s="116" t="str">
        <f>E96</f>
        <v> Forintban!</v>
      </c>
    </row>
    <row r="165" spans="1:5" ht="25.5" customHeight="1" thickBot="1">
      <c r="A165" s="18">
        <v>1</v>
      </c>
      <c r="B165" s="23" t="s">
        <v>375</v>
      </c>
      <c r="C165" s="253">
        <f>+C68-C135</f>
        <v>69990203</v>
      </c>
      <c r="D165" s="168">
        <f>+D68-D135</f>
        <v>-1059414</v>
      </c>
      <c r="E165" s="104">
        <f>+E68-E135</f>
        <v>94989721</v>
      </c>
    </row>
    <row r="166" spans="1:5" ht="32.25" customHeight="1" thickBot="1">
      <c r="A166" s="18" t="s">
        <v>7</v>
      </c>
      <c r="B166" s="23" t="s">
        <v>381</v>
      </c>
      <c r="C166" s="168">
        <f>+C92-C160</f>
        <v>-69990203</v>
      </c>
      <c r="D166" s="168">
        <f>+D92-D160</f>
        <v>1059414</v>
      </c>
      <c r="E166" s="104">
        <f>+E92-E160</f>
        <v>278635400</v>
      </c>
    </row>
  </sheetData>
  <sheetProtection/>
  <mergeCells count="16">
    <mergeCell ref="A163:E163"/>
    <mergeCell ref="A164:B164"/>
    <mergeCell ref="A8:A9"/>
    <mergeCell ref="B8:B9"/>
    <mergeCell ref="C8:E8"/>
    <mergeCell ref="A95:E95"/>
    <mergeCell ref="A96:B96"/>
    <mergeCell ref="A97:A98"/>
    <mergeCell ref="B97:B98"/>
    <mergeCell ref="C97:E97"/>
    <mergeCell ref="B1:E1"/>
    <mergeCell ref="A2:E2"/>
    <mergeCell ref="A3:E3"/>
    <mergeCell ref="A4:E4"/>
    <mergeCell ref="A6:E6"/>
    <mergeCell ref="A7:B7"/>
  </mergeCells>
  <printOptions horizontalCentered="1"/>
  <pageMargins left="0.6692913385826772" right="0.6692913385826772" top="0.8661417322834646" bottom="0.8661417322834646" header="0" footer="0"/>
  <pageSetup fitToHeight="2" orientation="portrait" paperSize="9" scale="72" r:id="rId1"/>
  <rowBreaks count="2" manualBreakCount="2">
    <brk id="68" max="4" man="1"/>
    <brk id="146" max="4" man="1"/>
  </rowBreaks>
</worksheet>
</file>

<file path=xl/worksheets/sheet6.xml><?xml version="1.0" encoding="utf-8"?>
<worksheet xmlns="http://schemas.openxmlformats.org/spreadsheetml/2006/main" xmlns:r="http://schemas.openxmlformats.org/officeDocument/2006/relationships">
  <sheetPr>
    <tabColor rgb="FF92D050"/>
  </sheetPr>
  <dimension ref="A1:I166"/>
  <sheetViews>
    <sheetView zoomScale="120" zoomScaleNormal="120" zoomScaleSheetLayoutView="100" workbookViewId="0" topLeftCell="A1">
      <selection activeCell="B84" sqref="B84"/>
    </sheetView>
  </sheetViews>
  <sheetFormatPr defaultColWidth="9.00390625" defaultRowHeight="12.75"/>
  <cols>
    <col min="1" max="1" width="9.50390625" style="156" customWidth="1"/>
    <col min="2" max="2" width="65.875" style="156" customWidth="1"/>
    <col min="3" max="3" width="17.875" style="157" customWidth="1"/>
    <col min="4" max="5" width="17.875" style="178" customWidth="1"/>
    <col min="6" max="16384" width="9.375" style="178" customWidth="1"/>
  </cols>
  <sheetData>
    <row r="1" spans="1:5" ht="15.75">
      <c r="A1" s="318"/>
      <c r="B1" s="797" t="str">
        <f>CONCATENATE("1.3. melléklet ",Z_ALAPADATOK!A7," ",Z_ALAPADATOK!B7," ",Z_ALAPADATOK!C7," ",Z_ALAPADATOK!D7," ",Z_ALAPADATOK!E7," ",Z_ALAPADATOK!F7," ",Z_ALAPADATOK!G7," ",Z_ALAPADATOK!H7)</f>
        <v>1.3. melléklet a 4 / 2020. ( VII.17. ) önkormányzati rendelethez</v>
      </c>
      <c r="C1" s="798"/>
      <c r="D1" s="798"/>
      <c r="E1" s="798"/>
    </row>
    <row r="2" spans="1:5" ht="15.75">
      <c r="A2" s="799" t="str">
        <f>CONCATENATE(Z_ALAPADATOK!A3)</f>
        <v>Kállósemjén Nagyközség Önkormányzata</v>
      </c>
      <c r="B2" s="800"/>
      <c r="C2" s="800"/>
      <c r="D2" s="800"/>
      <c r="E2" s="800"/>
    </row>
    <row r="3" spans="1:5" ht="15.75">
      <c r="A3" s="799" t="str">
        <f>CONCATENATE(Z_ALAPADATOK!B1,". ÉVI ZÁRSZÁMADÁS")</f>
        <v>2019. ÉVI ZÁRSZÁMADÁS</v>
      </c>
      <c r="B3" s="799"/>
      <c r="C3" s="801"/>
      <c r="D3" s="799"/>
      <c r="E3" s="799"/>
    </row>
    <row r="4" spans="1:5" ht="19.5" customHeight="1">
      <c r="A4" s="799" t="s">
        <v>840</v>
      </c>
      <c r="B4" s="799"/>
      <c r="C4" s="801"/>
      <c r="D4" s="799"/>
      <c r="E4" s="799"/>
    </row>
    <row r="5" spans="1:5" ht="15.75">
      <c r="A5" s="318"/>
      <c r="B5" s="318"/>
      <c r="C5" s="319"/>
      <c r="D5" s="320"/>
      <c r="E5" s="320"/>
    </row>
    <row r="6" spans="1:5" ht="15.75" customHeight="1">
      <c r="A6" s="793" t="s">
        <v>3</v>
      </c>
      <c r="B6" s="793"/>
      <c r="C6" s="793"/>
      <c r="D6" s="793"/>
      <c r="E6" s="793"/>
    </row>
    <row r="7" spans="1:5" ht="15.75" customHeight="1" thickBot="1">
      <c r="A7" s="795" t="s">
        <v>100</v>
      </c>
      <c r="B7" s="795"/>
      <c r="C7" s="321"/>
      <c r="D7" s="320"/>
      <c r="E7" s="321" t="str">
        <f>CONCATENATE('Z_1.2.sz.mell.'!E7)</f>
        <v> Forintban!</v>
      </c>
    </row>
    <row r="8" spans="1:5" ht="15.75">
      <c r="A8" s="803" t="s">
        <v>51</v>
      </c>
      <c r="B8" s="805" t="s">
        <v>5</v>
      </c>
      <c r="C8" s="789" t="str">
        <f>+CONCATENATE(LEFT(Z_ÖSSZEFÜGGÉSEK!A6,4),". évi")</f>
        <v>2019. évi</v>
      </c>
      <c r="D8" s="790"/>
      <c r="E8" s="791"/>
    </row>
    <row r="9" spans="1:5" ht="24.75" thickBot="1">
      <c r="A9" s="804"/>
      <c r="B9" s="806"/>
      <c r="C9" s="251" t="s">
        <v>418</v>
      </c>
      <c r="D9" s="250" t="s">
        <v>419</v>
      </c>
      <c r="E9" s="311" t="str">
        <f>CONCATENATE('Z_1.2.sz.mell.'!E9)</f>
        <v>2019. XII. 31.
teljesítés</v>
      </c>
    </row>
    <row r="10" spans="1:5" s="179" customFormat="1" ht="12" customHeight="1" thickBot="1">
      <c r="A10" s="175" t="s">
        <v>385</v>
      </c>
      <c r="B10" s="176" t="s">
        <v>386</v>
      </c>
      <c r="C10" s="176" t="s">
        <v>387</v>
      </c>
      <c r="D10" s="176" t="s">
        <v>389</v>
      </c>
      <c r="E10" s="252" t="s">
        <v>388</v>
      </c>
    </row>
    <row r="11" spans="1:5" s="180" customFormat="1" ht="12" customHeight="1" thickBot="1">
      <c r="A11" s="18" t="s">
        <v>6</v>
      </c>
      <c r="B11" s="19" t="s">
        <v>161</v>
      </c>
      <c r="C11" s="168">
        <f>+C12+C13+C14+C15+C16+C17</f>
        <v>0</v>
      </c>
      <c r="D11" s="168">
        <f>+D12+D13+D14+D15+D16+D17</f>
        <v>0</v>
      </c>
      <c r="E11" s="104">
        <f>+E12+E13+E14+E15+E16+E17</f>
        <v>0</v>
      </c>
    </row>
    <row r="12" spans="1:5" s="180" customFormat="1" ht="12" customHeight="1">
      <c r="A12" s="13" t="s">
        <v>63</v>
      </c>
      <c r="B12" s="181" t="s">
        <v>162</v>
      </c>
      <c r="C12" s="170"/>
      <c r="D12" s="170"/>
      <c r="E12" s="106"/>
    </row>
    <row r="13" spans="1:5" s="180" customFormat="1" ht="12" customHeight="1">
      <c r="A13" s="12" t="s">
        <v>64</v>
      </c>
      <c r="B13" s="182" t="s">
        <v>163</v>
      </c>
      <c r="C13" s="169"/>
      <c r="D13" s="169"/>
      <c r="E13" s="105"/>
    </row>
    <row r="14" spans="1:5" s="180" customFormat="1" ht="12" customHeight="1">
      <c r="A14" s="12" t="s">
        <v>65</v>
      </c>
      <c r="B14" s="182" t="s">
        <v>164</v>
      </c>
      <c r="C14" s="169"/>
      <c r="D14" s="169"/>
      <c r="E14" s="105"/>
    </row>
    <row r="15" spans="1:5" s="180" customFormat="1" ht="12" customHeight="1">
      <c r="A15" s="12" t="s">
        <v>66</v>
      </c>
      <c r="B15" s="182" t="s">
        <v>165</v>
      </c>
      <c r="C15" s="169"/>
      <c r="D15" s="169"/>
      <c r="E15" s="105"/>
    </row>
    <row r="16" spans="1:5" s="180" customFormat="1" ht="12" customHeight="1">
      <c r="A16" s="12" t="s">
        <v>97</v>
      </c>
      <c r="B16" s="112" t="s">
        <v>333</v>
      </c>
      <c r="C16" s="169"/>
      <c r="D16" s="169"/>
      <c r="E16" s="105"/>
    </row>
    <row r="17" spans="1:5" s="180" customFormat="1" ht="12" customHeight="1" thickBot="1">
      <c r="A17" s="14" t="s">
        <v>67</v>
      </c>
      <c r="B17" s="113" t="s">
        <v>334</v>
      </c>
      <c r="C17" s="169"/>
      <c r="D17" s="169"/>
      <c r="E17" s="105"/>
    </row>
    <row r="18" spans="1:5" s="180" customFormat="1" ht="12" customHeight="1" thickBot="1">
      <c r="A18" s="18" t="s">
        <v>7</v>
      </c>
      <c r="B18" s="111" t="s">
        <v>166</v>
      </c>
      <c r="C18" s="168">
        <f>+C19+C20+C21+C22+C23</f>
        <v>0</v>
      </c>
      <c r="D18" s="168">
        <f>+D19+D20+D21+D22+D23</f>
        <v>0</v>
      </c>
      <c r="E18" s="104">
        <f>+E19+E20+E21+E22+E23</f>
        <v>0</v>
      </c>
    </row>
    <row r="19" spans="1:5" s="180" customFormat="1" ht="12" customHeight="1">
      <c r="A19" s="13" t="s">
        <v>69</v>
      </c>
      <c r="B19" s="181" t="s">
        <v>167</v>
      </c>
      <c r="C19" s="170"/>
      <c r="D19" s="170"/>
      <c r="E19" s="106"/>
    </row>
    <row r="20" spans="1:5" s="180" customFormat="1" ht="12" customHeight="1">
      <c r="A20" s="12" t="s">
        <v>70</v>
      </c>
      <c r="B20" s="182" t="s">
        <v>168</v>
      </c>
      <c r="C20" s="169"/>
      <c r="D20" s="169"/>
      <c r="E20" s="105"/>
    </row>
    <row r="21" spans="1:5" s="180" customFormat="1" ht="12" customHeight="1">
      <c r="A21" s="12" t="s">
        <v>71</v>
      </c>
      <c r="B21" s="182" t="s">
        <v>325</v>
      </c>
      <c r="C21" s="169"/>
      <c r="D21" s="169"/>
      <c r="E21" s="105"/>
    </row>
    <row r="22" spans="1:5" s="180" customFormat="1" ht="12" customHeight="1">
      <c r="A22" s="12" t="s">
        <v>72</v>
      </c>
      <c r="B22" s="182" t="s">
        <v>326</v>
      </c>
      <c r="C22" s="169"/>
      <c r="D22" s="169"/>
      <c r="E22" s="105"/>
    </row>
    <row r="23" spans="1:5" s="180" customFormat="1" ht="12" customHeight="1">
      <c r="A23" s="12" t="s">
        <v>73</v>
      </c>
      <c r="B23" s="182" t="s">
        <v>169</v>
      </c>
      <c r="C23" s="169"/>
      <c r="D23" s="169"/>
      <c r="E23" s="105"/>
    </row>
    <row r="24" spans="1:5" s="180" customFormat="1" ht="12" customHeight="1" thickBot="1">
      <c r="A24" s="14" t="s">
        <v>80</v>
      </c>
      <c r="B24" s="113" t="s">
        <v>170</v>
      </c>
      <c r="C24" s="171"/>
      <c r="D24" s="171"/>
      <c r="E24" s="107"/>
    </row>
    <row r="25" spans="1:5" s="180" customFormat="1" ht="12" customHeight="1" thickBot="1">
      <c r="A25" s="18" t="s">
        <v>8</v>
      </c>
      <c r="B25" s="19" t="s">
        <v>171</v>
      </c>
      <c r="C25" s="168">
        <f>+C26+C27+C28+C29+C30</f>
        <v>0</v>
      </c>
      <c r="D25" s="168">
        <f>+D26+D27+D28+D29+D30</f>
        <v>0</v>
      </c>
      <c r="E25" s="104">
        <f>+E26+E27+E28+E29+E30</f>
        <v>0</v>
      </c>
    </row>
    <row r="26" spans="1:5" s="180" customFormat="1" ht="12" customHeight="1">
      <c r="A26" s="13" t="s">
        <v>52</v>
      </c>
      <c r="B26" s="181" t="s">
        <v>172</v>
      </c>
      <c r="C26" s="170"/>
      <c r="D26" s="170"/>
      <c r="E26" s="106"/>
    </row>
    <row r="27" spans="1:5" s="180" customFormat="1" ht="12" customHeight="1">
      <c r="A27" s="12" t="s">
        <v>53</v>
      </c>
      <c r="B27" s="182" t="s">
        <v>173</v>
      </c>
      <c r="C27" s="169"/>
      <c r="D27" s="169"/>
      <c r="E27" s="105"/>
    </row>
    <row r="28" spans="1:5" s="180" customFormat="1" ht="12" customHeight="1">
      <c r="A28" s="12" t="s">
        <v>54</v>
      </c>
      <c r="B28" s="182" t="s">
        <v>327</v>
      </c>
      <c r="C28" s="169"/>
      <c r="D28" s="169"/>
      <c r="E28" s="105"/>
    </row>
    <row r="29" spans="1:5" s="180" customFormat="1" ht="12" customHeight="1">
      <c r="A29" s="12" t="s">
        <v>55</v>
      </c>
      <c r="B29" s="182" t="s">
        <v>328</v>
      </c>
      <c r="C29" s="169"/>
      <c r="D29" s="169"/>
      <c r="E29" s="105"/>
    </row>
    <row r="30" spans="1:5" s="180" customFormat="1" ht="12" customHeight="1">
      <c r="A30" s="12" t="s">
        <v>110</v>
      </c>
      <c r="B30" s="182" t="s">
        <v>174</v>
      </c>
      <c r="C30" s="169"/>
      <c r="D30" s="169"/>
      <c r="E30" s="105"/>
    </row>
    <row r="31" spans="1:5" s="180" customFormat="1" ht="12" customHeight="1" thickBot="1">
      <c r="A31" s="14" t="s">
        <v>111</v>
      </c>
      <c r="B31" s="183" t="s">
        <v>175</v>
      </c>
      <c r="C31" s="171"/>
      <c r="D31" s="171"/>
      <c r="E31" s="107"/>
    </row>
    <row r="32" spans="1:5" s="180" customFormat="1" ht="12" customHeight="1" thickBot="1">
      <c r="A32" s="18" t="s">
        <v>112</v>
      </c>
      <c r="B32" s="19" t="s">
        <v>476</v>
      </c>
      <c r="C32" s="174">
        <f>SUM(C33:C39)</f>
        <v>0</v>
      </c>
      <c r="D32" s="174">
        <f>SUM(D33:D39)</f>
        <v>0</v>
      </c>
      <c r="E32" s="210">
        <f>SUM(E33:E39)</f>
        <v>0</v>
      </c>
    </row>
    <row r="33" spans="1:5" s="180" customFormat="1" ht="12" customHeight="1">
      <c r="A33" s="13" t="s">
        <v>176</v>
      </c>
      <c r="B33" s="181" t="str">
        <f>'Z_1.1.sz.mell.'!B33</f>
        <v>Építményadó</v>
      </c>
      <c r="C33" s="170"/>
      <c r="D33" s="170"/>
      <c r="E33" s="106"/>
    </row>
    <row r="34" spans="1:5" s="180" customFormat="1" ht="12" customHeight="1">
      <c r="A34" s="12" t="s">
        <v>177</v>
      </c>
      <c r="B34" s="181" t="str">
        <f>'Z_1.1.sz.mell.'!B34</f>
        <v>Idegenforgalmi adó </v>
      </c>
      <c r="C34" s="169"/>
      <c r="D34" s="169"/>
      <c r="E34" s="105"/>
    </row>
    <row r="35" spans="1:5" s="180" customFormat="1" ht="12" customHeight="1">
      <c r="A35" s="12" t="s">
        <v>178</v>
      </c>
      <c r="B35" s="181" t="str">
        <f>'Z_1.1.sz.mell.'!B35</f>
        <v>Iparűzési adó</v>
      </c>
      <c r="C35" s="169"/>
      <c r="D35" s="169"/>
      <c r="E35" s="105"/>
    </row>
    <row r="36" spans="1:5" s="180" customFormat="1" ht="12" customHeight="1">
      <c r="A36" s="12" t="s">
        <v>179</v>
      </c>
      <c r="B36" s="181" t="str">
        <f>'Z_1.1.sz.mell.'!B36</f>
        <v>Talajterhelési díj</v>
      </c>
      <c r="C36" s="169"/>
      <c r="D36" s="169"/>
      <c r="E36" s="105"/>
    </row>
    <row r="37" spans="1:5" s="180" customFormat="1" ht="12" customHeight="1">
      <c r="A37" s="12" t="s">
        <v>480</v>
      </c>
      <c r="B37" s="181" t="str">
        <f>'Z_1.1.sz.mell.'!B37</f>
        <v>Gépjárműadó</v>
      </c>
      <c r="C37" s="169"/>
      <c r="D37" s="169"/>
      <c r="E37" s="105"/>
    </row>
    <row r="38" spans="1:5" s="180" customFormat="1" ht="12" customHeight="1">
      <c r="A38" s="12" t="s">
        <v>481</v>
      </c>
      <c r="B38" s="181" t="str">
        <f>'Z_1.1.sz.mell.'!B38</f>
        <v>Egyéb közhatalmi bevételek</v>
      </c>
      <c r="C38" s="169"/>
      <c r="D38" s="169"/>
      <c r="E38" s="105"/>
    </row>
    <row r="39" spans="1:5" s="180" customFormat="1" ht="12" customHeight="1" thickBot="1">
      <c r="A39" s="14" t="s">
        <v>482</v>
      </c>
      <c r="B39" s="181" t="str">
        <f>'Z_1.1.sz.mell.'!B39</f>
        <v>Kommunális adó</v>
      </c>
      <c r="C39" s="171"/>
      <c r="D39" s="171"/>
      <c r="E39" s="107"/>
    </row>
    <row r="40" spans="1:5" s="180" customFormat="1" ht="12" customHeight="1" thickBot="1">
      <c r="A40" s="18" t="s">
        <v>10</v>
      </c>
      <c r="B40" s="19" t="s">
        <v>335</v>
      </c>
      <c r="C40" s="168">
        <f>SUM(C41:C51)</f>
        <v>0</v>
      </c>
      <c r="D40" s="168">
        <f>SUM(D41:D51)</f>
        <v>0</v>
      </c>
      <c r="E40" s="104">
        <f>SUM(E41:E51)</f>
        <v>0</v>
      </c>
    </row>
    <row r="41" spans="1:5" s="180" customFormat="1" ht="12" customHeight="1">
      <c r="A41" s="13" t="s">
        <v>56</v>
      </c>
      <c r="B41" s="181" t="s">
        <v>183</v>
      </c>
      <c r="C41" s="170"/>
      <c r="D41" s="170"/>
      <c r="E41" s="106"/>
    </row>
    <row r="42" spans="1:5" s="180" customFormat="1" ht="12" customHeight="1">
      <c r="A42" s="12" t="s">
        <v>57</v>
      </c>
      <c r="B42" s="182" t="s">
        <v>184</v>
      </c>
      <c r="C42" s="169"/>
      <c r="D42" s="169"/>
      <c r="E42" s="105"/>
    </row>
    <row r="43" spans="1:5" s="180" customFormat="1" ht="12" customHeight="1">
      <c r="A43" s="12" t="s">
        <v>58</v>
      </c>
      <c r="B43" s="182" t="s">
        <v>185</v>
      </c>
      <c r="C43" s="169"/>
      <c r="D43" s="169"/>
      <c r="E43" s="105"/>
    </row>
    <row r="44" spans="1:5" s="180" customFormat="1" ht="12" customHeight="1">
      <c r="A44" s="12" t="s">
        <v>114</v>
      </c>
      <c r="B44" s="182" t="s">
        <v>186</v>
      </c>
      <c r="C44" s="169"/>
      <c r="D44" s="169"/>
      <c r="E44" s="105"/>
    </row>
    <row r="45" spans="1:5" s="180" customFormat="1" ht="12" customHeight="1">
      <c r="A45" s="12" t="s">
        <v>115</v>
      </c>
      <c r="B45" s="182" t="s">
        <v>187</v>
      </c>
      <c r="C45" s="169"/>
      <c r="D45" s="169"/>
      <c r="E45" s="105"/>
    </row>
    <row r="46" spans="1:5" s="180" customFormat="1" ht="12" customHeight="1">
      <c r="A46" s="12" t="s">
        <v>116</v>
      </c>
      <c r="B46" s="182" t="s">
        <v>188</v>
      </c>
      <c r="C46" s="169"/>
      <c r="D46" s="169"/>
      <c r="E46" s="105"/>
    </row>
    <row r="47" spans="1:5" s="180" customFormat="1" ht="12" customHeight="1">
      <c r="A47" s="12" t="s">
        <v>117</v>
      </c>
      <c r="B47" s="182" t="s">
        <v>189</v>
      </c>
      <c r="C47" s="169"/>
      <c r="D47" s="169"/>
      <c r="E47" s="105"/>
    </row>
    <row r="48" spans="1:5" s="180" customFormat="1" ht="12" customHeight="1">
      <c r="A48" s="12" t="s">
        <v>118</v>
      </c>
      <c r="B48" s="182" t="s">
        <v>483</v>
      </c>
      <c r="C48" s="169"/>
      <c r="D48" s="169"/>
      <c r="E48" s="105"/>
    </row>
    <row r="49" spans="1:5" s="180" customFormat="1" ht="12" customHeight="1">
      <c r="A49" s="12" t="s">
        <v>181</v>
      </c>
      <c r="B49" s="182" t="s">
        <v>191</v>
      </c>
      <c r="C49" s="172"/>
      <c r="D49" s="172"/>
      <c r="E49" s="108"/>
    </row>
    <row r="50" spans="1:5" s="180" customFormat="1" ht="12" customHeight="1">
      <c r="A50" s="14" t="s">
        <v>182</v>
      </c>
      <c r="B50" s="183" t="s">
        <v>337</v>
      </c>
      <c r="C50" s="173"/>
      <c r="D50" s="173"/>
      <c r="E50" s="109"/>
    </row>
    <row r="51" spans="1:5" s="180" customFormat="1" ht="12" customHeight="1" thickBot="1">
      <c r="A51" s="14" t="s">
        <v>336</v>
      </c>
      <c r="B51" s="113" t="s">
        <v>192</v>
      </c>
      <c r="C51" s="173"/>
      <c r="D51" s="173"/>
      <c r="E51" s="109"/>
    </row>
    <row r="52" spans="1:5" s="180" customFormat="1" ht="12" customHeight="1" thickBot="1">
      <c r="A52" s="18" t="s">
        <v>11</v>
      </c>
      <c r="B52" s="19" t="s">
        <v>193</v>
      </c>
      <c r="C52" s="168">
        <f>SUM(C53:C57)</f>
        <v>0</v>
      </c>
      <c r="D52" s="168">
        <f>SUM(D53:D57)</f>
        <v>0</v>
      </c>
      <c r="E52" s="104">
        <f>SUM(E53:E57)</f>
        <v>0</v>
      </c>
    </row>
    <row r="53" spans="1:5" s="180" customFormat="1" ht="12" customHeight="1">
      <c r="A53" s="13" t="s">
        <v>59</v>
      </c>
      <c r="B53" s="181" t="s">
        <v>197</v>
      </c>
      <c r="C53" s="221"/>
      <c r="D53" s="221"/>
      <c r="E53" s="110"/>
    </row>
    <row r="54" spans="1:5" s="180" customFormat="1" ht="12" customHeight="1">
      <c r="A54" s="12" t="s">
        <v>60</v>
      </c>
      <c r="B54" s="182" t="s">
        <v>198</v>
      </c>
      <c r="C54" s="172"/>
      <c r="D54" s="172"/>
      <c r="E54" s="108"/>
    </row>
    <row r="55" spans="1:5" s="180" customFormat="1" ht="12" customHeight="1">
      <c r="A55" s="12" t="s">
        <v>194</v>
      </c>
      <c r="B55" s="182" t="s">
        <v>199</v>
      </c>
      <c r="C55" s="172"/>
      <c r="D55" s="172"/>
      <c r="E55" s="108"/>
    </row>
    <row r="56" spans="1:5" s="180" customFormat="1" ht="12" customHeight="1">
      <c r="A56" s="12" t="s">
        <v>195</v>
      </c>
      <c r="B56" s="182" t="s">
        <v>200</v>
      </c>
      <c r="C56" s="172"/>
      <c r="D56" s="172"/>
      <c r="E56" s="108"/>
    </row>
    <row r="57" spans="1:5" s="180" customFormat="1" ht="12" customHeight="1" thickBot="1">
      <c r="A57" s="14" t="s">
        <v>196</v>
      </c>
      <c r="B57" s="113" t="s">
        <v>201</v>
      </c>
      <c r="C57" s="173"/>
      <c r="D57" s="173"/>
      <c r="E57" s="109"/>
    </row>
    <row r="58" spans="1:5" s="180" customFormat="1" ht="12" customHeight="1" thickBot="1">
      <c r="A58" s="18" t="s">
        <v>119</v>
      </c>
      <c r="B58" s="19" t="s">
        <v>202</v>
      </c>
      <c r="C58" s="168">
        <f>SUM(C59:C61)</f>
        <v>0</v>
      </c>
      <c r="D58" s="168">
        <f>SUM(D59:D61)</f>
        <v>0</v>
      </c>
      <c r="E58" s="104">
        <f>SUM(E59:E61)</f>
        <v>0</v>
      </c>
    </row>
    <row r="59" spans="1:5" s="180" customFormat="1" ht="12" customHeight="1">
      <c r="A59" s="13" t="s">
        <v>61</v>
      </c>
      <c r="B59" s="181" t="s">
        <v>203</v>
      </c>
      <c r="C59" s="170"/>
      <c r="D59" s="170"/>
      <c r="E59" s="106"/>
    </row>
    <row r="60" spans="1:5" s="180" customFormat="1" ht="12" customHeight="1">
      <c r="A60" s="12" t="s">
        <v>62</v>
      </c>
      <c r="B60" s="182" t="s">
        <v>329</v>
      </c>
      <c r="C60" s="169"/>
      <c r="D60" s="169"/>
      <c r="E60" s="105"/>
    </row>
    <row r="61" spans="1:5" s="180" customFormat="1" ht="12" customHeight="1">
      <c r="A61" s="12" t="s">
        <v>206</v>
      </c>
      <c r="B61" s="182" t="s">
        <v>204</v>
      </c>
      <c r="C61" s="169"/>
      <c r="D61" s="169"/>
      <c r="E61" s="105"/>
    </row>
    <row r="62" spans="1:5" s="180" customFormat="1" ht="12" customHeight="1" thickBot="1">
      <c r="A62" s="14" t="s">
        <v>207</v>
      </c>
      <c r="B62" s="113" t="s">
        <v>205</v>
      </c>
      <c r="C62" s="171"/>
      <c r="D62" s="171"/>
      <c r="E62" s="107"/>
    </row>
    <row r="63" spans="1:5" s="180" customFormat="1" ht="12" customHeight="1" thickBot="1">
      <c r="A63" s="18" t="s">
        <v>13</v>
      </c>
      <c r="B63" s="111" t="s">
        <v>208</v>
      </c>
      <c r="C63" s="168">
        <f>SUM(C64:C66)</f>
        <v>0</v>
      </c>
      <c r="D63" s="168">
        <f>SUM(D64:D66)</f>
        <v>0</v>
      </c>
      <c r="E63" s="104">
        <f>SUM(E64:E66)</f>
        <v>0</v>
      </c>
    </row>
    <row r="64" spans="1:5" s="180" customFormat="1" ht="12" customHeight="1">
      <c r="A64" s="13" t="s">
        <v>120</v>
      </c>
      <c r="B64" s="181" t="s">
        <v>210</v>
      </c>
      <c r="C64" s="172"/>
      <c r="D64" s="172"/>
      <c r="E64" s="108"/>
    </row>
    <row r="65" spans="1:5" s="180" customFormat="1" ht="12" customHeight="1">
      <c r="A65" s="12" t="s">
        <v>121</v>
      </c>
      <c r="B65" s="182" t="s">
        <v>330</v>
      </c>
      <c r="C65" s="172"/>
      <c r="D65" s="172"/>
      <c r="E65" s="108"/>
    </row>
    <row r="66" spans="1:5" s="180" customFormat="1" ht="12" customHeight="1">
      <c r="A66" s="12" t="s">
        <v>144</v>
      </c>
      <c r="B66" s="182" t="s">
        <v>211</v>
      </c>
      <c r="C66" s="172"/>
      <c r="D66" s="172"/>
      <c r="E66" s="108"/>
    </row>
    <row r="67" spans="1:5" s="180" customFormat="1" ht="12" customHeight="1" thickBot="1">
      <c r="A67" s="14" t="s">
        <v>209</v>
      </c>
      <c r="B67" s="113" t="s">
        <v>212</v>
      </c>
      <c r="C67" s="172"/>
      <c r="D67" s="172"/>
      <c r="E67" s="108"/>
    </row>
    <row r="68" spans="1:5" s="180" customFormat="1" ht="12" customHeight="1" thickBot="1">
      <c r="A68" s="234" t="s">
        <v>377</v>
      </c>
      <c r="B68" s="19" t="s">
        <v>213</v>
      </c>
      <c r="C68" s="174">
        <f>+C11+C18+C25+C32+C40+C52+C58+C63</f>
        <v>0</v>
      </c>
      <c r="D68" s="174">
        <f>+D11+D18+D25+D32+D40+D52+D58+D63</f>
        <v>0</v>
      </c>
      <c r="E68" s="210">
        <f>+E11+E18+E25+E32+E40+E52+E58+E63</f>
        <v>0</v>
      </c>
    </row>
    <row r="69" spans="1:5" s="180" customFormat="1" ht="12" customHeight="1" thickBot="1">
      <c r="A69" s="222" t="s">
        <v>214</v>
      </c>
      <c r="B69" s="111" t="s">
        <v>215</v>
      </c>
      <c r="C69" s="168">
        <f>SUM(C70:C72)</f>
        <v>0</v>
      </c>
      <c r="D69" s="168">
        <f>SUM(D70:D72)</f>
        <v>0</v>
      </c>
      <c r="E69" s="104">
        <f>SUM(E70:E72)</f>
        <v>0</v>
      </c>
    </row>
    <row r="70" spans="1:5" s="180" customFormat="1" ht="12" customHeight="1">
      <c r="A70" s="13" t="s">
        <v>243</v>
      </c>
      <c r="B70" s="181" t="s">
        <v>216</v>
      </c>
      <c r="C70" s="172"/>
      <c r="D70" s="172"/>
      <c r="E70" s="108"/>
    </row>
    <row r="71" spans="1:5" s="180" customFormat="1" ht="12" customHeight="1">
      <c r="A71" s="12" t="s">
        <v>252</v>
      </c>
      <c r="B71" s="182" t="s">
        <v>217</v>
      </c>
      <c r="C71" s="172"/>
      <c r="D71" s="172"/>
      <c r="E71" s="108"/>
    </row>
    <row r="72" spans="1:5" s="180" customFormat="1" ht="12" customHeight="1" thickBot="1">
      <c r="A72" s="14" t="s">
        <v>253</v>
      </c>
      <c r="B72" s="230" t="s">
        <v>362</v>
      </c>
      <c r="C72" s="172"/>
      <c r="D72" s="172"/>
      <c r="E72" s="108"/>
    </row>
    <row r="73" spans="1:5" s="180" customFormat="1" ht="12" customHeight="1" thickBot="1">
      <c r="A73" s="222" t="s">
        <v>219</v>
      </c>
      <c r="B73" s="111" t="s">
        <v>220</v>
      </c>
      <c r="C73" s="168">
        <f>SUM(C74:C77)</f>
        <v>0</v>
      </c>
      <c r="D73" s="168">
        <f>SUM(D74:D77)</f>
        <v>0</v>
      </c>
      <c r="E73" s="104">
        <f>SUM(E74:E77)</f>
        <v>0</v>
      </c>
    </row>
    <row r="74" spans="1:5" s="180" customFormat="1" ht="12" customHeight="1">
      <c r="A74" s="13" t="s">
        <v>98</v>
      </c>
      <c r="B74" s="309" t="s">
        <v>221</v>
      </c>
      <c r="C74" s="172"/>
      <c r="D74" s="172"/>
      <c r="E74" s="108"/>
    </row>
    <row r="75" spans="1:5" s="180" customFormat="1" ht="12" customHeight="1">
      <c r="A75" s="12" t="s">
        <v>99</v>
      </c>
      <c r="B75" s="309" t="s">
        <v>490</v>
      </c>
      <c r="C75" s="172"/>
      <c r="D75" s="172"/>
      <c r="E75" s="108"/>
    </row>
    <row r="76" spans="1:5" s="180" customFormat="1" ht="12" customHeight="1">
      <c r="A76" s="12" t="s">
        <v>244</v>
      </c>
      <c r="B76" s="309" t="s">
        <v>222</v>
      </c>
      <c r="C76" s="172"/>
      <c r="D76" s="172"/>
      <c r="E76" s="108"/>
    </row>
    <row r="77" spans="1:5" s="180" customFormat="1" ht="12" customHeight="1" thickBot="1">
      <c r="A77" s="14" t="s">
        <v>245</v>
      </c>
      <c r="B77" s="310" t="s">
        <v>491</v>
      </c>
      <c r="C77" s="172"/>
      <c r="D77" s="172"/>
      <c r="E77" s="108"/>
    </row>
    <row r="78" spans="1:5" s="180" customFormat="1" ht="12" customHeight="1" thickBot="1">
      <c r="A78" s="222" t="s">
        <v>223</v>
      </c>
      <c r="B78" s="111" t="s">
        <v>224</v>
      </c>
      <c r="C78" s="168">
        <f>SUM(C79:C80)</f>
        <v>0</v>
      </c>
      <c r="D78" s="168">
        <f>SUM(D79:D80)</f>
        <v>0</v>
      </c>
      <c r="E78" s="104">
        <f>SUM(E79:E80)</f>
        <v>0</v>
      </c>
    </row>
    <row r="79" spans="1:5" s="180" customFormat="1" ht="12" customHeight="1">
      <c r="A79" s="13" t="s">
        <v>246</v>
      </c>
      <c r="B79" s="181" t="s">
        <v>225</v>
      </c>
      <c r="C79" s="172"/>
      <c r="D79" s="172"/>
      <c r="E79" s="108"/>
    </row>
    <row r="80" spans="1:5" s="180" customFormat="1" ht="12" customHeight="1" thickBot="1">
      <c r="A80" s="14" t="s">
        <v>247</v>
      </c>
      <c r="B80" s="113" t="s">
        <v>226</v>
      </c>
      <c r="C80" s="172"/>
      <c r="D80" s="172"/>
      <c r="E80" s="108"/>
    </row>
    <row r="81" spans="1:5" s="180" customFormat="1" ht="12" customHeight="1" thickBot="1">
      <c r="A81" s="222" t="s">
        <v>227</v>
      </c>
      <c r="B81" s="111" t="s">
        <v>228</v>
      </c>
      <c r="C81" s="168">
        <f>SUM(C82:C84)</f>
        <v>0</v>
      </c>
      <c r="D81" s="168">
        <f>SUM(D82:D84)</f>
        <v>0</v>
      </c>
      <c r="E81" s="104">
        <f>SUM(E82:E84)</f>
        <v>0</v>
      </c>
    </row>
    <row r="82" spans="1:5" s="180" customFormat="1" ht="12" customHeight="1">
      <c r="A82" s="13" t="s">
        <v>248</v>
      </c>
      <c r="B82" s="181" t="s">
        <v>229</v>
      </c>
      <c r="C82" s="172"/>
      <c r="D82" s="172"/>
      <c r="E82" s="108"/>
    </row>
    <row r="83" spans="1:5" s="180" customFormat="1" ht="12" customHeight="1">
      <c r="A83" s="12" t="s">
        <v>249</v>
      </c>
      <c r="B83" s="182" t="s">
        <v>230</v>
      </c>
      <c r="C83" s="172"/>
      <c r="D83" s="172"/>
      <c r="E83" s="108"/>
    </row>
    <row r="84" spans="1:5" s="180" customFormat="1" ht="12" customHeight="1" thickBot="1">
      <c r="A84" s="14" t="s">
        <v>250</v>
      </c>
      <c r="B84" s="113" t="s">
        <v>492</v>
      </c>
      <c r="C84" s="172"/>
      <c r="D84" s="172"/>
      <c r="E84" s="108"/>
    </row>
    <row r="85" spans="1:5" s="180" customFormat="1" ht="12" customHeight="1" thickBot="1">
      <c r="A85" s="222" t="s">
        <v>231</v>
      </c>
      <c r="B85" s="111" t="s">
        <v>251</v>
      </c>
      <c r="C85" s="168">
        <f>SUM(C86:C89)</f>
        <v>0</v>
      </c>
      <c r="D85" s="168">
        <f>SUM(D86:D89)</f>
        <v>0</v>
      </c>
      <c r="E85" s="104">
        <f>SUM(E86:E89)</f>
        <v>0</v>
      </c>
    </row>
    <row r="86" spans="1:5" s="180" customFormat="1" ht="12" customHeight="1">
      <c r="A86" s="185" t="s">
        <v>232</v>
      </c>
      <c r="B86" s="181" t="s">
        <v>233</v>
      </c>
      <c r="C86" s="172"/>
      <c r="D86" s="172"/>
      <c r="E86" s="108"/>
    </row>
    <row r="87" spans="1:5" s="180" customFormat="1" ht="12" customHeight="1">
      <c r="A87" s="186" t="s">
        <v>234</v>
      </c>
      <c r="B87" s="182" t="s">
        <v>235</v>
      </c>
      <c r="C87" s="172"/>
      <c r="D87" s="172"/>
      <c r="E87" s="108"/>
    </row>
    <row r="88" spans="1:5" s="180" customFormat="1" ht="12" customHeight="1">
      <c r="A88" s="186" t="s">
        <v>236</v>
      </c>
      <c r="B88" s="182" t="s">
        <v>237</v>
      </c>
      <c r="C88" s="172"/>
      <c r="D88" s="172"/>
      <c r="E88" s="108"/>
    </row>
    <row r="89" spans="1:5" s="180" customFormat="1" ht="12" customHeight="1" thickBot="1">
      <c r="A89" s="187" t="s">
        <v>238</v>
      </c>
      <c r="B89" s="113" t="s">
        <v>239</v>
      </c>
      <c r="C89" s="172"/>
      <c r="D89" s="172"/>
      <c r="E89" s="108"/>
    </row>
    <row r="90" spans="1:5" s="180" customFormat="1" ht="12" customHeight="1" thickBot="1">
      <c r="A90" s="222" t="s">
        <v>240</v>
      </c>
      <c r="B90" s="111" t="s">
        <v>376</v>
      </c>
      <c r="C90" s="224"/>
      <c r="D90" s="224"/>
      <c r="E90" s="225"/>
    </row>
    <row r="91" spans="1:5" s="180" customFormat="1" ht="13.5" customHeight="1" thickBot="1">
      <c r="A91" s="222" t="s">
        <v>242</v>
      </c>
      <c r="B91" s="111" t="s">
        <v>241</v>
      </c>
      <c r="C91" s="224"/>
      <c r="D91" s="224"/>
      <c r="E91" s="225"/>
    </row>
    <row r="92" spans="1:5" s="180" customFormat="1" ht="15.75" customHeight="1" thickBot="1">
      <c r="A92" s="222" t="s">
        <v>254</v>
      </c>
      <c r="B92" s="188" t="s">
        <v>379</v>
      </c>
      <c r="C92" s="174">
        <f>+C69+C73+C78+C81+C85+C91+C90</f>
        <v>0</v>
      </c>
      <c r="D92" s="174">
        <f>+D69+D73+D78+D81+D85+D91+D90</f>
        <v>0</v>
      </c>
      <c r="E92" s="210">
        <f>+E69+E73+E78+E81+E85+E91+E90</f>
        <v>0</v>
      </c>
    </row>
    <row r="93" spans="1:5" s="180" customFormat="1" ht="25.5" customHeight="1" thickBot="1">
      <c r="A93" s="223" t="s">
        <v>378</v>
      </c>
      <c r="B93" s="189" t="s">
        <v>380</v>
      </c>
      <c r="C93" s="174">
        <f>+C68+C92</f>
        <v>0</v>
      </c>
      <c r="D93" s="174">
        <f>+D68+D92</f>
        <v>0</v>
      </c>
      <c r="E93" s="210">
        <f>+E68+E92</f>
        <v>0</v>
      </c>
    </row>
    <row r="94" spans="1:3" s="180" customFormat="1" ht="15" customHeight="1">
      <c r="A94" s="3"/>
      <c r="B94" s="4"/>
      <c r="C94" s="115"/>
    </row>
    <row r="95" spans="1:5" ht="16.5" customHeight="1">
      <c r="A95" s="794" t="s">
        <v>34</v>
      </c>
      <c r="B95" s="794"/>
      <c r="C95" s="794"/>
      <c r="D95" s="794"/>
      <c r="E95" s="794"/>
    </row>
    <row r="96" spans="1:5" s="190" customFormat="1" ht="16.5" customHeight="1" thickBot="1">
      <c r="A96" s="796" t="s">
        <v>101</v>
      </c>
      <c r="B96" s="796"/>
      <c r="C96" s="62"/>
      <c r="E96" s="62" t="str">
        <f>E7</f>
        <v> Forintban!</v>
      </c>
    </row>
    <row r="97" spans="1:5" ht="15.75">
      <c r="A97" s="803" t="s">
        <v>51</v>
      </c>
      <c r="B97" s="805" t="s">
        <v>420</v>
      </c>
      <c r="C97" s="789" t="str">
        <f>+CONCATENATE(LEFT(Z_ÖSSZEFÜGGÉSEK!A6,4),". évi")</f>
        <v>2019. évi</v>
      </c>
      <c r="D97" s="790"/>
      <c r="E97" s="791"/>
    </row>
    <row r="98" spans="1:5" ht="24.75" thickBot="1">
      <c r="A98" s="804"/>
      <c r="B98" s="806"/>
      <c r="C98" s="251" t="s">
        <v>418</v>
      </c>
      <c r="D98" s="250" t="s">
        <v>419</v>
      </c>
      <c r="E98" s="311" t="str">
        <f>CONCATENATE(E9)</f>
        <v>2019. XII. 31.
teljesítés</v>
      </c>
    </row>
    <row r="99" spans="1:5" s="179" customFormat="1" ht="12" customHeight="1" thickBot="1">
      <c r="A99" s="25" t="s">
        <v>385</v>
      </c>
      <c r="B99" s="26" t="s">
        <v>386</v>
      </c>
      <c r="C99" s="26" t="s">
        <v>387</v>
      </c>
      <c r="D99" s="26" t="s">
        <v>389</v>
      </c>
      <c r="E99" s="262" t="s">
        <v>388</v>
      </c>
    </row>
    <row r="100" spans="1:5" ht="12" customHeight="1" thickBot="1">
      <c r="A100" s="20" t="s">
        <v>6</v>
      </c>
      <c r="B100" s="24" t="s">
        <v>338</v>
      </c>
      <c r="C100" s="167">
        <f>C101+C102+C103+C104+C105+C118</f>
        <v>0</v>
      </c>
      <c r="D100" s="167">
        <f>D101+D102+D103+D104+D105+D118</f>
        <v>0</v>
      </c>
      <c r="E100" s="237">
        <f>E101+E102+E103+E104+E105+E118</f>
        <v>0</v>
      </c>
    </row>
    <row r="101" spans="1:5" ht="12" customHeight="1">
      <c r="A101" s="15" t="s">
        <v>63</v>
      </c>
      <c r="B101" s="8" t="s">
        <v>35</v>
      </c>
      <c r="C101" s="244"/>
      <c r="D101" s="244"/>
      <c r="E101" s="238"/>
    </row>
    <row r="102" spans="1:5" ht="12" customHeight="1">
      <c r="A102" s="12" t="s">
        <v>64</v>
      </c>
      <c r="B102" s="6" t="s">
        <v>122</v>
      </c>
      <c r="C102" s="169"/>
      <c r="D102" s="169"/>
      <c r="E102" s="105"/>
    </row>
    <row r="103" spans="1:5" ht="12" customHeight="1">
      <c r="A103" s="12" t="s">
        <v>65</v>
      </c>
      <c r="B103" s="6" t="s">
        <v>90</v>
      </c>
      <c r="C103" s="171"/>
      <c r="D103" s="171"/>
      <c r="E103" s="107"/>
    </row>
    <row r="104" spans="1:5" ht="12" customHeight="1">
      <c r="A104" s="12" t="s">
        <v>66</v>
      </c>
      <c r="B104" s="9" t="s">
        <v>123</v>
      </c>
      <c r="C104" s="171"/>
      <c r="D104" s="171"/>
      <c r="E104" s="107"/>
    </row>
    <row r="105" spans="1:5" ht="12" customHeight="1">
      <c r="A105" s="12" t="s">
        <v>75</v>
      </c>
      <c r="B105" s="17" t="s">
        <v>124</v>
      </c>
      <c r="C105" s="171"/>
      <c r="D105" s="171"/>
      <c r="E105" s="107"/>
    </row>
    <row r="106" spans="1:5" ht="12" customHeight="1">
      <c r="A106" s="12" t="s">
        <v>67</v>
      </c>
      <c r="B106" s="6" t="s">
        <v>343</v>
      </c>
      <c r="C106" s="171"/>
      <c r="D106" s="171"/>
      <c r="E106" s="107"/>
    </row>
    <row r="107" spans="1:5" ht="12" customHeight="1">
      <c r="A107" s="12" t="s">
        <v>68</v>
      </c>
      <c r="B107" s="66" t="s">
        <v>342</v>
      </c>
      <c r="C107" s="171"/>
      <c r="D107" s="171"/>
      <c r="E107" s="107"/>
    </row>
    <row r="108" spans="1:5" ht="12" customHeight="1">
      <c r="A108" s="12" t="s">
        <v>76</v>
      </c>
      <c r="B108" s="66" t="s">
        <v>341</v>
      </c>
      <c r="C108" s="171"/>
      <c r="D108" s="171"/>
      <c r="E108" s="107"/>
    </row>
    <row r="109" spans="1:5" ht="12" customHeight="1">
      <c r="A109" s="12" t="s">
        <v>77</v>
      </c>
      <c r="B109" s="64" t="s">
        <v>257</v>
      </c>
      <c r="C109" s="171"/>
      <c r="D109" s="171"/>
      <c r="E109" s="107"/>
    </row>
    <row r="110" spans="1:5" ht="12" customHeight="1">
      <c r="A110" s="12" t="s">
        <v>78</v>
      </c>
      <c r="B110" s="65" t="s">
        <v>258</v>
      </c>
      <c r="C110" s="171"/>
      <c r="D110" s="171"/>
      <c r="E110" s="107"/>
    </row>
    <row r="111" spans="1:5" ht="12" customHeight="1">
      <c r="A111" s="12" t="s">
        <v>79</v>
      </c>
      <c r="B111" s="65" t="s">
        <v>259</v>
      </c>
      <c r="C111" s="171"/>
      <c r="D111" s="171"/>
      <c r="E111" s="107"/>
    </row>
    <row r="112" spans="1:5" ht="12" customHeight="1">
      <c r="A112" s="12" t="s">
        <v>81</v>
      </c>
      <c r="B112" s="64" t="s">
        <v>260</v>
      </c>
      <c r="C112" s="171"/>
      <c r="D112" s="171"/>
      <c r="E112" s="107"/>
    </row>
    <row r="113" spans="1:5" ht="12" customHeight="1">
      <c r="A113" s="12" t="s">
        <v>125</v>
      </c>
      <c r="B113" s="64" t="s">
        <v>261</v>
      </c>
      <c r="C113" s="171"/>
      <c r="D113" s="171"/>
      <c r="E113" s="107"/>
    </row>
    <row r="114" spans="1:5" ht="12" customHeight="1">
      <c r="A114" s="12" t="s">
        <v>255</v>
      </c>
      <c r="B114" s="65" t="s">
        <v>262</v>
      </c>
      <c r="C114" s="171"/>
      <c r="D114" s="171"/>
      <c r="E114" s="107"/>
    </row>
    <row r="115" spans="1:5" ht="12" customHeight="1">
      <c r="A115" s="11" t="s">
        <v>256</v>
      </c>
      <c r="B115" s="66" t="s">
        <v>263</v>
      </c>
      <c r="C115" s="171"/>
      <c r="D115" s="171"/>
      <c r="E115" s="107"/>
    </row>
    <row r="116" spans="1:5" ht="12" customHeight="1">
      <c r="A116" s="12" t="s">
        <v>339</v>
      </c>
      <c r="B116" s="66" t="s">
        <v>264</v>
      </c>
      <c r="C116" s="171"/>
      <c r="D116" s="171"/>
      <c r="E116" s="107"/>
    </row>
    <row r="117" spans="1:5" ht="12" customHeight="1">
      <c r="A117" s="14" t="s">
        <v>340</v>
      </c>
      <c r="B117" s="66" t="s">
        <v>265</v>
      </c>
      <c r="C117" s="171"/>
      <c r="D117" s="171"/>
      <c r="E117" s="107"/>
    </row>
    <row r="118" spans="1:5" ht="12" customHeight="1">
      <c r="A118" s="12" t="s">
        <v>344</v>
      </c>
      <c r="B118" s="9" t="s">
        <v>36</v>
      </c>
      <c r="C118" s="169"/>
      <c r="D118" s="169"/>
      <c r="E118" s="105"/>
    </row>
    <row r="119" spans="1:5" ht="12" customHeight="1">
      <c r="A119" s="12" t="s">
        <v>345</v>
      </c>
      <c r="B119" s="6" t="s">
        <v>347</v>
      </c>
      <c r="C119" s="169"/>
      <c r="D119" s="169"/>
      <c r="E119" s="105"/>
    </row>
    <row r="120" spans="1:5" ht="12" customHeight="1" thickBot="1">
      <c r="A120" s="16" t="s">
        <v>346</v>
      </c>
      <c r="B120" s="233" t="s">
        <v>348</v>
      </c>
      <c r="C120" s="245"/>
      <c r="D120" s="245"/>
      <c r="E120" s="239"/>
    </row>
    <row r="121" spans="1:5" ht="12" customHeight="1" thickBot="1">
      <c r="A121" s="231" t="s">
        <v>7</v>
      </c>
      <c r="B121" s="232" t="s">
        <v>266</v>
      </c>
      <c r="C121" s="246">
        <f>+C122+C124+C126</f>
        <v>0</v>
      </c>
      <c r="D121" s="168">
        <f>+D122+D124+D126</f>
        <v>0</v>
      </c>
      <c r="E121" s="240">
        <f>+E122+E124+E126</f>
        <v>0</v>
      </c>
    </row>
    <row r="122" spans="1:5" ht="12" customHeight="1">
      <c r="A122" s="13" t="s">
        <v>69</v>
      </c>
      <c r="B122" s="6" t="s">
        <v>143</v>
      </c>
      <c r="C122" s="170"/>
      <c r="D122" s="255"/>
      <c r="E122" s="106"/>
    </row>
    <row r="123" spans="1:5" ht="12" customHeight="1">
      <c r="A123" s="13" t="s">
        <v>70</v>
      </c>
      <c r="B123" s="10" t="s">
        <v>270</v>
      </c>
      <c r="C123" s="170"/>
      <c r="D123" s="255"/>
      <c r="E123" s="106"/>
    </row>
    <row r="124" spans="1:5" ht="12" customHeight="1">
      <c r="A124" s="13" t="s">
        <v>71</v>
      </c>
      <c r="B124" s="10" t="s">
        <v>126</v>
      </c>
      <c r="C124" s="169"/>
      <c r="D124" s="256"/>
      <c r="E124" s="105"/>
    </row>
    <row r="125" spans="1:5" ht="12" customHeight="1">
      <c r="A125" s="13" t="s">
        <v>72</v>
      </c>
      <c r="B125" s="10" t="s">
        <v>271</v>
      </c>
      <c r="C125" s="169"/>
      <c r="D125" s="256"/>
      <c r="E125" s="105"/>
    </row>
    <row r="126" spans="1:5" ht="12" customHeight="1">
      <c r="A126" s="13" t="s">
        <v>73</v>
      </c>
      <c r="B126" s="113" t="s">
        <v>145</v>
      </c>
      <c r="C126" s="169"/>
      <c r="D126" s="256"/>
      <c r="E126" s="105"/>
    </row>
    <row r="127" spans="1:5" ht="12" customHeight="1">
      <c r="A127" s="13" t="s">
        <v>80</v>
      </c>
      <c r="B127" s="112" t="s">
        <v>331</v>
      </c>
      <c r="C127" s="169"/>
      <c r="D127" s="256"/>
      <c r="E127" s="105"/>
    </row>
    <row r="128" spans="1:5" ht="12" customHeight="1">
      <c r="A128" s="13" t="s">
        <v>82</v>
      </c>
      <c r="B128" s="177" t="s">
        <v>276</v>
      </c>
      <c r="C128" s="169"/>
      <c r="D128" s="256"/>
      <c r="E128" s="105"/>
    </row>
    <row r="129" spans="1:5" ht="15.75">
      <c r="A129" s="13" t="s">
        <v>127</v>
      </c>
      <c r="B129" s="65" t="s">
        <v>259</v>
      </c>
      <c r="C129" s="169"/>
      <c r="D129" s="256"/>
      <c r="E129" s="105"/>
    </row>
    <row r="130" spans="1:5" ht="12" customHeight="1">
      <c r="A130" s="13" t="s">
        <v>128</v>
      </c>
      <c r="B130" s="65" t="s">
        <v>275</v>
      </c>
      <c r="C130" s="169"/>
      <c r="D130" s="256"/>
      <c r="E130" s="105"/>
    </row>
    <row r="131" spans="1:5" ht="12" customHeight="1">
      <c r="A131" s="13" t="s">
        <v>129</v>
      </c>
      <c r="B131" s="65" t="s">
        <v>274</v>
      </c>
      <c r="C131" s="169"/>
      <c r="D131" s="256"/>
      <c r="E131" s="105"/>
    </row>
    <row r="132" spans="1:5" ht="12" customHeight="1">
      <c r="A132" s="13" t="s">
        <v>267</v>
      </c>
      <c r="B132" s="65" t="s">
        <v>262</v>
      </c>
      <c r="C132" s="169"/>
      <c r="D132" s="256"/>
      <c r="E132" s="105"/>
    </row>
    <row r="133" spans="1:5" ht="12" customHeight="1">
      <c r="A133" s="13" t="s">
        <v>268</v>
      </c>
      <c r="B133" s="65" t="s">
        <v>273</v>
      </c>
      <c r="C133" s="169"/>
      <c r="D133" s="256"/>
      <c r="E133" s="105"/>
    </row>
    <row r="134" spans="1:5" ht="16.5" thickBot="1">
      <c r="A134" s="11" t="s">
        <v>269</v>
      </c>
      <c r="B134" s="65" t="s">
        <v>272</v>
      </c>
      <c r="C134" s="171"/>
      <c r="D134" s="257"/>
      <c r="E134" s="107"/>
    </row>
    <row r="135" spans="1:5" ht="12" customHeight="1" thickBot="1">
      <c r="A135" s="18" t="s">
        <v>8</v>
      </c>
      <c r="B135" s="58" t="s">
        <v>349</v>
      </c>
      <c r="C135" s="168">
        <f>+C100+C121</f>
        <v>0</v>
      </c>
      <c r="D135" s="254">
        <f>+D100+D121</f>
        <v>0</v>
      </c>
      <c r="E135" s="104">
        <f>+E100+E121</f>
        <v>0</v>
      </c>
    </row>
    <row r="136" spans="1:5" ht="12" customHeight="1" thickBot="1">
      <c r="A136" s="18" t="s">
        <v>9</v>
      </c>
      <c r="B136" s="58" t="s">
        <v>421</v>
      </c>
      <c r="C136" s="168">
        <f>+C137+C138+C139</f>
        <v>0</v>
      </c>
      <c r="D136" s="254">
        <f>+D137+D138+D139</f>
        <v>0</v>
      </c>
      <c r="E136" s="104">
        <f>+E137+E138+E139</f>
        <v>0</v>
      </c>
    </row>
    <row r="137" spans="1:5" ht="12" customHeight="1">
      <c r="A137" s="13" t="s">
        <v>176</v>
      </c>
      <c r="B137" s="10" t="s">
        <v>357</v>
      </c>
      <c r="C137" s="169"/>
      <c r="D137" s="256"/>
      <c r="E137" s="105"/>
    </row>
    <row r="138" spans="1:5" ht="12" customHeight="1">
      <c r="A138" s="13" t="s">
        <v>177</v>
      </c>
      <c r="B138" s="10" t="s">
        <v>358</v>
      </c>
      <c r="C138" s="169"/>
      <c r="D138" s="256"/>
      <c r="E138" s="105"/>
    </row>
    <row r="139" spans="1:5" ht="12" customHeight="1" thickBot="1">
      <c r="A139" s="11" t="s">
        <v>178</v>
      </c>
      <c r="B139" s="10" t="s">
        <v>359</v>
      </c>
      <c r="C139" s="169"/>
      <c r="D139" s="256"/>
      <c r="E139" s="105"/>
    </row>
    <row r="140" spans="1:5" ht="12" customHeight="1" thickBot="1">
      <c r="A140" s="18" t="s">
        <v>10</v>
      </c>
      <c r="B140" s="58" t="s">
        <v>351</v>
      </c>
      <c r="C140" s="168">
        <f>SUM(C141:C146)</f>
        <v>0</v>
      </c>
      <c r="D140" s="254">
        <f>SUM(D141:D146)</f>
        <v>0</v>
      </c>
      <c r="E140" s="104">
        <f>SUM(E141:E146)</f>
        <v>0</v>
      </c>
    </row>
    <row r="141" spans="1:5" ht="12" customHeight="1">
      <c r="A141" s="13" t="s">
        <v>56</v>
      </c>
      <c r="B141" s="7" t="s">
        <v>360</v>
      </c>
      <c r="C141" s="169"/>
      <c r="D141" s="256"/>
      <c r="E141" s="105"/>
    </row>
    <row r="142" spans="1:5" ht="12" customHeight="1">
      <c r="A142" s="13" t="s">
        <v>57</v>
      </c>
      <c r="B142" s="7" t="s">
        <v>352</v>
      </c>
      <c r="C142" s="169"/>
      <c r="D142" s="256"/>
      <c r="E142" s="105"/>
    </row>
    <row r="143" spans="1:5" ht="12" customHeight="1">
      <c r="A143" s="13" t="s">
        <v>58</v>
      </c>
      <c r="B143" s="7" t="s">
        <v>353</v>
      </c>
      <c r="C143" s="169"/>
      <c r="D143" s="256"/>
      <c r="E143" s="105"/>
    </row>
    <row r="144" spans="1:5" ht="12" customHeight="1">
      <c r="A144" s="13" t="s">
        <v>114</v>
      </c>
      <c r="B144" s="7" t="s">
        <v>354</v>
      </c>
      <c r="C144" s="169"/>
      <c r="D144" s="256"/>
      <c r="E144" s="105"/>
    </row>
    <row r="145" spans="1:5" ht="12" customHeight="1">
      <c r="A145" s="13" t="s">
        <v>115</v>
      </c>
      <c r="B145" s="7" t="s">
        <v>355</v>
      </c>
      <c r="C145" s="169"/>
      <c r="D145" s="256"/>
      <c r="E145" s="105"/>
    </row>
    <row r="146" spans="1:5" ht="12" customHeight="1" thickBot="1">
      <c r="A146" s="16" t="s">
        <v>116</v>
      </c>
      <c r="B146" s="317" t="s">
        <v>356</v>
      </c>
      <c r="C146" s="245"/>
      <c r="D146" s="294"/>
      <c r="E146" s="239"/>
    </row>
    <row r="147" spans="1:5" ht="12" customHeight="1" thickBot="1">
      <c r="A147" s="18" t="s">
        <v>11</v>
      </c>
      <c r="B147" s="58" t="s">
        <v>364</v>
      </c>
      <c r="C147" s="174">
        <f>+C148+C149+C150+C151</f>
        <v>0</v>
      </c>
      <c r="D147" s="258">
        <f>+D148+D149+D150+D151</f>
        <v>0</v>
      </c>
      <c r="E147" s="210">
        <f>+E148+E149+E150+E151</f>
        <v>0</v>
      </c>
    </row>
    <row r="148" spans="1:5" ht="12" customHeight="1">
      <c r="A148" s="13" t="s">
        <v>59</v>
      </c>
      <c r="B148" s="7" t="s">
        <v>277</v>
      </c>
      <c r="C148" s="169"/>
      <c r="D148" s="256"/>
      <c r="E148" s="105"/>
    </row>
    <row r="149" spans="1:5" ht="12" customHeight="1">
      <c r="A149" s="13" t="s">
        <v>60</v>
      </c>
      <c r="B149" s="7" t="s">
        <v>278</v>
      </c>
      <c r="C149" s="169"/>
      <c r="D149" s="256"/>
      <c r="E149" s="105"/>
    </row>
    <row r="150" spans="1:5" ht="12" customHeight="1">
      <c r="A150" s="13" t="s">
        <v>194</v>
      </c>
      <c r="B150" s="7" t="s">
        <v>365</v>
      </c>
      <c r="C150" s="169"/>
      <c r="D150" s="256"/>
      <c r="E150" s="105"/>
    </row>
    <row r="151" spans="1:5" ht="12" customHeight="1" thickBot="1">
      <c r="A151" s="11" t="s">
        <v>195</v>
      </c>
      <c r="B151" s="5" t="s">
        <v>294</v>
      </c>
      <c r="C151" s="169"/>
      <c r="D151" s="256"/>
      <c r="E151" s="105"/>
    </row>
    <row r="152" spans="1:5" ht="12" customHeight="1" thickBot="1">
      <c r="A152" s="18" t="s">
        <v>12</v>
      </c>
      <c r="B152" s="58" t="s">
        <v>366</v>
      </c>
      <c r="C152" s="247">
        <f>SUM(C153:C157)</f>
        <v>0</v>
      </c>
      <c r="D152" s="259">
        <f>SUM(D153:D157)</f>
        <v>0</v>
      </c>
      <c r="E152" s="241">
        <f>SUM(E153:E157)</f>
        <v>0</v>
      </c>
    </row>
    <row r="153" spans="1:5" ht="12" customHeight="1">
      <c r="A153" s="13" t="s">
        <v>61</v>
      </c>
      <c r="B153" s="7" t="s">
        <v>361</v>
      </c>
      <c r="C153" s="169"/>
      <c r="D153" s="256"/>
      <c r="E153" s="105"/>
    </row>
    <row r="154" spans="1:5" ht="12" customHeight="1">
      <c r="A154" s="13" t="s">
        <v>62</v>
      </c>
      <c r="B154" s="7" t="s">
        <v>368</v>
      </c>
      <c r="C154" s="169"/>
      <c r="D154" s="256"/>
      <c r="E154" s="105"/>
    </row>
    <row r="155" spans="1:5" ht="12" customHeight="1">
      <c r="A155" s="13" t="s">
        <v>206</v>
      </c>
      <c r="B155" s="7" t="s">
        <v>363</v>
      </c>
      <c r="C155" s="169"/>
      <c r="D155" s="256"/>
      <c r="E155" s="105"/>
    </row>
    <row r="156" spans="1:5" ht="12" customHeight="1">
      <c r="A156" s="13" t="s">
        <v>207</v>
      </c>
      <c r="B156" s="7" t="s">
        <v>369</v>
      </c>
      <c r="C156" s="169"/>
      <c r="D156" s="256"/>
      <c r="E156" s="105"/>
    </row>
    <row r="157" spans="1:5" ht="12" customHeight="1" thickBot="1">
      <c r="A157" s="13" t="s">
        <v>367</v>
      </c>
      <c r="B157" s="7" t="s">
        <v>370</v>
      </c>
      <c r="C157" s="169"/>
      <c r="D157" s="256"/>
      <c r="E157" s="105"/>
    </row>
    <row r="158" spans="1:5" ht="12" customHeight="1" thickBot="1">
      <c r="A158" s="18" t="s">
        <v>13</v>
      </c>
      <c r="B158" s="58" t="s">
        <v>371</v>
      </c>
      <c r="C158" s="248"/>
      <c r="D158" s="260"/>
      <c r="E158" s="242"/>
    </row>
    <row r="159" spans="1:5" ht="12" customHeight="1" thickBot="1">
      <c r="A159" s="18" t="s">
        <v>14</v>
      </c>
      <c r="B159" s="58" t="s">
        <v>372</v>
      </c>
      <c r="C159" s="248"/>
      <c r="D159" s="260"/>
      <c r="E159" s="242"/>
    </row>
    <row r="160" spans="1:9" ht="15" customHeight="1" thickBot="1">
      <c r="A160" s="18" t="s">
        <v>15</v>
      </c>
      <c r="B160" s="58" t="s">
        <v>374</v>
      </c>
      <c r="C160" s="249">
        <f>+C136+C140+C147+C152+C158+C159</f>
        <v>0</v>
      </c>
      <c r="D160" s="261">
        <f>+D136+D140+D147+D152+D158+D159</f>
        <v>0</v>
      </c>
      <c r="E160" s="243">
        <f>+E136+E140+E147+E152+E158+E159</f>
        <v>0</v>
      </c>
      <c r="F160" s="191"/>
      <c r="G160" s="192"/>
      <c r="H160" s="192"/>
      <c r="I160" s="192"/>
    </row>
    <row r="161" spans="1:5" s="180" customFormat="1" ht="12.75" customHeight="1" thickBot="1">
      <c r="A161" s="114" t="s">
        <v>16</v>
      </c>
      <c r="B161" s="155" t="s">
        <v>373</v>
      </c>
      <c r="C161" s="249">
        <f>+C135+C160</f>
        <v>0</v>
      </c>
      <c r="D161" s="261">
        <f>+D135+D160</f>
        <v>0</v>
      </c>
      <c r="E161" s="243">
        <f>+E135+E160</f>
        <v>0</v>
      </c>
    </row>
    <row r="162" spans="3:4" ht="15.75">
      <c r="C162" s="664">
        <f>C93-C161</f>
        <v>0</v>
      </c>
      <c r="D162" s="664">
        <f>D93-D161</f>
        <v>0</v>
      </c>
    </row>
    <row r="163" spans="1:5" ht="15.75">
      <c r="A163" s="792" t="s">
        <v>279</v>
      </c>
      <c r="B163" s="792"/>
      <c r="C163" s="792"/>
      <c r="D163" s="792"/>
      <c r="E163" s="792"/>
    </row>
    <row r="164" spans="1:5" ht="15" customHeight="1" thickBot="1">
      <c r="A164" s="802" t="s">
        <v>102</v>
      </c>
      <c r="B164" s="802"/>
      <c r="C164" s="116"/>
      <c r="E164" s="116" t="str">
        <f>E96</f>
        <v> Forintban!</v>
      </c>
    </row>
    <row r="165" spans="1:5" ht="25.5" customHeight="1" thickBot="1">
      <c r="A165" s="18">
        <v>1</v>
      </c>
      <c r="B165" s="23" t="s">
        <v>375</v>
      </c>
      <c r="C165" s="253">
        <f>+C68-C135</f>
        <v>0</v>
      </c>
      <c r="D165" s="168">
        <f>+D68-D135</f>
        <v>0</v>
      </c>
      <c r="E165" s="104">
        <f>+E68-E135</f>
        <v>0</v>
      </c>
    </row>
    <row r="166" spans="1:5" ht="32.25" customHeight="1" thickBot="1">
      <c r="A166" s="18" t="s">
        <v>7</v>
      </c>
      <c r="B166" s="23" t="s">
        <v>381</v>
      </c>
      <c r="C166" s="168">
        <f>+C92-C160</f>
        <v>0</v>
      </c>
      <c r="D166" s="168">
        <f>+D92-D160</f>
        <v>0</v>
      </c>
      <c r="E166" s="104">
        <f>+E92-E160</f>
        <v>0</v>
      </c>
    </row>
  </sheetData>
  <sheetProtection sheet="1"/>
  <mergeCells count="16">
    <mergeCell ref="A163:E163"/>
    <mergeCell ref="A164:B164"/>
    <mergeCell ref="A8:A9"/>
    <mergeCell ref="B8:B9"/>
    <mergeCell ref="C8:E8"/>
    <mergeCell ref="A95:E95"/>
    <mergeCell ref="A96:B96"/>
    <mergeCell ref="A97:A98"/>
    <mergeCell ref="B97:B98"/>
    <mergeCell ref="C97:E97"/>
    <mergeCell ref="B1:E1"/>
    <mergeCell ref="A2:E2"/>
    <mergeCell ref="A3:E3"/>
    <mergeCell ref="A4:E4"/>
    <mergeCell ref="A6:E6"/>
    <mergeCell ref="A7:B7"/>
  </mergeCells>
  <printOptions horizontalCentered="1"/>
  <pageMargins left="0.6692913385826772" right="0.6692913385826772" top="0.8661417322834646" bottom="0.8661417322834646" header="0" footer="0"/>
  <pageSetup fitToHeight="2" orientation="portrait" paperSize="9" scale="72" r:id="rId1"/>
  <rowBreaks count="2" manualBreakCount="2">
    <brk id="68" max="4" man="1"/>
    <brk id="146" max="4" man="1"/>
  </rowBreaks>
</worksheet>
</file>

<file path=xl/worksheets/sheet7.xml><?xml version="1.0" encoding="utf-8"?>
<worksheet xmlns="http://schemas.openxmlformats.org/spreadsheetml/2006/main" xmlns:r="http://schemas.openxmlformats.org/officeDocument/2006/relationships">
  <sheetPr>
    <tabColor rgb="FF92D050"/>
  </sheetPr>
  <dimension ref="A1:I166"/>
  <sheetViews>
    <sheetView zoomScale="120" zoomScaleNormal="120" zoomScaleSheetLayoutView="100" workbookViewId="0" topLeftCell="A1">
      <selection activeCell="K115" sqref="K115"/>
    </sheetView>
  </sheetViews>
  <sheetFormatPr defaultColWidth="9.00390625" defaultRowHeight="12.75"/>
  <cols>
    <col min="1" max="1" width="9.50390625" style="156" customWidth="1"/>
    <col min="2" max="2" width="65.875" style="156" customWidth="1"/>
    <col min="3" max="3" width="17.875" style="157" customWidth="1"/>
    <col min="4" max="5" width="17.875" style="178" customWidth="1"/>
    <col min="6" max="16384" width="9.375" style="178" customWidth="1"/>
  </cols>
  <sheetData>
    <row r="1" spans="1:5" ht="15.75">
      <c r="A1" s="318"/>
      <c r="B1" s="797" t="str">
        <f>CONCATENATE("1.4. melléklet ",Z_ALAPADATOK!A7," ",Z_ALAPADATOK!B7," ",Z_ALAPADATOK!C7," ",Z_ALAPADATOK!D7," ",Z_ALAPADATOK!E7," ",Z_ALAPADATOK!F7," ",Z_ALAPADATOK!G7," ",Z_ALAPADATOK!H7)</f>
        <v>1.4. melléklet a 4 / 2020. ( VII.17. ) önkormányzati rendelethez</v>
      </c>
      <c r="C1" s="798"/>
      <c r="D1" s="798"/>
      <c r="E1" s="798"/>
    </row>
    <row r="2" spans="1:5" ht="15.75">
      <c r="A2" s="799" t="str">
        <f>CONCATENATE(Z_ALAPADATOK!A3)</f>
        <v>Kállósemjén Nagyközség Önkormányzata</v>
      </c>
      <c r="B2" s="800"/>
      <c r="C2" s="800"/>
      <c r="D2" s="800"/>
      <c r="E2" s="800"/>
    </row>
    <row r="3" spans="1:5" ht="15.75">
      <c r="A3" s="785" t="str">
        <f>CONCATENATE(Z_ALAPADATOK!B1,". ÉVI ZÁRSZÁMADÁS")</f>
        <v>2019. ÉVI ZÁRSZÁMADÁS</v>
      </c>
      <c r="B3" s="785"/>
      <c r="C3" s="785"/>
      <c r="D3" s="785"/>
      <c r="E3" s="785"/>
    </row>
    <row r="4" spans="1:5" ht="17.25" customHeight="1">
      <c r="A4" s="785" t="s">
        <v>841</v>
      </c>
      <c r="B4" s="785"/>
      <c r="C4" s="785"/>
      <c r="D4" s="785"/>
      <c r="E4" s="785"/>
    </row>
    <row r="5" spans="1:5" ht="15.75">
      <c r="A5" s="318"/>
      <c r="B5" s="318"/>
      <c r="C5" s="319"/>
      <c r="D5" s="320"/>
      <c r="E5" s="320"/>
    </row>
    <row r="6" spans="1:5" ht="15.75" customHeight="1">
      <c r="A6" s="793" t="s">
        <v>3</v>
      </c>
      <c r="B6" s="793"/>
      <c r="C6" s="793"/>
      <c r="D6" s="793"/>
      <c r="E6" s="793"/>
    </row>
    <row r="7" spans="1:5" ht="15.75" customHeight="1" thickBot="1">
      <c r="A7" s="795" t="s">
        <v>100</v>
      </c>
      <c r="B7" s="795"/>
      <c r="C7" s="321"/>
      <c r="D7" s="320"/>
      <c r="E7" s="321" t="str">
        <f>CONCATENATE('Z_1.3.sz.mell.'!E7)</f>
        <v> Forintban!</v>
      </c>
    </row>
    <row r="8" spans="1:5" ht="15.75">
      <c r="A8" s="803" t="s">
        <v>51</v>
      </c>
      <c r="B8" s="805" t="s">
        <v>5</v>
      </c>
      <c r="C8" s="789" t="str">
        <f>+CONCATENATE(LEFT(Z_ÖSSZEFÜGGÉSEK!A6,4),". évi")</f>
        <v>2019. évi</v>
      </c>
      <c r="D8" s="790"/>
      <c r="E8" s="791"/>
    </row>
    <row r="9" spans="1:5" ht="24.75" thickBot="1">
      <c r="A9" s="804"/>
      <c r="B9" s="806"/>
      <c r="C9" s="251" t="s">
        <v>418</v>
      </c>
      <c r="D9" s="250" t="s">
        <v>419</v>
      </c>
      <c r="E9" s="311" t="str">
        <f>CONCATENATE('Z_1.3.sz.mell.'!E9)</f>
        <v>2019. XII. 31.
teljesítés</v>
      </c>
    </row>
    <row r="10" spans="1:5" s="179" customFormat="1" ht="12" customHeight="1" thickBot="1">
      <c r="A10" s="175" t="s">
        <v>385</v>
      </c>
      <c r="B10" s="176" t="s">
        <v>386</v>
      </c>
      <c r="C10" s="176" t="s">
        <v>387</v>
      </c>
      <c r="D10" s="176" t="s">
        <v>389</v>
      </c>
      <c r="E10" s="252" t="s">
        <v>388</v>
      </c>
    </row>
    <row r="11" spans="1:5" s="180" customFormat="1" ht="12" customHeight="1" thickBot="1">
      <c r="A11" s="18" t="s">
        <v>6</v>
      </c>
      <c r="B11" s="19" t="s">
        <v>161</v>
      </c>
      <c r="C11" s="168">
        <f>+C12+C13+C14+C15+C16+C17</f>
        <v>0</v>
      </c>
      <c r="D11" s="168">
        <f>+D12+D13+D14+D15+D16+D17</f>
        <v>0</v>
      </c>
      <c r="E11" s="104">
        <f>+E12+E13+E14+E15+E16+E17</f>
        <v>0</v>
      </c>
    </row>
    <row r="12" spans="1:5" s="180" customFormat="1" ht="12" customHeight="1">
      <c r="A12" s="13" t="s">
        <v>63</v>
      </c>
      <c r="B12" s="181" t="s">
        <v>162</v>
      </c>
      <c r="C12" s="170"/>
      <c r="D12" s="170"/>
      <c r="E12" s="106"/>
    </row>
    <row r="13" spans="1:5" s="180" customFormat="1" ht="12" customHeight="1">
      <c r="A13" s="12" t="s">
        <v>64</v>
      </c>
      <c r="B13" s="182" t="s">
        <v>163</v>
      </c>
      <c r="C13" s="169"/>
      <c r="D13" s="169"/>
      <c r="E13" s="105"/>
    </row>
    <row r="14" spans="1:5" s="180" customFormat="1" ht="12" customHeight="1">
      <c r="A14" s="12" t="s">
        <v>65</v>
      </c>
      <c r="B14" s="182" t="s">
        <v>164</v>
      </c>
      <c r="C14" s="169"/>
      <c r="D14" s="169"/>
      <c r="E14" s="105"/>
    </row>
    <row r="15" spans="1:5" s="180" customFormat="1" ht="12" customHeight="1">
      <c r="A15" s="12" t="s">
        <v>66</v>
      </c>
      <c r="B15" s="182" t="s">
        <v>165</v>
      </c>
      <c r="C15" s="169"/>
      <c r="D15" s="169"/>
      <c r="E15" s="105"/>
    </row>
    <row r="16" spans="1:5" s="180" customFormat="1" ht="12" customHeight="1">
      <c r="A16" s="12" t="s">
        <v>97</v>
      </c>
      <c r="B16" s="112" t="s">
        <v>333</v>
      </c>
      <c r="C16" s="169"/>
      <c r="D16" s="169"/>
      <c r="E16" s="105"/>
    </row>
    <row r="17" spans="1:5" s="180" customFormat="1" ht="12" customHeight="1" thickBot="1">
      <c r="A17" s="14" t="s">
        <v>67</v>
      </c>
      <c r="B17" s="113" t="s">
        <v>334</v>
      </c>
      <c r="C17" s="169"/>
      <c r="D17" s="169"/>
      <c r="E17" s="105"/>
    </row>
    <row r="18" spans="1:5" s="180" customFormat="1" ht="12" customHeight="1" thickBot="1">
      <c r="A18" s="18" t="s">
        <v>7</v>
      </c>
      <c r="B18" s="111" t="s">
        <v>166</v>
      </c>
      <c r="C18" s="168">
        <f>+C19+C20+C21+C22+C23</f>
        <v>0</v>
      </c>
      <c r="D18" s="168">
        <f>+D19+D20+D21+D22+D23</f>
        <v>3675652</v>
      </c>
      <c r="E18" s="104">
        <f>+E19+E20+E21+E22+E23</f>
        <v>17373962</v>
      </c>
    </row>
    <row r="19" spans="1:5" s="180" customFormat="1" ht="12" customHeight="1">
      <c r="A19" s="13" t="s">
        <v>69</v>
      </c>
      <c r="B19" s="181" t="s">
        <v>167</v>
      </c>
      <c r="C19" s="170"/>
      <c r="D19" s="170"/>
      <c r="E19" s="106"/>
    </row>
    <row r="20" spans="1:5" s="180" customFormat="1" ht="12" customHeight="1">
      <c r="A20" s="12" t="s">
        <v>70</v>
      </c>
      <c r="B20" s="182" t="s">
        <v>168</v>
      </c>
      <c r="C20" s="169"/>
      <c r="D20" s="169"/>
      <c r="E20" s="105"/>
    </row>
    <row r="21" spans="1:5" s="180" customFormat="1" ht="12" customHeight="1">
      <c r="A21" s="12" t="s">
        <v>71</v>
      </c>
      <c r="B21" s="182" t="s">
        <v>325</v>
      </c>
      <c r="C21" s="169"/>
      <c r="D21" s="169"/>
      <c r="E21" s="105"/>
    </row>
    <row r="22" spans="1:5" s="180" customFormat="1" ht="12" customHeight="1">
      <c r="A22" s="12" t="s">
        <v>72</v>
      </c>
      <c r="B22" s="182" t="s">
        <v>326</v>
      </c>
      <c r="C22" s="169"/>
      <c r="D22" s="169"/>
      <c r="E22" s="105"/>
    </row>
    <row r="23" spans="1:5" s="180" customFormat="1" ht="12" customHeight="1">
      <c r="A23" s="12" t="s">
        <v>73</v>
      </c>
      <c r="B23" s="182" t="s">
        <v>169</v>
      </c>
      <c r="C23" s="169"/>
      <c r="D23" s="169">
        <v>3675652</v>
      </c>
      <c r="E23" s="105">
        <v>17373962</v>
      </c>
    </row>
    <row r="24" spans="1:5" s="180" customFormat="1" ht="12" customHeight="1" thickBot="1">
      <c r="A24" s="14" t="s">
        <v>80</v>
      </c>
      <c r="B24" s="113" t="s">
        <v>170</v>
      </c>
      <c r="C24" s="171"/>
      <c r="D24" s="171"/>
      <c r="E24" s="107"/>
    </row>
    <row r="25" spans="1:5" s="180" customFormat="1" ht="12" customHeight="1" thickBot="1">
      <c r="A25" s="18" t="s">
        <v>8</v>
      </c>
      <c r="B25" s="19" t="s">
        <v>171</v>
      </c>
      <c r="C25" s="168">
        <f>+C26+C27+C28+C29+C30</f>
        <v>0</v>
      </c>
      <c r="D25" s="168">
        <f>+D26+D27+D28+D29+D30</f>
        <v>0</v>
      </c>
      <c r="E25" s="104">
        <f>+E26+E27+E28+E29+E30</f>
        <v>0</v>
      </c>
    </row>
    <row r="26" spans="1:5" s="180" customFormat="1" ht="12" customHeight="1">
      <c r="A26" s="13" t="s">
        <v>52</v>
      </c>
      <c r="B26" s="181" t="s">
        <v>172</v>
      </c>
      <c r="C26" s="170"/>
      <c r="D26" s="170"/>
      <c r="E26" s="106"/>
    </row>
    <row r="27" spans="1:5" s="180" customFormat="1" ht="12" customHeight="1">
      <c r="A27" s="12" t="s">
        <v>53</v>
      </c>
      <c r="B27" s="182" t="s">
        <v>173</v>
      </c>
      <c r="C27" s="169"/>
      <c r="D27" s="169"/>
      <c r="E27" s="105"/>
    </row>
    <row r="28" spans="1:5" s="180" customFormat="1" ht="12" customHeight="1">
      <c r="A28" s="12" t="s">
        <v>54</v>
      </c>
      <c r="B28" s="182" t="s">
        <v>327</v>
      </c>
      <c r="C28" s="169"/>
      <c r="D28" s="169"/>
      <c r="E28" s="105"/>
    </row>
    <row r="29" spans="1:5" s="180" customFormat="1" ht="12" customHeight="1">
      <c r="A29" s="12" t="s">
        <v>55</v>
      </c>
      <c r="B29" s="182" t="s">
        <v>328</v>
      </c>
      <c r="C29" s="169"/>
      <c r="D29" s="169"/>
      <c r="E29" s="105"/>
    </row>
    <row r="30" spans="1:5" s="180" customFormat="1" ht="12" customHeight="1">
      <c r="A30" s="12" t="s">
        <v>110</v>
      </c>
      <c r="B30" s="182" t="s">
        <v>174</v>
      </c>
      <c r="C30" s="169"/>
      <c r="D30" s="169"/>
      <c r="E30" s="105"/>
    </row>
    <row r="31" spans="1:5" s="180" customFormat="1" ht="12" customHeight="1" thickBot="1">
      <c r="A31" s="14" t="s">
        <v>111</v>
      </c>
      <c r="B31" s="183" t="s">
        <v>175</v>
      </c>
      <c r="C31" s="171"/>
      <c r="D31" s="171"/>
      <c r="E31" s="107"/>
    </row>
    <row r="32" spans="1:5" s="180" customFormat="1" ht="12" customHeight="1" thickBot="1">
      <c r="A32" s="18" t="s">
        <v>112</v>
      </c>
      <c r="B32" s="19" t="s">
        <v>476</v>
      </c>
      <c r="C32" s="174">
        <f>SUM(C33:C39)</f>
        <v>0</v>
      </c>
      <c r="D32" s="174">
        <f>SUM(D33:D39)</f>
        <v>0</v>
      </c>
      <c r="E32" s="210">
        <f>SUM(E33:E39)</f>
        <v>0</v>
      </c>
    </row>
    <row r="33" spans="1:5" s="180" customFormat="1" ht="12" customHeight="1">
      <c r="A33" s="13" t="s">
        <v>176</v>
      </c>
      <c r="B33" s="181" t="str">
        <f>'Z_1.1.sz.mell.'!B33</f>
        <v>Építményadó</v>
      </c>
      <c r="C33" s="170"/>
      <c r="D33" s="170"/>
      <c r="E33" s="106"/>
    </row>
    <row r="34" spans="1:5" s="180" customFormat="1" ht="12" customHeight="1">
      <c r="A34" s="12" t="s">
        <v>177</v>
      </c>
      <c r="B34" s="181" t="str">
        <f>'Z_1.1.sz.mell.'!B34</f>
        <v>Idegenforgalmi adó </v>
      </c>
      <c r="C34" s="169"/>
      <c r="D34" s="169"/>
      <c r="E34" s="105"/>
    </row>
    <row r="35" spans="1:5" s="180" customFormat="1" ht="12" customHeight="1">
      <c r="A35" s="12" t="s">
        <v>178</v>
      </c>
      <c r="B35" s="181" t="str">
        <f>'Z_1.1.sz.mell.'!B35</f>
        <v>Iparűzési adó</v>
      </c>
      <c r="C35" s="169"/>
      <c r="D35" s="169"/>
      <c r="E35" s="105"/>
    </row>
    <row r="36" spans="1:5" s="180" customFormat="1" ht="12" customHeight="1">
      <c r="A36" s="12" t="s">
        <v>179</v>
      </c>
      <c r="B36" s="181" t="str">
        <f>'Z_1.1.sz.mell.'!B36</f>
        <v>Talajterhelési díj</v>
      </c>
      <c r="C36" s="169"/>
      <c r="D36" s="169"/>
      <c r="E36" s="105"/>
    </row>
    <row r="37" spans="1:5" s="180" customFormat="1" ht="12" customHeight="1">
      <c r="A37" s="12" t="s">
        <v>480</v>
      </c>
      <c r="B37" s="181" t="str">
        <f>'Z_1.1.sz.mell.'!B37</f>
        <v>Gépjárműadó</v>
      </c>
      <c r="C37" s="169"/>
      <c r="D37" s="169"/>
      <c r="E37" s="105"/>
    </row>
    <row r="38" spans="1:5" s="180" customFormat="1" ht="12" customHeight="1">
      <c r="A38" s="12" t="s">
        <v>481</v>
      </c>
      <c r="B38" s="181" t="str">
        <f>'Z_1.1.sz.mell.'!B38</f>
        <v>Egyéb közhatalmi bevételek</v>
      </c>
      <c r="C38" s="169"/>
      <c r="D38" s="169"/>
      <c r="E38" s="105"/>
    </row>
    <row r="39" spans="1:5" s="180" customFormat="1" ht="12" customHeight="1" thickBot="1">
      <c r="A39" s="14" t="s">
        <v>482</v>
      </c>
      <c r="B39" s="181" t="str">
        <f>'Z_1.1.sz.mell.'!B39</f>
        <v>Kommunális adó</v>
      </c>
      <c r="C39" s="171"/>
      <c r="D39" s="171"/>
      <c r="E39" s="107"/>
    </row>
    <row r="40" spans="1:5" s="180" customFormat="1" ht="12" customHeight="1" thickBot="1">
      <c r="A40" s="18" t="s">
        <v>10</v>
      </c>
      <c r="B40" s="19" t="s">
        <v>335</v>
      </c>
      <c r="C40" s="168">
        <f>SUM(C41:C51)</f>
        <v>180000</v>
      </c>
      <c r="D40" s="168">
        <f>SUM(D41:D51)</f>
        <v>364029</v>
      </c>
      <c r="E40" s="104">
        <f>SUM(E41:E51)</f>
        <v>390746</v>
      </c>
    </row>
    <row r="41" spans="1:5" s="180" customFormat="1" ht="12" customHeight="1">
      <c r="A41" s="13" t="s">
        <v>56</v>
      </c>
      <c r="B41" s="181" t="s">
        <v>183</v>
      </c>
      <c r="C41" s="170"/>
      <c r="D41" s="170"/>
      <c r="E41" s="106"/>
    </row>
    <row r="42" spans="1:5" s="180" customFormat="1" ht="12" customHeight="1">
      <c r="A42" s="12" t="s">
        <v>57</v>
      </c>
      <c r="B42" s="182" t="s">
        <v>184</v>
      </c>
      <c r="C42" s="169">
        <v>180000</v>
      </c>
      <c r="D42" s="169">
        <v>180000</v>
      </c>
      <c r="E42" s="105">
        <v>185000</v>
      </c>
    </row>
    <row r="43" spans="1:5" s="180" customFormat="1" ht="12" customHeight="1">
      <c r="A43" s="12" t="s">
        <v>58</v>
      </c>
      <c r="B43" s="182" t="s">
        <v>185</v>
      </c>
      <c r="C43" s="169"/>
      <c r="D43" s="169"/>
      <c r="E43" s="105"/>
    </row>
    <row r="44" spans="1:5" s="180" customFormat="1" ht="12" customHeight="1">
      <c r="A44" s="12" t="s">
        <v>114</v>
      </c>
      <c r="B44" s="182" t="s">
        <v>186</v>
      </c>
      <c r="C44" s="169"/>
      <c r="D44" s="169"/>
      <c r="E44" s="105"/>
    </row>
    <row r="45" spans="1:5" s="180" customFormat="1" ht="12" customHeight="1">
      <c r="A45" s="12" t="s">
        <v>115</v>
      </c>
      <c r="B45" s="182" t="s">
        <v>187</v>
      </c>
      <c r="C45" s="169"/>
      <c r="D45" s="169"/>
      <c r="E45" s="105"/>
    </row>
    <row r="46" spans="1:5" s="180" customFormat="1" ht="12" customHeight="1">
      <c r="A46" s="12" t="s">
        <v>116</v>
      </c>
      <c r="B46" s="182" t="s">
        <v>188</v>
      </c>
      <c r="C46" s="169"/>
      <c r="D46" s="169">
        <v>14517</v>
      </c>
      <c r="E46" s="105">
        <v>17931</v>
      </c>
    </row>
    <row r="47" spans="1:5" s="180" customFormat="1" ht="12" customHeight="1">
      <c r="A47" s="12" t="s">
        <v>117</v>
      </c>
      <c r="B47" s="182" t="s">
        <v>189</v>
      </c>
      <c r="C47" s="169"/>
      <c r="D47" s="169"/>
      <c r="E47" s="105"/>
    </row>
    <row r="48" spans="1:5" s="180" customFormat="1" ht="12" customHeight="1">
      <c r="A48" s="12" t="s">
        <v>118</v>
      </c>
      <c r="B48" s="182" t="s">
        <v>483</v>
      </c>
      <c r="C48" s="169"/>
      <c r="D48" s="169">
        <v>4850</v>
      </c>
      <c r="E48" s="105">
        <v>8896</v>
      </c>
    </row>
    <row r="49" spans="1:5" s="180" customFormat="1" ht="12" customHeight="1">
      <c r="A49" s="12" t="s">
        <v>181</v>
      </c>
      <c r="B49" s="182" t="s">
        <v>191</v>
      </c>
      <c r="C49" s="172"/>
      <c r="D49" s="172"/>
      <c r="E49" s="108"/>
    </row>
    <row r="50" spans="1:5" s="180" customFormat="1" ht="12" customHeight="1">
      <c r="A50" s="14" t="s">
        <v>182</v>
      </c>
      <c r="B50" s="183" t="s">
        <v>337</v>
      </c>
      <c r="C50" s="173"/>
      <c r="D50" s="173"/>
      <c r="E50" s="109"/>
    </row>
    <row r="51" spans="1:5" s="180" customFormat="1" ht="12" customHeight="1" thickBot="1">
      <c r="A51" s="14" t="s">
        <v>336</v>
      </c>
      <c r="B51" s="113" t="s">
        <v>192</v>
      </c>
      <c r="C51" s="173"/>
      <c r="D51" s="173">
        <v>164662</v>
      </c>
      <c r="E51" s="109">
        <v>178919</v>
      </c>
    </row>
    <row r="52" spans="1:5" s="180" customFormat="1" ht="12" customHeight="1" thickBot="1">
      <c r="A52" s="18" t="s">
        <v>11</v>
      </c>
      <c r="B52" s="19" t="s">
        <v>193</v>
      </c>
      <c r="C52" s="168">
        <f>SUM(C53:C57)</f>
        <v>0</v>
      </c>
      <c r="D52" s="168">
        <f>SUM(D53:D57)</f>
        <v>0</v>
      </c>
      <c r="E52" s="104">
        <f>SUM(E53:E57)</f>
        <v>0</v>
      </c>
    </row>
    <row r="53" spans="1:5" s="180" customFormat="1" ht="12" customHeight="1">
      <c r="A53" s="13" t="s">
        <v>59</v>
      </c>
      <c r="B53" s="181" t="s">
        <v>197</v>
      </c>
      <c r="C53" s="221"/>
      <c r="D53" s="221"/>
      <c r="E53" s="110"/>
    </row>
    <row r="54" spans="1:5" s="180" customFormat="1" ht="12" customHeight="1">
      <c r="A54" s="12" t="s">
        <v>60</v>
      </c>
      <c r="B54" s="182" t="s">
        <v>198</v>
      </c>
      <c r="C54" s="172"/>
      <c r="D54" s="172"/>
      <c r="E54" s="108"/>
    </row>
    <row r="55" spans="1:5" s="180" customFormat="1" ht="12" customHeight="1">
      <c r="A55" s="12" t="s">
        <v>194</v>
      </c>
      <c r="B55" s="182" t="s">
        <v>199</v>
      </c>
      <c r="C55" s="172"/>
      <c r="D55" s="172"/>
      <c r="E55" s="108"/>
    </row>
    <row r="56" spans="1:5" s="180" customFormat="1" ht="12" customHeight="1">
      <c r="A56" s="12" t="s">
        <v>195</v>
      </c>
      <c r="B56" s="182" t="s">
        <v>200</v>
      </c>
      <c r="C56" s="172"/>
      <c r="D56" s="172"/>
      <c r="E56" s="108"/>
    </row>
    <row r="57" spans="1:5" s="180" customFormat="1" ht="12" customHeight="1" thickBot="1">
      <c r="A57" s="14" t="s">
        <v>196</v>
      </c>
      <c r="B57" s="113" t="s">
        <v>201</v>
      </c>
      <c r="C57" s="173"/>
      <c r="D57" s="173"/>
      <c r="E57" s="109"/>
    </row>
    <row r="58" spans="1:5" s="180" customFormat="1" ht="12" customHeight="1" thickBot="1">
      <c r="A58" s="18" t="s">
        <v>119</v>
      </c>
      <c r="B58" s="19" t="s">
        <v>202</v>
      </c>
      <c r="C58" s="168">
        <f>SUM(C59:C61)</f>
        <v>0</v>
      </c>
      <c r="D58" s="168">
        <f>SUM(D59:D61)</f>
        <v>0</v>
      </c>
      <c r="E58" s="104">
        <f>SUM(E59:E61)</f>
        <v>0</v>
      </c>
    </row>
    <row r="59" spans="1:5" s="180" customFormat="1" ht="12" customHeight="1">
      <c r="A59" s="13" t="s">
        <v>61</v>
      </c>
      <c r="B59" s="181" t="s">
        <v>203</v>
      </c>
      <c r="C59" s="170"/>
      <c r="D59" s="170"/>
      <c r="E59" s="106"/>
    </row>
    <row r="60" spans="1:5" s="180" customFormat="1" ht="12" customHeight="1">
      <c r="A60" s="12" t="s">
        <v>62</v>
      </c>
      <c r="B60" s="182" t="s">
        <v>329</v>
      </c>
      <c r="C60" s="169"/>
      <c r="D60" s="169"/>
      <c r="E60" s="105"/>
    </row>
    <row r="61" spans="1:5" s="180" customFormat="1" ht="12" customHeight="1">
      <c r="A61" s="12" t="s">
        <v>206</v>
      </c>
      <c r="B61" s="182" t="s">
        <v>204</v>
      </c>
      <c r="C61" s="169"/>
      <c r="D61" s="169"/>
      <c r="E61" s="105"/>
    </row>
    <row r="62" spans="1:5" s="180" customFormat="1" ht="12" customHeight="1" thickBot="1">
      <c r="A62" s="14" t="s">
        <v>207</v>
      </c>
      <c r="B62" s="113" t="s">
        <v>205</v>
      </c>
      <c r="C62" s="171"/>
      <c r="D62" s="171"/>
      <c r="E62" s="107"/>
    </row>
    <row r="63" spans="1:5" s="180" customFormat="1" ht="12" customHeight="1" thickBot="1">
      <c r="A63" s="18" t="s">
        <v>13</v>
      </c>
      <c r="B63" s="111" t="s">
        <v>208</v>
      </c>
      <c r="C63" s="168">
        <f>SUM(C64:C66)</f>
        <v>0</v>
      </c>
      <c r="D63" s="168">
        <f>SUM(D64:D66)</f>
        <v>0</v>
      </c>
      <c r="E63" s="104">
        <f>SUM(E64:E66)</f>
        <v>0</v>
      </c>
    </row>
    <row r="64" spans="1:5" s="180" customFormat="1" ht="12" customHeight="1">
      <c r="A64" s="13" t="s">
        <v>120</v>
      </c>
      <c r="B64" s="181" t="s">
        <v>210</v>
      </c>
      <c r="C64" s="172"/>
      <c r="D64" s="172"/>
      <c r="E64" s="108"/>
    </row>
    <row r="65" spans="1:5" s="180" customFormat="1" ht="12" customHeight="1">
      <c r="A65" s="12" t="s">
        <v>121</v>
      </c>
      <c r="B65" s="182" t="s">
        <v>330</v>
      </c>
      <c r="C65" s="172"/>
      <c r="D65" s="172"/>
      <c r="E65" s="108"/>
    </row>
    <row r="66" spans="1:5" s="180" customFormat="1" ht="12" customHeight="1">
      <c r="A66" s="12" t="s">
        <v>144</v>
      </c>
      <c r="B66" s="182" t="s">
        <v>211</v>
      </c>
      <c r="C66" s="172"/>
      <c r="D66" s="172"/>
      <c r="E66" s="108"/>
    </row>
    <row r="67" spans="1:5" s="180" customFormat="1" ht="12" customHeight="1" thickBot="1">
      <c r="A67" s="14" t="s">
        <v>209</v>
      </c>
      <c r="B67" s="113" t="s">
        <v>212</v>
      </c>
      <c r="C67" s="172"/>
      <c r="D67" s="172"/>
      <c r="E67" s="108"/>
    </row>
    <row r="68" spans="1:5" s="180" customFormat="1" ht="12" customHeight="1" thickBot="1">
      <c r="A68" s="234" t="s">
        <v>377</v>
      </c>
      <c r="B68" s="19" t="s">
        <v>213</v>
      </c>
      <c r="C68" s="174">
        <f>+C11+C18+C25+C32+C40+C52+C58+C63</f>
        <v>180000</v>
      </c>
      <c r="D68" s="174">
        <f>+D11+D18+D25+D32+D40+D52+D58+D63</f>
        <v>4039681</v>
      </c>
      <c r="E68" s="210">
        <f>+E11+E18+E25+E32+E40+E52+E58+E63</f>
        <v>17764708</v>
      </c>
    </row>
    <row r="69" spans="1:5" s="180" customFormat="1" ht="12" customHeight="1" thickBot="1">
      <c r="A69" s="222" t="s">
        <v>214</v>
      </c>
      <c r="B69" s="111" t="s">
        <v>215</v>
      </c>
      <c r="C69" s="168">
        <f>SUM(C70:C72)</f>
        <v>0</v>
      </c>
      <c r="D69" s="168">
        <f>SUM(D70:D72)</f>
        <v>0</v>
      </c>
      <c r="E69" s="104">
        <f>SUM(E70:E72)</f>
        <v>0</v>
      </c>
    </row>
    <row r="70" spans="1:5" s="180" customFormat="1" ht="12" customHeight="1">
      <c r="A70" s="13" t="s">
        <v>243</v>
      </c>
      <c r="B70" s="181" t="s">
        <v>216</v>
      </c>
      <c r="C70" s="172"/>
      <c r="D70" s="172"/>
      <c r="E70" s="108"/>
    </row>
    <row r="71" spans="1:5" s="180" customFormat="1" ht="12" customHeight="1">
      <c r="A71" s="12" t="s">
        <v>252</v>
      </c>
      <c r="B71" s="182" t="s">
        <v>217</v>
      </c>
      <c r="C71" s="172"/>
      <c r="D71" s="172"/>
      <c r="E71" s="108"/>
    </row>
    <row r="72" spans="1:5" s="180" customFormat="1" ht="12" customHeight="1" thickBot="1">
      <c r="A72" s="14" t="s">
        <v>253</v>
      </c>
      <c r="B72" s="230" t="s">
        <v>362</v>
      </c>
      <c r="C72" s="172"/>
      <c r="D72" s="172"/>
      <c r="E72" s="108"/>
    </row>
    <row r="73" spans="1:5" s="180" customFormat="1" ht="12" customHeight="1" thickBot="1">
      <c r="A73" s="222" t="s">
        <v>219</v>
      </c>
      <c r="B73" s="111" t="s">
        <v>220</v>
      </c>
      <c r="C73" s="168">
        <f>SUM(C74:C77)</f>
        <v>0</v>
      </c>
      <c r="D73" s="168">
        <f>SUM(D74:D77)</f>
        <v>0</v>
      </c>
      <c r="E73" s="104">
        <f>SUM(E74:E77)</f>
        <v>0</v>
      </c>
    </row>
    <row r="74" spans="1:5" s="180" customFormat="1" ht="12" customHeight="1">
      <c r="A74" s="13" t="s">
        <v>98</v>
      </c>
      <c r="B74" s="309" t="s">
        <v>221</v>
      </c>
      <c r="C74" s="172"/>
      <c r="D74" s="172"/>
      <c r="E74" s="108"/>
    </row>
    <row r="75" spans="1:5" s="180" customFormat="1" ht="12" customHeight="1">
      <c r="A75" s="12" t="s">
        <v>99</v>
      </c>
      <c r="B75" s="309" t="s">
        <v>490</v>
      </c>
      <c r="C75" s="172"/>
      <c r="D75" s="172"/>
      <c r="E75" s="108"/>
    </row>
    <row r="76" spans="1:5" s="180" customFormat="1" ht="12" customHeight="1">
      <c r="A76" s="12" t="s">
        <v>244</v>
      </c>
      <c r="B76" s="309" t="s">
        <v>222</v>
      </c>
      <c r="C76" s="172"/>
      <c r="D76" s="172"/>
      <c r="E76" s="108"/>
    </row>
    <row r="77" spans="1:5" s="180" customFormat="1" ht="12" customHeight="1" thickBot="1">
      <c r="A77" s="14" t="s">
        <v>245</v>
      </c>
      <c r="B77" s="310" t="s">
        <v>491</v>
      </c>
      <c r="C77" s="172"/>
      <c r="D77" s="172"/>
      <c r="E77" s="108"/>
    </row>
    <row r="78" spans="1:5" s="180" customFormat="1" ht="12" customHeight="1" thickBot="1">
      <c r="A78" s="222" t="s">
        <v>223</v>
      </c>
      <c r="B78" s="111" t="s">
        <v>224</v>
      </c>
      <c r="C78" s="168">
        <f>SUM(C79:C80)</f>
        <v>0</v>
      </c>
      <c r="D78" s="168">
        <f>SUM(D79:D80)</f>
        <v>7990184</v>
      </c>
      <c r="E78" s="104">
        <f>SUM(E79:E80)</f>
        <v>37394105</v>
      </c>
    </row>
    <row r="79" spans="1:5" s="180" customFormat="1" ht="12" customHeight="1">
      <c r="A79" s="13" t="s">
        <v>246</v>
      </c>
      <c r="B79" s="181" t="s">
        <v>225</v>
      </c>
      <c r="C79" s="172"/>
      <c r="D79" s="172">
        <v>7990184</v>
      </c>
      <c r="E79" s="108">
        <v>37394105</v>
      </c>
    </row>
    <row r="80" spans="1:5" s="180" customFormat="1" ht="12" customHeight="1" thickBot="1">
      <c r="A80" s="14" t="s">
        <v>247</v>
      </c>
      <c r="B80" s="113" t="s">
        <v>226</v>
      </c>
      <c r="C80" s="172"/>
      <c r="D80" s="172"/>
      <c r="E80" s="108"/>
    </row>
    <row r="81" spans="1:5" s="180" customFormat="1" ht="12" customHeight="1" thickBot="1">
      <c r="A81" s="222" t="s">
        <v>227</v>
      </c>
      <c r="B81" s="111" t="s">
        <v>228</v>
      </c>
      <c r="C81" s="168">
        <f>SUM(C82:C84)</f>
        <v>69990203</v>
      </c>
      <c r="D81" s="168">
        <f>SUM(D82:D84)</f>
        <v>69990203</v>
      </c>
      <c r="E81" s="104">
        <f>SUM(E82:E84)</f>
        <v>71171896</v>
      </c>
    </row>
    <row r="82" spans="1:5" s="180" customFormat="1" ht="12" customHeight="1">
      <c r="A82" s="13" t="s">
        <v>248</v>
      </c>
      <c r="B82" s="181" t="s">
        <v>229</v>
      </c>
      <c r="C82" s="172"/>
      <c r="D82" s="172"/>
      <c r="E82" s="108"/>
    </row>
    <row r="83" spans="1:5" s="180" customFormat="1" ht="12" customHeight="1">
      <c r="A83" s="12" t="s">
        <v>249</v>
      </c>
      <c r="B83" s="182" t="s">
        <v>230</v>
      </c>
      <c r="C83" s="172"/>
      <c r="D83" s="172"/>
      <c r="E83" s="108"/>
    </row>
    <row r="84" spans="1:5" s="180" customFormat="1" ht="12" customHeight="1" thickBot="1">
      <c r="A84" s="14" t="s">
        <v>250</v>
      </c>
      <c r="B84" s="113" t="s">
        <v>873</v>
      </c>
      <c r="C84" s="172">
        <v>69990203</v>
      </c>
      <c r="D84" s="172">
        <v>69990203</v>
      </c>
      <c r="E84" s="108">
        <v>71171896</v>
      </c>
    </row>
    <row r="85" spans="1:5" s="180" customFormat="1" ht="12" customHeight="1" thickBot="1">
      <c r="A85" s="222" t="s">
        <v>231</v>
      </c>
      <c r="B85" s="111" t="s">
        <v>251</v>
      </c>
      <c r="C85" s="168">
        <f>SUM(C86:C89)</f>
        <v>0</v>
      </c>
      <c r="D85" s="168">
        <f>SUM(D86:D89)</f>
        <v>0</v>
      </c>
      <c r="E85" s="104">
        <f>SUM(E86:E89)</f>
        <v>0</v>
      </c>
    </row>
    <row r="86" spans="1:5" s="180" customFormat="1" ht="12" customHeight="1">
      <c r="A86" s="185" t="s">
        <v>232</v>
      </c>
      <c r="B86" s="181" t="s">
        <v>233</v>
      </c>
      <c r="C86" s="172"/>
      <c r="D86" s="172"/>
      <c r="E86" s="108"/>
    </row>
    <row r="87" spans="1:5" s="180" customFormat="1" ht="12" customHeight="1">
      <c r="A87" s="186" t="s">
        <v>234</v>
      </c>
      <c r="B87" s="182" t="s">
        <v>235</v>
      </c>
      <c r="C87" s="172"/>
      <c r="D87" s="172"/>
      <c r="E87" s="108"/>
    </row>
    <row r="88" spans="1:5" s="180" customFormat="1" ht="12" customHeight="1">
      <c r="A88" s="186" t="s">
        <v>236</v>
      </c>
      <c r="B88" s="182" t="s">
        <v>237</v>
      </c>
      <c r="C88" s="172"/>
      <c r="D88" s="172"/>
      <c r="E88" s="108"/>
    </row>
    <row r="89" spans="1:5" s="180" customFormat="1" ht="12" customHeight="1" thickBot="1">
      <c r="A89" s="187" t="s">
        <v>238</v>
      </c>
      <c r="B89" s="113" t="s">
        <v>239</v>
      </c>
      <c r="C89" s="172"/>
      <c r="D89" s="172"/>
      <c r="E89" s="108"/>
    </row>
    <row r="90" spans="1:5" s="180" customFormat="1" ht="12" customHeight="1" thickBot="1">
      <c r="A90" s="222" t="s">
        <v>240</v>
      </c>
      <c r="B90" s="111" t="s">
        <v>376</v>
      </c>
      <c r="C90" s="224"/>
      <c r="D90" s="224"/>
      <c r="E90" s="225"/>
    </row>
    <row r="91" spans="1:5" s="180" customFormat="1" ht="13.5" customHeight="1" thickBot="1">
      <c r="A91" s="222" t="s">
        <v>242</v>
      </c>
      <c r="B91" s="111" t="s">
        <v>241</v>
      </c>
      <c r="C91" s="224"/>
      <c r="D91" s="224"/>
      <c r="E91" s="225"/>
    </row>
    <row r="92" spans="1:5" s="180" customFormat="1" ht="15.75" customHeight="1" thickBot="1">
      <c r="A92" s="222" t="s">
        <v>254</v>
      </c>
      <c r="B92" s="188" t="s">
        <v>379</v>
      </c>
      <c r="C92" s="174">
        <f>+C69+C73+C78+C81+C85+C91+C90</f>
        <v>69990203</v>
      </c>
      <c r="D92" s="174">
        <f>+D69+D73+D78+D81+D85+D91+D90</f>
        <v>77980387</v>
      </c>
      <c r="E92" s="210">
        <f>+E69+E73+E78+E81+E85+E91+E90</f>
        <v>108566001</v>
      </c>
    </row>
    <row r="93" spans="1:5" s="180" customFormat="1" ht="25.5" customHeight="1" thickBot="1">
      <c r="A93" s="223" t="s">
        <v>378</v>
      </c>
      <c r="B93" s="189" t="s">
        <v>380</v>
      </c>
      <c r="C93" s="174">
        <f>+C68+C92</f>
        <v>70170203</v>
      </c>
      <c r="D93" s="174">
        <f>+D68+D92</f>
        <v>82020068</v>
      </c>
      <c r="E93" s="210">
        <f>+E68+E92</f>
        <v>126330709</v>
      </c>
    </row>
    <row r="94" spans="1:3" s="180" customFormat="1" ht="15" customHeight="1">
      <c r="A94" s="3"/>
      <c r="B94" s="4"/>
      <c r="C94" s="115"/>
    </row>
    <row r="95" spans="1:5" ht="16.5" customHeight="1">
      <c r="A95" s="794" t="s">
        <v>34</v>
      </c>
      <c r="B95" s="794"/>
      <c r="C95" s="794"/>
      <c r="D95" s="794"/>
      <c r="E95" s="794"/>
    </row>
    <row r="96" spans="1:5" s="190" customFormat="1" ht="16.5" customHeight="1" thickBot="1">
      <c r="A96" s="796" t="s">
        <v>101</v>
      </c>
      <c r="B96" s="796"/>
      <c r="C96" s="62"/>
      <c r="E96" s="62" t="str">
        <f>E7</f>
        <v> Forintban!</v>
      </c>
    </row>
    <row r="97" spans="1:5" ht="15.75">
      <c r="A97" s="803" t="s">
        <v>51</v>
      </c>
      <c r="B97" s="805" t="s">
        <v>420</v>
      </c>
      <c r="C97" s="789" t="str">
        <f>+CONCATENATE(LEFT(Z_ÖSSZEFÜGGÉSEK!A6,4),". évi")</f>
        <v>2019. évi</v>
      </c>
      <c r="D97" s="790"/>
      <c r="E97" s="791"/>
    </row>
    <row r="98" spans="1:5" ht="24.75" thickBot="1">
      <c r="A98" s="804"/>
      <c r="B98" s="806"/>
      <c r="C98" s="251" t="s">
        <v>418</v>
      </c>
      <c r="D98" s="250" t="s">
        <v>419</v>
      </c>
      <c r="E98" s="311" t="str">
        <f>CONCATENATE(E9)</f>
        <v>2019. XII. 31.
teljesítés</v>
      </c>
    </row>
    <row r="99" spans="1:5" s="179" customFormat="1" ht="12" customHeight="1" thickBot="1">
      <c r="A99" s="25" t="s">
        <v>385</v>
      </c>
      <c r="B99" s="26" t="s">
        <v>386</v>
      </c>
      <c r="C99" s="26" t="s">
        <v>387</v>
      </c>
      <c r="D99" s="26" t="s">
        <v>389</v>
      </c>
      <c r="E99" s="262" t="s">
        <v>388</v>
      </c>
    </row>
    <row r="100" spans="1:5" ht="12" customHeight="1" thickBot="1">
      <c r="A100" s="20" t="s">
        <v>6</v>
      </c>
      <c r="B100" s="24" t="s">
        <v>338</v>
      </c>
      <c r="C100" s="167">
        <f>C101+C102+C103+C104+C105+C118</f>
        <v>70170203</v>
      </c>
      <c r="D100" s="167">
        <f>D101+D102+D103+D104+D105+D118</f>
        <v>81414078</v>
      </c>
      <c r="E100" s="237">
        <f>E101+E102+E103+E104+E105+E118</f>
        <v>76218304</v>
      </c>
    </row>
    <row r="101" spans="1:5" ht="12" customHeight="1">
      <c r="A101" s="15" t="s">
        <v>63</v>
      </c>
      <c r="B101" s="8" t="s">
        <v>35</v>
      </c>
      <c r="C101" s="244">
        <v>51094360</v>
      </c>
      <c r="D101" s="244">
        <v>59214890</v>
      </c>
      <c r="E101" s="238">
        <v>56514548</v>
      </c>
    </row>
    <row r="102" spans="1:5" ht="12" customHeight="1">
      <c r="A102" s="12" t="s">
        <v>64</v>
      </c>
      <c r="B102" s="6" t="s">
        <v>122</v>
      </c>
      <c r="C102" s="169">
        <v>10115258</v>
      </c>
      <c r="D102" s="169">
        <v>11115100</v>
      </c>
      <c r="E102" s="105">
        <v>11115100</v>
      </c>
    </row>
    <row r="103" spans="1:5" ht="12" customHeight="1">
      <c r="A103" s="12" t="s">
        <v>65</v>
      </c>
      <c r="B103" s="6" t="s">
        <v>90</v>
      </c>
      <c r="C103" s="171">
        <v>8960585</v>
      </c>
      <c r="D103" s="171">
        <v>11084088</v>
      </c>
      <c r="E103" s="107">
        <v>8588656</v>
      </c>
    </row>
    <row r="104" spans="1:5" ht="12" customHeight="1">
      <c r="A104" s="12" t="s">
        <v>66</v>
      </c>
      <c r="B104" s="9" t="s">
        <v>123</v>
      </c>
      <c r="C104" s="171"/>
      <c r="D104" s="171"/>
      <c r="E104" s="107"/>
    </row>
    <row r="105" spans="1:5" ht="12" customHeight="1">
      <c r="A105" s="12" t="s">
        <v>75</v>
      </c>
      <c r="B105" s="17" t="s">
        <v>124</v>
      </c>
      <c r="C105" s="171"/>
      <c r="D105" s="171"/>
      <c r="E105" s="107"/>
    </row>
    <row r="106" spans="1:5" ht="12" customHeight="1">
      <c r="A106" s="12" t="s">
        <v>67</v>
      </c>
      <c r="B106" s="6" t="s">
        <v>343</v>
      </c>
      <c r="C106" s="171"/>
      <c r="D106" s="171"/>
      <c r="E106" s="107"/>
    </row>
    <row r="107" spans="1:5" ht="12" customHeight="1">
      <c r="A107" s="12" t="s">
        <v>68</v>
      </c>
      <c r="B107" s="66" t="s">
        <v>342</v>
      </c>
      <c r="C107" s="171"/>
      <c r="D107" s="171"/>
      <c r="E107" s="107"/>
    </row>
    <row r="108" spans="1:5" ht="12" customHeight="1">
      <c r="A108" s="12" t="s">
        <v>76</v>
      </c>
      <c r="B108" s="66" t="s">
        <v>341</v>
      </c>
      <c r="C108" s="171"/>
      <c r="D108" s="171"/>
      <c r="E108" s="107"/>
    </row>
    <row r="109" spans="1:5" ht="12" customHeight="1">
      <c r="A109" s="12" t="s">
        <v>77</v>
      </c>
      <c r="B109" s="64" t="s">
        <v>257</v>
      </c>
      <c r="C109" s="171"/>
      <c r="D109" s="171"/>
      <c r="E109" s="107"/>
    </row>
    <row r="110" spans="1:5" ht="12" customHeight="1">
      <c r="A110" s="12" t="s">
        <v>78</v>
      </c>
      <c r="B110" s="65" t="s">
        <v>258</v>
      </c>
      <c r="C110" s="171"/>
      <c r="D110" s="171"/>
      <c r="E110" s="107"/>
    </row>
    <row r="111" spans="1:5" ht="12" customHeight="1">
      <c r="A111" s="12" t="s">
        <v>79</v>
      </c>
      <c r="B111" s="65" t="s">
        <v>259</v>
      </c>
      <c r="C111" s="171"/>
      <c r="D111" s="171"/>
      <c r="E111" s="107"/>
    </row>
    <row r="112" spans="1:5" ht="12" customHeight="1">
      <c r="A112" s="12" t="s">
        <v>81</v>
      </c>
      <c r="B112" s="64" t="s">
        <v>260</v>
      </c>
      <c r="C112" s="171"/>
      <c r="D112" s="171"/>
      <c r="E112" s="107"/>
    </row>
    <row r="113" spans="1:5" ht="12" customHeight="1">
      <c r="A113" s="12" t="s">
        <v>125</v>
      </c>
      <c r="B113" s="64" t="s">
        <v>261</v>
      </c>
      <c r="C113" s="171"/>
      <c r="D113" s="171"/>
      <c r="E113" s="107"/>
    </row>
    <row r="114" spans="1:5" ht="12" customHeight="1">
      <c r="A114" s="12" t="s">
        <v>255</v>
      </c>
      <c r="B114" s="65" t="s">
        <v>262</v>
      </c>
      <c r="C114" s="171"/>
      <c r="D114" s="171"/>
      <c r="E114" s="107"/>
    </row>
    <row r="115" spans="1:5" ht="12" customHeight="1">
      <c r="A115" s="11" t="s">
        <v>256</v>
      </c>
      <c r="B115" s="66" t="s">
        <v>263</v>
      </c>
      <c r="C115" s="171"/>
      <c r="D115" s="171"/>
      <c r="E115" s="107"/>
    </row>
    <row r="116" spans="1:5" ht="12" customHeight="1">
      <c r="A116" s="12" t="s">
        <v>339</v>
      </c>
      <c r="B116" s="66" t="s">
        <v>264</v>
      </c>
      <c r="C116" s="171"/>
      <c r="D116" s="171"/>
      <c r="E116" s="107"/>
    </row>
    <row r="117" spans="1:5" ht="12" customHeight="1">
      <c r="A117" s="14" t="s">
        <v>340</v>
      </c>
      <c r="B117" s="66" t="s">
        <v>265</v>
      </c>
      <c r="C117" s="171"/>
      <c r="D117" s="171"/>
      <c r="E117" s="107"/>
    </row>
    <row r="118" spans="1:5" ht="12" customHeight="1">
      <c r="A118" s="12" t="s">
        <v>344</v>
      </c>
      <c r="B118" s="9" t="s">
        <v>36</v>
      </c>
      <c r="C118" s="169"/>
      <c r="D118" s="169"/>
      <c r="E118" s="105"/>
    </row>
    <row r="119" spans="1:5" ht="12" customHeight="1">
      <c r="A119" s="12" t="s">
        <v>345</v>
      </c>
      <c r="B119" s="6" t="s">
        <v>347</v>
      </c>
      <c r="C119" s="169"/>
      <c r="D119" s="169"/>
      <c r="E119" s="105"/>
    </row>
    <row r="120" spans="1:5" ht="12" customHeight="1" thickBot="1">
      <c r="A120" s="16" t="s">
        <v>346</v>
      </c>
      <c r="B120" s="233" t="s">
        <v>348</v>
      </c>
      <c r="C120" s="245"/>
      <c r="D120" s="245"/>
      <c r="E120" s="239"/>
    </row>
    <row r="121" spans="1:5" ht="12" customHeight="1" thickBot="1">
      <c r="A121" s="231" t="s">
        <v>7</v>
      </c>
      <c r="B121" s="232" t="s">
        <v>266</v>
      </c>
      <c r="C121" s="246">
        <f>+C122+C124+C126</f>
        <v>0</v>
      </c>
      <c r="D121" s="168">
        <f>+D122+D124+D126</f>
        <v>605990</v>
      </c>
      <c r="E121" s="240">
        <f>+E122+E124+E126</f>
        <v>605990</v>
      </c>
    </row>
    <row r="122" spans="1:5" ht="12" customHeight="1">
      <c r="A122" s="13" t="s">
        <v>69</v>
      </c>
      <c r="B122" s="6" t="s">
        <v>143</v>
      </c>
      <c r="C122" s="170"/>
      <c r="D122" s="255">
        <v>605990</v>
      </c>
      <c r="E122" s="106">
        <v>605990</v>
      </c>
    </row>
    <row r="123" spans="1:5" ht="12" customHeight="1">
      <c r="A123" s="13" t="s">
        <v>70</v>
      </c>
      <c r="B123" s="10" t="s">
        <v>270</v>
      </c>
      <c r="C123" s="170"/>
      <c r="D123" s="255"/>
      <c r="E123" s="106"/>
    </row>
    <row r="124" spans="1:5" ht="12" customHeight="1">
      <c r="A124" s="13" t="s">
        <v>71</v>
      </c>
      <c r="B124" s="10" t="s">
        <v>126</v>
      </c>
      <c r="C124" s="169"/>
      <c r="D124" s="256"/>
      <c r="E124" s="105"/>
    </row>
    <row r="125" spans="1:5" ht="12" customHeight="1">
      <c r="A125" s="13" t="s">
        <v>72</v>
      </c>
      <c r="B125" s="10" t="s">
        <v>271</v>
      </c>
      <c r="C125" s="169"/>
      <c r="D125" s="256"/>
      <c r="E125" s="105"/>
    </row>
    <row r="126" spans="1:5" ht="12" customHeight="1">
      <c r="A126" s="13" t="s">
        <v>73</v>
      </c>
      <c r="B126" s="113" t="s">
        <v>145</v>
      </c>
      <c r="C126" s="169"/>
      <c r="D126" s="256"/>
      <c r="E126" s="105"/>
    </row>
    <row r="127" spans="1:5" ht="12" customHeight="1">
      <c r="A127" s="13" t="s">
        <v>80</v>
      </c>
      <c r="B127" s="112" t="s">
        <v>331</v>
      </c>
      <c r="C127" s="169"/>
      <c r="D127" s="256"/>
      <c r="E127" s="105"/>
    </row>
    <row r="128" spans="1:5" ht="12" customHeight="1">
      <c r="A128" s="13" t="s">
        <v>82</v>
      </c>
      <c r="B128" s="177" t="s">
        <v>276</v>
      </c>
      <c r="C128" s="169"/>
      <c r="D128" s="256"/>
      <c r="E128" s="105"/>
    </row>
    <row r="129" spans="1:5" ht="15.75">
      <c r="A129" s="13" t="s">
        <v>127</v>
      </c>
      <c r="B129" s="65" t="s">
        <v>259</v>
      </c>
      <c r="C129" s="169"/>
      <c r="D129" s="256"/>
      <c r="E129" s="105"/>
    </row>
    <row r="130" spans="1:5" ht="12" customHeight="1">
      <c r="A130" s="13" t="s">
        <v>128</v>
      </c>
      <c r="B130" s="65" t="s">
        <v>275</v>
      </c>
      <c r="C130" s="169"/>
      <c r="D130" s="256"/>
      <c r="E130" s="105"/>
    </row>
    <row r="131" spans="1:5" ht="12" customHeight="1">
      <c r="A131" s="13" t="s">
        <v>129</v>
      </c>
      <c r="B131" s="65" t="s">
        <v>274</v>
      </c>
      <c r="C131" s="169"/>
      <c r="D131" s="256"/>
      <c r="E131" s="105"/>
    </row>
    <row r="132" spans="1:5" ht="12" customHeight="1">
      <c r="A132" s="13" t="s">
        <v>267</v>
      </c>
      <c r="B132" s="65" t="s">
        <v>262</v>
      </c>
      <c r="C132" s="169"/>
      <c r="D132" s="256"/>
      <c r="E132" s="105"/>
    </row>
    <row r="133" spans="1:5" ht="12" customHeight="1">
      <c r="A133" s="13" t="s">
        <v>268</v>
      </c>
      <c r="B133" s="65" t="s">
        <v>273</v>
      </c>
      <c r="C133" s="169"/>
      <c r="D133" s="256"/>
      <c r="E133" s="105"/>
    </row>
    <row r="134" spans="1:5" ht="16.5" thickBot="1">
      <c r="A134" s="11" t="s">
        <v>269</v>
      </c>
      <c r="B134" s="65" t="s">
        <v>272</v>
      </c>
      <c r="C134" s="171"/>
      <c r="D134" s="257"/>
      <c r="E134" s="107"/>
    </row>
    <row r="135" spans="1:5" ht="12" customHeight="1" thickBot="1">
      <c r="A135" s="18" t="s">
        <v>8</v>
      </c>
      <c r="B135" s="58" t="s">
        <v>349</v>
      </c>
      <c r="C135" s="168">
        <f>+C100+C121</f>
        <v>70170203</v>
      </c>
      <c r="D135" s="254">
        <f>+D100+D121</f>
        <v>82020068</v>
      </c>
      <c r="E135" s="104">
        <f>+E100+E121</f>
        <v>76824294</v>
      </c>
    </row>
    <row r="136" spans="1:5" ht="12" customHeight="1" thickBot="1">
      <c r="A136" s="18" t="s">
        <v>9</v>
      </c>
      <c r="B136" s="58" t="s">
        <v>421</v>
      </c>
      <c r="C136" s="168">
        <f>+C137+C138+C139</f>
        <v>0</v>
      </c>
      <c r="D136" s="254">
        <f>+D137+D138+D139</f>
        <v>0</v>
      </c>
      <c r="E136" s="104">
        <f>+E137+E138+E139</f>
        <v>0</v>
      </c>
    </row>
    <row r="137" spans="1:5" ht="12" customHeight="1">
      <c r="A137" s="13" t="s">
        <v>176</v>
      </c>
      <c r="B137" s="10" t="s">
        <v>357</v>
      </c>
      <c r="C137" s="169"/>
      <c r="D137" s="256"/>
      <c r="E137" s="105"/>
    </row>
    <row r="138" spans="1:5" ht="12" customHeight="1">
      <c r="A138" s="13" t="s">
        <v>177</v>
      </c>
      <c r="B138" s="10" t="s">
        <v>358</v>
      </c>
      <c r="C138" s="169"/>
      <c r="D138" s="256"/>
      <c r="E138" s="105"/>
    </row>
    <row r="139" spans="1:5" ht="12" customHeight="1" thickBot="1">
      <c r="A139" s="11" t="s">
        <v>178</v>
      </c>
      <c r="B139" s="10" t="s">
        <v>359</v>
      </c>
      <c r="C139" s="169"/>
      <c r="D139" s="256"/>
      <c r="E139" s="105"/>
    </row>
    <row r="140" spans="1:5" ht="12" customHeight="1" thickBot="1">
      <c r="A140" s="18" t="s">
        <v>10</v>
      </c>
      <c r="B140" s="58" t="s">
        <v>351</v>
      </c>
      <c r="C140" s="168">
        <f>SUM(C141:C146)</f>
        <v>0</v>
      </c>
      <c r="D140" s="254">
        <f>SUM(D141:D146)</f>
        <v>0</v>
      </c>
      <c r="E140" s="104">
        <f>SUM(E141:E146)</f>
        <v>0</v>
      </c>
    </row>
    <row r="141" spans="1:5" ht="12" customHeight="1">
      <c r="A141" s="13" t="s">
        <v>56</v>
      </c>
      <c r="B141" s="7" t="s">
        <v>360</v>
      </c>
      <c r="C141" s="169"/>
      <c r="D141" s="256"/>
      <c r="E141" s="105"/>
    </row>
    <row r="142" spans="1:5" ht="12" customHeight="1">
      <c r="A142" s="13" t="s">
        <v>57</v>
      </c>
      <c r="B142" s="7" t="s">
        <v>352</v>
      </c>
      <c r="C142" s="169"/>
      <c r="D142" s="256"/>
      <c r="E142" s="105"/>
    </row>
    <row r="143" spans="1:5" ht="12" customHeight="1">
      <c r="A143" s="13" t="s">
        <v>58</v>
      </c>
      <c r="B143" s="7" t="s">
        <v>353</v>
      </c>
      <c r="C143" s="169"/>
      <c r="D143" s="256"/>
      <c r="E143" s="105"/>
    </row>
    <row r="144" spans="1:5" ht="12" customHeight="1">
      <c r="A144" s="13" t="s">
        <v>114</v>
      </c>
      <c r="B144" s="7" t="s">
        <v>354</v>
      </c>
      <c r="C144" s="169"/>
      <c r="D144" s="256"/>
      <c r="E144" s="105"/>
    </row>
    <row r="145" spans="1:5" ht="12" customHeight="1">
      <c r="A145" s="13" t="s">
        <v>115</v>
      </c>
      <c r="B145" s="7" t="s">
        <v>355</v>
      </c>
      <c r="C145" s="169"/>
      <c r="D145" s="256"/>
      <c r="E145" s="105"/>
    </row>
    <row r="146" spans="1:5" ht="12" customHeight="1" thickBot="1">
      <c r="A146" s="16" t="s">
        <v>116</v>
      </c>
      <c r="B146" s="317" t="s">
        <v>356</v>
      </c>
      <c r="C146" s="245"/>
      <c r="D146" s="294"/>
      <c r="E146" s="239"/>
    </row>
    <row r="147" spans="1:5" ht="12" customHeight="1" thickBot="1">
      <c r="A147" s="18" t="s">
        <v>11</v>
      </c>
      <c r="B147" s="58" t="s">
        <v>364</v>
      </c>
      <c r="C147" s="174">
        <f>+C148+C149+C150+C151</f>
        <v>0</v>
      </c>
      <c r="D147" s="258">
        <f>+D148+D149+D150+D151</f>
        <v>0</v>
      </c>
      <c r="E147" s="210">
        <f>+E148+E149+E150+E151</f>
        <v>0</v>
      </c>
    </row>
    <row r="148" spans="1:5" ht="12" customHeight="1">
      <c r="A148" s="13" t="s">
        <v>59</v>
      </c>
      <c r="B148" s="7" t="s">
        <v>277</v>
      </c>
      <c r="C148" s="169"/>
      <c r="D148" s="256"/>
      <c r="E148" s="105"/>
    </row>
    <row r="149" spans="1:5" ht="12" customHeight="1">
      <c r="A149" s="13" t="s">
        <v>60</v>
      </c>
      <c r="B149" s="7" t="s">
        <v>278</v>
      </c>
      <c r="C149" s="169"/>
      <c r="D149" s="256"/>
      <c r="E149" s="105"/>
    </row>
    <row r="150" spans="1:5" ht="12" customHeight="1">
      <c r="A150" s="13" t="s">
        <v>194</v>
      </c>
      <c r="B150" s="7" t="s">
        <v>365</v>
      </c>
      <c r="C150" s="169"/>
      <c r="D150" s="256"/>
      <c r="E150" s="105"/>
    </row>
    <row r="151" spans="1:5" ht="12" customHeight="1" thickBot="1">
      <c r="A151" s="11" t="s">
        <v>195</v>
      </c>
      <c r="B151" s="5" t="s">
        <v>294</v>
      </c>
      <c r="C151" s="169"/>
      <c r="D151" s="256"/>
      <c r="E151" s="105"/>
    </row>
    <row r="152" spans="1:5" ht="12" customHeight="1" thickBot="1">
      <c r="A152" s="18" t="s">
        <v>12</v>
      </c>
      <c r="B152" s="58" t="s">
        <v>366</v>
      </c>
      <c r="C152" s="247">
        <f>SUM(C153:C157)</f>
        <v>0</v>
      </c>
      <c r="D152" s="259">
        <f>SUM(D153:D157)</f>
        <v>0</v>
      </c>
      <c r="E152" s="241">
        <f>SUM(E153:E157)</f>
        <v>0</v>
      </c>
    </row>
    <row r="153" spans="1:5" ht="12" customHeight="1">
      <c r="A153" s="13" t="s">
        <v>61</v>
      </c>
      <c r="B153" s="7" t="s">
        <v>361</v>
      </c>
      <c r="C153" s="169"/>
      <c r="D153" s="256"/>
      <c r="E153" s="105"/>
    </row>
    <row r="154" spans="1:5" ht="12" customHeight="1">
      <c r="A154" s="13" t="s">
        <v>62</v>
      </c>
      <c r="B154" s="7" t="s">
        <v>368</v>
      </c>
      <c r="C154" s="169"/>
      <c r="D154" s="256"/>
      <c r="E154" s="105"/>
    </row>
    <row r="155" spans="1:5" ht="12" customHeight="1">
      <c r="A155" s="13" t="s">
        <v>206</v>
      </c>
      <c r="B155" s="7" t="s">
        <v>363</v>
      </c>
      <c r="C155" s="169"/>
      <c r="D155" s="256"/>
      <c r="E155" s="105"/>
    </row>
    <row r="156" spans="1:5" ht="12" customHeight="1">
      <c r="A156" s="13" t="s">
        <v>207</v>
      </c>
      <c r="B156" s="7" t="s">
        <v>369</v>
      </c>
      <c r="C156" s="169"/>
      <c r="D156" s="256"/>
      <c r="E156" s="105"/>
    </row>
    <row r="157" spans="1:5" ht="12" customHeight="1" thickBot="1">
      <c r="A157" s="13" t="s">
        <v>367</v>
      </c>
      <c r="B157" s="7" t="s">
        <v>370</v>
      </c>
      <c r="C157" s="169"/>
      <c r="D157" s="256"/>
      <c r="E157" s="105"/>
    </row>
    <row r="158" spans="1:5" ht="12" customHeight="1" thickBot="1">
      <c r="A158" s="18" t="s">
        <v>13</v>
      </c>
      <c r="B158" s="58" t="s">
        <v>371</v>
      </c>
      <c r="C158" s="248"/>
      <c r="D158" s="260"/>
      <c r="E158" s="242"/>
    </row>
    <row r="159" spans="1:5" ht="12" customHeight="1" thickBot="1">
      <c r="A159" s="18" t="s">
        <v>14</v>
      </c>
      <c r="B159" s="58" t="s">
        <v>372</v>
      </c>
      <c r="C159" s="248"/>
      <c r="D159" s="260"/>
      <c r="E159" s="242"/>
    </row>
    <row r="160" spans="1:9" ht="15" customHeight="1" thickBot="1">
      <c r="A160" s="18" t="s">
        <v>15</v>
      </c>
      <c r="B160" s="58" t="s">
        <v>374</v>
      </c>
      <c r="C160" s="249">
        <f>+C136+C140+C147+C152+C158+C159</f>
        <v>0</v>
      </c>
      <c r="D160" s="261">
        <f>+D136+D140+D147+D152+D158+D159</f>
        <v>0</v>
      </c>
      <c r="E160" s="243">
        <f>+E136+E140+E147+E152+E158+E159</f>
        <v>0</v>
      </c>
      <c r="F160" s="191"/>
      <c r="G160" s="192"/>
      <c r="H160" s="192"/>
      <c r="I160" s="192"/>
    </row>
    <row r="161" spans="1:5" s="180" customFormat="1" ht="12.75" customHeight="1" thickBot="1">
      <c r="A161" s="114" t="s">
        <v>16</v>
      </c>
      <c r="B161" s="155" t="s">
        <v>373</v>
      </c>
      <c r="C161" s="249">
        <f>+C135+C160</f>
        <v>70170203</v>
      </c>
      <c r="D161" s="261">
        <f>+D135+D160</f>
        <v>82020068</v>
      </c>
      <c r="E161" s="243">
        <f>+E135+E160</f>
        <v>76824294</v>
      </c>
    </row>
    <row r="162" spans="3:4" ht="15.75">
      <c r="C162" s="664">
        <f>C93-C161</f>
        <v>0</v>
      </c>
      <c r="D162" s="664">
        <f>D93-D161</f>
        <v>0</v>
      </c>
    </row>
    <row r="163" spans="1:5" ht="15.75">
      <c r="A163" s="792" t="s">
        <v>279</v>
      </c>
      <c r="B163" s="792"/>
      <c r="C163" s="792"/>
      <c r="D163" s="792"/>
      <c r="E163" s="792"/>
    </row>
    <row r="164" spans="1:5" ht="15" customHeight="1" thickBot="1">
      <c r="A164" s="802" t="s">
        <v>102</v>
      </c>
      <c r="B164" s="802"/>
      <c r="C164" s="116"/>
      <c r="E164" s="116" t="str">
        <f>E96</f>
        <v> Forintban!</v>
      </c>
    </row>
    <row r="165" spans="1:5" ht="25.5" customHeight="1" thickBot="1">
      <c r="A165" s="18">
        <v>1</v>
      </c>
      <c r="B165" s="23" t="s">
        <v>375</v>
      </c>
      <c r="C165" s="253">
        <f>+C68-C135</f>
        <v>-69990203</v>
      </c>
      <c r="D165" s="168">
        <f>+D68-D135</f>
        <v>-77980387</v>
      </c>
      <c r="E165" s="104">
        <f>+E68-E135</f>
        <v>-59059586</v>
      </c>
    </row>
    <row r="166" spans="1:5" ht="32.25" customHeight="1" thickBot="1">
      <c r="A166" s="18" t="s">
        <v>7</v>
      </c>
      <c r="B166" s="23" t="s">
        <v>381</v>
      </c>
      <c r="C166" s="168">
        <f>+C92-C160</f>
        <v>69990203</v>
      </c>
      <c r="D166" s="168">
        <f>+D92-D160</f>
        <v>77980387</v>
      </c>
      <c r="E166" s="104">
        <f>+E92-E160</f>
        <v>108566001</v>
      </c>
    </row>
  </sheetData>
  <sheetProtection/>
  <mergeCells count="16">
    <mergeCell ref="A163:E163"/>
    <mergeCell ref="A164:B164"/>
    <mergeCell ref="A8:A9"/>
    <mergeCell ref="B8:B9"/>
    <mergeCell ref="C8:E8"/>
    <mergeCell ref="A95:E95"/>
    <mergeCell ref="A96:B96"/>
    <mergeCell ref="A97:A98"/>
    <mergeCell ref="B97:B98"/>
    <mergeCell ref="C97:E97"/>
    <mergeCell ref="B1:E1"/>
    <mergeCell ref="A2:E2"/>
    <mergeCell ref="A3:E3"/>
    <mergeCell ref="A4:E4"/>
    <mergeCell ref="A6:E6"/>
    <mergeCell ref="A7:B7"/>
  </mergeCells>
  <printOptions horizontalCentered="1"/>
  <pageMargins left="0.6692913385826772" right="0.6692913385826772" top="0.8661417322834646" bottom="0.8661417322834646" header="0" footer="0"/>
  <pageSetup fitToHeight="2" orientation="portrait" paperSize="9" scale="72" r:id="rId1"/>
  <rowBreaks count="2" manualBreakCount="2">
    <brk id="68" max="4" man="1"/>
    <brk id="146" max="4" man="1"/>
  </rowBreaks>
</worksheet>
</file>

<file path=xl/worksheets/sheet8.xml><?xml version="1.0" encoding="utf-8"?>
<worksheet xmlns="http://schemas.openxmlformats.org/spreadsheetml/2006/main" xmlns:r="http://schemas.openxmlformats.org/officeDocument/2006/relationships">
  <sheetPr>
    <tabColor rgb="FF92D050"/>
  </sheetPr>
  <dimension ref="A1:J33"/>
  <sheetViews>
    <sheetView zoomScale="120" zoomScaleNormal="120" zoomScaleSheetLayoutView="130" workbookViewId="0" topLeftCell="A1">
      <selection activeCell="N31" sqref="N31"/>
    </sheetView>
  </sheetViews>
  <sheetFormatPr defaultColWidth="9.00390625" defaultRowHeight="12.75"/>
  <cols>
    <col min="1" max="1" width="6.875" style="33" customWidth="1"/>
    <col min="2" max="2" width="48.00390625" style="73" customWidth="1"/>
    <col min="3" max="5" width="15.50390625" style="33" customWidth="1"/>
    <col min="6" max="6" width="55.125" style="33" customWidth="1"/>
    <col min="7" max="9" width="15.50390625" style="33" customWidth="1"/>
    <col min="10" max="10" width="4.875" style="33" customWidth="1"/>
    <col min="11" max="16384" width="9.375" style="33" customWidth="1"/>
  </cols>
  <sheetData>
    <row r="1" spans="1:10" ht="39.75" customHeight="1">
      <c r="A1" s="342"/>
      <c r="B1" s="348" t="s">
        <v>106</v>
      </c>
      <c r="C1" s="349"/>
      <c r="D1" s="349"/>
      <c r="E1" s="349"/>
      <c r="F1" s="349"/>
      <c r="G1" s="349"/>
      <c r="H1" s="349"/>
      <c r="I1" s="349"/>
      <c r="J1" s="810" t="str">
        <f>CONCATENATE("2.1. melléklet ",Z_ALAPADATOK!A7," ",Z_ALAPADATOK!B7," ",Z_ALAPADATOK!C7," ",Z_ALAPADATOK!D7," ",Z_ALAPADATOK!E7," ",Z_ALAPADATOK!F7," ",Z_ALAPADATOK!G7," ",Z_ALAPADATOK!H7)</f>
        <v>2.1. melléklet a 4 / 2020. ( VII.17. ) önkormányzati rendelethez</v>
      </c>
    </row>
    <row r="2" spans="1:10" ht="14.25" thickBot="1">
      <c r="A2" s="342"/>
      <c r="B2" s="341"/>
      <c r="C2" s="342"/>
      <c r="D2" s="342"/>
      <c r="E2" s="342"/>
      <c r="F2" s="342"/>
      <c r="G2" s="350"/>
      <c r="H2" s="350"/>
      <c r="I2" s="350" t="str">
        <f>CONCATENATE('Z_1.4.sz.mell.'!E7)</f>
        <v> Forintban!</v>
      </c>
      <c r="J2" s="810"/>
    </row>
    <row r="3" spans="1:10" ht="18" customHeight="1" thickBot="1">
      <c r="A3" s="807" t="s">
        <v>51</v>
      </c>
      <c r="B3" s="351" t="s">
        <v>39</v>
      </c>
      <c r="C3" s="352"/>
      <c r="D3" s="353"/>
      <c r="E3" s="353"/>
      <c r="F3" s="351" t="s">
        <v>40</v>
      </c>
      <c r="G3" s="354"/>
      <c r="H3" s="355"/>
      <c r="I3" s="356"/>
      <c r="J3" s="810"/>
    </row>
    <row r="4" spans="1:10" s="124" customFormat="1" ht="35.25" customHeight="1" thickBot="1">
      <c r="A4" s="808"/>
      <c r="B4" s="344" t="s">
        <v>44</v>
      </c>
      <c r="C4" s="314" t="str">
        <f>+CONCATENATE('Z_1.1.sz.mell.'!C8," eredeti előirányzat")</f>
        <v>2019. évi eredeti előirányzat</v>
      </c>
      <c r="D4" s="312" t="str">
        <f>+CONCATENATE('Z_1.1.sz.mell.'!C8," módosított előirányzat")</f>
        <v>2019. évi módosított előirányzat</v>
      </c>
      <c r="E4" s="312" t="str">
        <f>CONCATENATE('Z_1.4.sz.mell.'!E9)</f>
        <v>2019. XII. 31.
teljesítés</v>
      </c>
      <c r="F4" s="344" t="s">
        <v>44</v>
      </c>
      <c r="G4" s="314" t="str">
        <f>+C4</f>
        <v>2019. évi eredeti előirányzat</v>
      </c>
      <c r="H4" s="314" t="str">
        <f>+D4</f>
        <v>2019. évi módosított előirányzat</v>
      </c>
      <c r="I4" s="313" t="str">
        <f>+E4</f>
        <v>2019. XII. 31.
teljesítés</v>
      </c>
      <c r="J4" s="810"/>
    </row>
    <row r="5" spans="1:10" s="125" customFormat="1" ht="12" customHeight="1" thickBot="1">
      <c r="A5" s="357" t="s">
        <v>385</v>
      </c>
      <c r="B5" s="358" t="s">
        <v>386</v>
      </c>
      <c r="C5" s="359" t="s">
        <v>387</v>
      </c>
      <c r="D5" s="362" t="s">
        <v>389</v>
      </c>
      <c r="E5" s="362" t="s">
        <v>388</v>
      </c>
      <c r="F5" s="358" t="s">
        <v>422</v>
      </c>
      <c r="G5" s="359" t="s">
        <v>391</v>
      </c>
      <c r="H5" s="359" t="s">
        <v>392</v>
      </c>
      <c r="I5" s="363" t="s">
        <v>423</v>
      </c>
      <c r="J5" s="810"/>
    </row>
    <row r="6" spans="1:10" ht="12.75" customHeight="1">
      <c r="A6" s="126" t="s">
        <v>6</v>
      </c>
      <c r="B6" s="127" t="s">
        <v>280</v>
      </c>
      <c r="C6" s="117">
        <v>306085968</v>
      </c>
      <c r="D6" s="117">
        <v>307217491</v>
      </c>
      <c r="E6" s="117">
        <v>292384339</v>
      </c>
      <c r="F6" s="127" t="s">
        <v>45</v>
      </c>
      <c r="G6" s="117">
        <v>244540205</v>
      </c>
      <c r="H6" s="117">
        <v>285631186</v>
      </c>
      <c r="I6" s="267">
        <v>281444334</v>
      </c>
      <c r="J6" s="810"/>
    </row>
    <row r="7" spans="1:10" ht="12.75" customHeight="1">
      <c r="A7" s="128" t="s">
        <v>7</v>
      </c>
      <c r="B7" s="129" t="s">
        <v>281</v>
      </c>
      <c r="C7" s="118">
        <v>126121616</v>
      </c>
      <c r="D7" s="118">
        <v>155541371</v>
      </c>
      <c r="E7" s="118">
        <v>173110984</v>
      </c>
      <c r="F7" s="129" t="s">
        <v>122</v>
      </c>
      <c r="G7" s="118">
        <v>40619168</v>
      </c>
      <c r="H7" s="118">
        <v>48167685</v>
      </c>
      <c r="I7" s="268">
        <v>45846571</v>
      </c>
      <c r="J7" s="810"/>
    </row>
    <row r="8" spans="1:10" ht="12.75" customHeight="1">
      <c r="A8" s="128" t="s">
        <v>8</v>
      </c>
      <c r="B8" s="129" t="s">
        <v>299</v>
      </c>
      <c r="C8" s="118"/>
      <c r="D8" s="118"/>
      <c r="E8" s="118"/>
      <c r="F8" s="129" t="s">
        <v>147</v>
      </c>
      <c r="G8" s="118">
        <v>187382749</v>
      </c>
      <c r="H8" s="118">
        <v>259234721</v>
      </c>
      <c r="I8" s="268">
        <v>215638080</v>
      </c>
      <c r="J8" s="810"/>
    </row>
    <row r="9" spans="1:10" ht="12.75" customHeight="1">
      <c r="A9" s="128" t="s">
        <v>9</v>
      </c>
      <c r="B9" s="129" t="s">
        <v>113</v>
      </c>
      <c r="C9" s="118">
        <v>52630600</v>
      </c>
      <c r="D9" s="118">
        <v>55768175</v>
      </c>
      <c r="E9" s="118">
        <v>63469415</v>
      </c>
      <c r="F9" s="129" t="s">
        <v>123</v>
      </c>
      <c r="G9" s="118">
        <v>35847000</v>
      </c>
      <c r="H9" s="118">
        <v>39174500</v>
      </c>
      <c r="I9" s="268">
        <v>30394699</v>
      </c>
      <c r="J9" s="810"/>
    </row>
    <row r="10" spans="1:10" ht="12.75" customHeight="1">
      <c r="A10" s="128" t="s">
        <v>10</v>
      </c>
      <c r="B10" s="130" t="s">
        <v>324</v>
      </c>
      <c r="C10" s="118">
        <v>48473454</v>
      </c>
      <c r="D10" s="118">
        <v>69073499</v>
      </c>
      <c r="E10" s="118">
        <v>83064740</v>
      </c>
      <c r="F10" s="129" t="s">
        <v>124</v>
      </c>
      <c r="G10" s="118">
        <v>24922516</v>
      </c>
      <c r="H10" s="118">
        <v>28181973</v>
      </c>
      <c r="I10" s="268">
        <v>26491664</v>
      </c>
      <c r="J10" s="810"/>
    </row>
    <row r="11" spans="1:10" ht="12.75" customHeight="1">
      <c r="A11" s="128" t="s">
        <v>11</v>
      </c>
      <c r="B11" s="129" t="s">
        <v>282</v>
      </c>
      <c r="C11" s="119"/>
      <c r="D11" s="119">
        <v>1714506</v>
      </c>
      <c r="E11" s="119">
        <v>1776006</v>
      </c>
      <c r="F11" s="129" t="s">
        <v>36</v>
      </c>
      <c r="G11" s="118"/>
      <c r="H11" s="118"/>
      <c r="I11" s="268"/>
      <c r="J11" s="810"/>
    </row>
    <row r="12" spans="1:10" ht="12.75" customHeight="1">
      <c r="A12" s="128" t="s">
        <v>12</v>
      </c>
      <c r="B12" s="129" t="s">
        <v>382</v>
      </c>
      <c r="C12" s="118"/>
      <c r="D12" s="118"/>
      <c r="E12" s="118"/>
      <c r="F12" s="30"/>
      <c r="G12" s="118"/>
      <c r="H12" s="118"/>
      <c r="I12" s="268"/>
      <c r="J12" s="810"/>
    </row>
    <row r="13" spans="1:10" ht="12.75" customHeight="1">
      <c r="A13" s="128" t="s">
        <v>13</v>
      </c>
      <c r="B13" s="30"/>
      <c r="C13" s="118"/>
      <c r="D13" s="118"/>
      <c r="E13" s="118"/>
      <c r="F13" s="30"/>
      <c r="G13" s="118"/>
      <c r="H13" s="118"/>
      <c r="I13" s="268"/>
      <c r="J13" s="810"/>
    </row>
    <row r="14" spans="1:10" ht="12.75" customHeight="1">
      <c r="A14" s="128" t="s">
        <v>14</v>
      </c>
      <c r="B14" s="193"/>
      <c r="C14" s="119"/>
      <c r="D14" s="119"/>
      <c r="E14" s="119"/>
      <c r="F14" s="30"/>
      <c r="G14" s="118"/>
      <c r="H14" s="118"/>
      <c r="I14" s="268"/>
      <c r="J14" s="810"/>
    </row>
    <row r="15" spans="1:10" ht="12.75" customHeight="1">
      <c r="A15" s="128" t="s">
        <v>15</v>
      </c>
      <c r="B15" s="30"/>
      <c r="C15" s="118"/>
      <c r="D15" s="118"/>
      <c r="E15" s="118"/>
      <c r="F15" s="30"/>
      <c r="G15" s="118"/>
      <c r="H15" s="118"/>
      <c r="I15" s="268"/>
      <c r="J15" s="810"/>
    </row>
    <row r="16" spans="1:10" ht="12.75" customHeight="1">
      <c r="A16" s="128" t="s">
        <v>16</v>
      </c>
      <c r="B16" s="30"/>
      <c r="C16" s="118"/>
      <c r="D16" s="118"/>
      <c r="E16" s="118"/>
      <c r="F16" s="30"/>
      <c r="G16" s="118"/>
      <c r="H16" s="118"/>
      <c r="I16" s="268"/>
      <c r="J16" s="810"/>
    </row>
    <row r="17" spans="1:10" ht="12.75" customHeight="1" thickBot="1">
      <c r="A17" s="128" t="s">
        <v>17</v>
      </c>
      <c r="B17" s="35"/>
      <c r="C17" s="120"/>
      <c r="D17" s="120"/>
      <c r="E17" s="120"/>
      <c r="F17" s="30"/>
      <c r="G17" s="120"/>
      <c r="H17" s="120"/>
      <c r="I17" s="269"/>
      <c r="J17" s="810"/>
    </row>
    <row r="18" spans="1:10" ht="21.75" thickBot="1">
      <c r="A18" s="131" t="s">
        <v>18</v>
      </c>
      <c r="B18" s="59" t="s">
        <v>383</v>
      </c>
      <c r="C18" s="121">
        <f>C6+C7+C9+C10+C11+C13+C14+C15+C16+C17</f>
        <v>533311638</v>
      </c>
      <c r="D18" s="121">
        <f>D6+D7+D9+D10+D11+D13+D14+D15+D16+D17</f>
        <v>589315042</v>
      </c>
      <c r="E18" s="121">
        <f>E6+E7+E9+E10+E11+E13+E14+E15+E16+E17</f>
        <v>613805484</v>
      </c>
      <c r="F18" s="59" t="s">
        <v>285</v>
      </c>
      <c r="G18" s="121">
        <f>SUM(G6:G17)</f>
        <v>533311638</v>
      </c>
      <c r="H18" s="121">
        <f>SUM(H6:H17)</f>
        <v>660390065</v>
      </c>
      <c r="I18" s="149">
        <f>SUM(I6:I17)</f>
        <v>599815348</v>
      </c>
      <c r="J18" s="810"/>
    </row>
    <row r="19" spans="1:10" ht="12.75" customHeight="1">
      <c r="A19" s="132" t="s">
        <v>19</v>
      </c>
      <c r="B19" s="133" t="s">
        <v>843</v>
      </c>
      <c r="C19" s="235">
        <f>+C20+C21+C22+C23</f>
        <v>190268579</v>
      </c>
      <c r="D19" s="235">
        <f>+D20+D21+D22+D23</f>
        <v>282606937</v>
      </c>
      <c r="E19" s="235">
        <f>+E20+E21+E22+E23</f>
        <v>576081732</v>
      </c>
      <c r="F19" s="134" t="s">
        <v>130</v>
      </c>
      <c r="G19" s="122"/>
      <c r="H19" s="122"/>
      <c r="I19" s="270"/>
      <c r="J19" s="810"/>
    </row>
    <row r="20" spans="1:10" ht="12.75" customHeight="1">
      <c r="A20" s="135" t="s">
        <v>20</v>
      </c>
      <c r="B20" s="134" t="s">
        <v>141</v>
      </c>
      <c r="C20" s="48"/>
      <c r="D20" s="48">
        <v>91574849</v>
      </c>
      <c r="E20" s="48">
        <v>386269925</v>
      </c>
      <c r="F20" s="134" t="s">
        <v>284</v>
      </c>
      <c r="G20" s="48"/>
      <c r="H20" s="48"/>
      <c r="I20" s="271"/>
      <c r="J20" s="810"/>
    </row>
    <row r="21" spans="1:10" ht="12.75" customHeight="1">
      <c r="A21" s="135" t="s">
        <v>21</v>
      </c>
      <c r="B21" s="134" t="s">
        <v>142</v>
      </c>
      <c r="C21" s="48"/>
      <c r="D21" s="48"/>
      <c r="E21" s="48"/>
      <c r="F21" s="134" t="s">
        <v>104</v>
      </c>
      <c r="G21" s="48"/>
      <c r="H21" s="48"/>
      <c r="I21" s="271"/>
      <c r="J21" s="810"/>
    </row>
    <row r="22" spans="1:10" ht="12.75" customHeight="1">
      <c r="A22" s="135" t="s">
        <v>22</v>
      </c>
      <c r="B22" s="134" t="s">
        <v>146</v>
      </c>
      <c r="C22" s="48"/>
      <c r="D22" s="48"/>
      <c r="E22" s="48"/>
      <c r="F22" s="134" t="s">
        <v>105</v>
      </c>
      <c r="G22" s="48"/>
      <c r="H22" s="48"/>
      <c r="I22" s="271"/>
      <c r="J22" s="810"/>
    </row>
    <row r="23" spans="1:10" ht="21" customHeight="1">
      <c r="A23" s="135" t="s">
        <v>23</v>
      </c>
      <c r="B23" s="134" t="s">
        <v>876</v>
      </c>
      <c r="C23" s="48">
        <v>190268579</v>
      </c>
      <c r="D23" s="48">
        <v>191032088</v>
      </c>
      <c r="E23" s="48">
        <v>189811807</v>
      </c>
      <c r="F23" s="133" t="s">
        <v>874</v>
      </c>
      <c r="G23" s="48">
        <v>190268579</v>
      </c>
      <c r="H23" s="48">
        <v>190268579</v>
      </c>
      <c r="I23" s="271">
        <v>175730148</v>
      </c>
      <c r="J23" s="810"/>
    </row>
    <row r="24" spans="1:10" ht="12.75" customHeight="1">
      <c r="A24" s="128" t="s">
        <v>24</v>
      </c>
      <c r="B24" s="134" t="s">
        <v>283</v>
      </c>
      <c r="C24" s="48"/>
      <c r="D24" s="48"/>
      <c r="E24" s="48"/>
      <c r="F24" s="134" t="s">
        <v>131</v>
      </c>
      <c r="G24" s="48"/>
      <c r="H24" s="48"/>
      <c r="I24" s="271"/>
      <c r="J24" s="810"/>
    </row>
    <row r="25" spans="1:10" ht="12.75" customHeight="1">
      <c r="A25" s="128" t="s">
        <v>25</v>
      </c>
      <c r="B25" s="134" t="s">
        <v>842</v>
      </c>
      <c r="C25" s="136">
        <f>C26+C27+C28</f>
        <v>0</v>
      </c>
      <c r="D25" s="136">
        <f>D26+D27+D28</f>
        <v>0</v>
      </c>
      <c r="E25" s="136">
        <f>E26+E27+E28</f>
        <v>0</v>
      </c>
      <c r="F25" s="127" t="s">
        <v>365</v>
      </c>
      <c r="G25" s="48"/>
      <c r="H25" s="48"/>
      <c r="I25" s="271"/>
      <c r="J25" s="810"/>
    </row>
    <row r="26" spans="1:10" ht="12.75" customHeight="1">
      <c r="A26" s="164" t="s">
        <v>26</v>
      </c>
      <c r="B26" s="133" t="s">
        <v>156</v>
      </c>
      <c r="C26" s="122"/>
      <c r="D26" s="122"/>
      <c r="E26" s="122"/>
      <c r="F26" s="129" t="s">
        <v>371</v>
      </c>
      <c r="G26" s="122"/>
      <c r="H26" s="122"/>
      <c r="I26" s="270"/>
      <c r="J26" s="810"/>
    </row>
    <row r="27" spans="1:10" ht="12.75" customHeight="1">
      <c r="A27" s="128" t="s">
        <v>27</v>
      </c>
      <c r="B27" s="134" t="s">
        <v>376</v>
      </c>
      <c r="C27" s="48"/>
      <c r="D27" s="48"/>
      <c r="E27" s="48"/>
      <c r="F27" s="129" t="s">
        <v>372</v>
      </c>
      <c r="G27" s="48"/>
      <c r="H27" s="48"/>
      <c r="I27" s="271"/>
      <c r="J27" s="810"/>
    </row>
    <row r="28" spans="1:10" ht="12.75" customHeight="1" thickBot="1">
      <c r="A28" s="164" t="s">
        <v>28</v>
      </c>
      <c r="B28" s="133" t="s">
        <v>241</v>
      </c>
      <c r="C28" s="122"/>
      <c r="D28" s="122"/>
      <c r="E28" s="122"/>
      <c r="F28" s="195" t="s">
        <v>877</v>
      </c>
      <c r="G28" s="122"/>
      <c r="H28" s="122">
        <v>13298557</v>
      </c>
      <c r="I28" s="270">
        <v>13150183</v>
      </c>
      <c r="J28" s="810"/>
    </row>
    <row r="29" spans="1:10" ht="24" customHeight="1" thickBot="1">
      <c r="A29" s="131" t="s">
        <v>29</v>
      </c>
      <c r="B29" s="59" t="s">
        <v>845</v>
      </c>
      <c r="C29" s="121">
        <f>+C19+C25</f>
        <v>190268579</v>
      </c>
      <c r="D29" s="121">
        <f>+D19+D25</f>
        <v>282606937</v>
      </c>
      <c r="E29" s="265">
        <f>+E19+E25</f>
        <v>576081732</v>
      </c>
      <c r="F29" s="59" t="s">
        <v>844</v>
      </c>
      <c r="G29" s="121">
        <f>SUM(G19:G28)</f>
        <v>190268579</v>
      </c>
      <c r="H29" s="121">
        <f>SUM(H19:H28)</f>
        <v>203567136</v>
      </c>
      <c r="I29" s="149">
        <f>SUM(I19:I28)</f>
        <v>188880331</v>
      </c>
      <c r="J29" s="810"/>
    </row>
    <row r="30" spans="1:10" ht="13.5" thickBot="1">
      <c r="A30" s="131" t="s">
        <v>30</v>
      </c>
      <c r="B30" s="137" t="s">
        <v>384</v>
      </c>
      <c r="C30" s="307">
        <f>+C18+C29</f>
        <v>723580217</v>
      </c>
      <c r="D30" s="307">
        <f>+D18+D29</f>
        <v>871921979</v>
      </c>
      <c r="E30" s="308">
        <f>+E18+E29</f>
        <v>1189887216</v>
      </c>
      <c r="F30" s="137"/>
      <c r="G30" s="307">
        <f>+G18+G29</f>
        <v>723580217</v>
      </c>
      <c r="H30" s="307">
        <f>+H18+H29</f>
        <v>863957201</v>
      </c>
      <c r="I30" s="308">
        <f>+I18+I29</f>
        <v>788695679</v>
      </c>
      <c r="J30" s="810"/>
    </row>
    <row r="31" spans="1:10" ht="13.5" thickBot="1">
      <c r="A31" s="131" t="s">
        <v>31</v>
      </c>
      <c r="B31" s="137" t="s">
        <v>108</v>
      </c>
      <c r="C31" s="307" t="str">
        <f>IF(C18-G18&lt;0,G18-C18,"-")</f>
        <v>-</v>
      </c>
      <c r="D31" s="307">
        <f>IF(D18-H18&lt;0,H18-D18,"-")</f>
        <v>71075023</v>
      </c>
      <c r="E31" s="308" t="str">
        <f>IF(E18-I18&lt;0,I18-E18,"-")</f>
        <v>-</v>
      </c>
      <c r="F31" s="137" t="s">
        <v>109</v>
      </c>
      <c r="G31" s="307" t="str">
        <f>IF(C18-G18&gt;0,C18-G18,"-")</f>
        <v>-</v>
      </c>
      <c r="H31" s="307" t="str">
        <f>IF(D18-H18&gt;0,D18-H18,"-")</f>
        <v>-</v>
      </c>
      <c r="I31" s="308">
        <f>IF(E18-I18&gt;0,E18-I18,"-")</f>
        <v>13990136</v>
      </c>
      <c r="J31" s="810"/>
    </row>
    <row r="32" spans="1:10" ht="13.5" thickBot="1">
      <c r="A32" s="131" t="s">
        <v>32</v>
      </c>
      <c r="B32" s="137" t="s">
        <v>488</v>
      </c>
      <c r="C32" s="307" t="str">
        <f>IF(C30-G30&lt;0,G30-C30,"-")</f>
        <v>-</v>
      </c>
      <c r="D32" s="307" t="str">
        <f>IF(D30-H30&lt;0,H30-D30,"-")</f>
        <v>-</v>
      </c>
      <c r="E32" s="307" t="str">
        <f>IF(E30-I30&lt;0,I30-E30,"-")</f>
        <v>-</v>
      </c>
      <c r="F32" s="137" t="s">
        <v>489</v>
      </c>
      <c r="G32" s="307" t="str">
        <f>IF(C30-G30&gt;0,C30-G30,"-")</f>
        <v>-</v>
      </c>
      <c r="H32" s="307">
        <f>IF(D30-H30&gt;0,D30-H30,"-")</f>
        <v>7964778</v>
      </c>
      <c r="I32" s="307">
        <f>IF(E30-I30&gt;0,E30-I30,"-")</f>
        <v>401191537</v>
      </c>
      <c r="J32" s="810"/>
    </row>
    <row r="33" spans="2:10" ht="18.75">
      <c r="B33" s="809"/>
      <c r="C33" s="809"/>
      <c r="D33" s="809"/>
      <c r="E33" s="809"/>
      <c r="F33" s="809"/>
      <c r="J33" s="810"/>
    </row>
  </sheetData>
  <sheetProtection/>
  <mergeCells count="3">
    <mergeCell ref="A3:A4"/>
    <mergeCell ref="B33:F33"/>
    <mergeCell ref="J1:J33"/>
  </mergeCells>
  <printOptions horizontalCentered="1"/>
  <pageMargins left="0.33" right="0.48" top="0.9055118110236221" bottom="0.5" header="0.6692913385826772" footer="0.28"/>
  <pageSetup orientation="landscape" paperSize="9" scale="72" r:id="rId1"/>
  <headerFooter alignWithMargins="0">
    <oddHeader xml:space="preserve">&amp;R&amp;"Times New Roman CE,Félkövér dőlt"&amp;11 </oddHeader>
  </headerFooter>
</worksheet>
</file>

<file path=xl/worksheets/sheet9.xml><?xml version="1.0" encoding="utf-8"?>
<worksheet xmlns="http://schemas.openxmlformats.org/spreadsheetml/2006/main" xmlns:r="http://schemas.openxmlformats.org/officeDocument/2006/relationships">
  <sheetPr>
    <tabColor rgb="FF92D050"/>
  </sheetPr>
  <dimension ref="A1:J33"/>
  <sheetViews>
    <sheetView zoomScale="120" zoomScaleNormal="120" zoomScaleSheetLayoutView="115" workbookViewId="0" topLeftCell="A10">
      <selection activeCell="I9" sqref="I9"/>
    </sheetView>
  </sheetViews>
  <sheetFormatPr defaultColWidth="9.00390625" defaultRowHeight="12.75"/>
  <cols>
    <col min="1" max="1" width="6.875" style="33" customWidth="1"/>
    <col min="2" max="2" width="49.875" style="73" customWidth="1"/>
    <col min="3" max="5" width="15.50390625" style="33" customWidth="1"/>
    <col min="6" max="6" width="49.875" style="33" customWidth="1"/>
    <col min="7" max="9" width="15.50390625" style="33" customWidth="1"/>
    <col min="10" max="10" width="4.875" style="33" customWidth="1"/>
    <col min="11" max="16384" width="9.375" style="33" customWidth="1"/>
  </cols>
  <sheetData>
    <row r="1" spans="1:10" ht="31.5">
      <c r="A1" s="342"/>
      <c r="B1" s="348" t="s">
        <v>107</v>
      </c>
      <c r="C1" s="349"/>
      <c r="D1" s="349"/>
      <c r="E1" s="349"/>
      <c r="F1" s="349"/>
      <c r="G1" s="349"/>
      <c r="H1" s="349"/>
      <c r="I1" s="349"/>
      <c r="J1" s="810" t="str">
        <f>CONCATENATE("2.2. melléklet ",Z_ALAPADATOK!A7," ",Z_ALAPADATOK!B7," ",Z_ALAPADATOK!C7," ",Z_ALAPADATOK!D7," ",Z_ALAPADATOK!E7," ",Z_ALAPADATOK!F7," ",Z_ALAPADATOK!G7," ",Z_ALAPADATOK!H7)</f>
        <v>2.2. melléklet a 4 / 2020. ( VII.17. ) önkormányzati rendelethez</v>
      </c>
    </row>
    <row r="2" spans="1:10" ht="14.25" thickBot="1">
      <c r="A2" s="342"/>
      <c r="B2" s="341"/>
      <c r="C2" s="342"/>
      <c r="D2" s="342"/>
      <c r="E2" s="342"/>
      <c r="F2" s="342"/>
      <c r="G2" s="350"/>
      <c r="H2" s="350"/>
      <c r="I2" s="350" t="str">
        <f>'Z_2.1.sz.mell'!I2</f>
        <v> Forintban!</v>
      </c>
      <c r="J2" s="810"/>
    </row>
    <row r="3" spans="1:10" ht="13.5" customHeight="1" thickBot="1">
      <c r="A3" s="807" t="s">
        <v>51</v>
      </c>
      <c r="B3" s="351" t="s">
        <v>39</v>
      </c>
      <c r="C3" s="352"/>
      <c r="D3" s="353"/>
      <c r="E3" s="353"/>
      <c r="F3" s="351" t="s">
        <v>40</v>
      </c>
      <c r="G3" s="354"/>
      <c r="H3" s="355"/>
      <c r="I3" s="356"/>
      <c r="J3" s="810"/>
    </row>
    <row r="4" spans="1:10" s="124" customFormat="1" ht="36.75" thickBot="1">
      <c r="A4" s="808"/>
      <c r="B4" s="344" t="s">
        <v>44</v>
      </c>
      <c r="C4" s="314" t="str">
        <f>+CONCATENATE('Z_1.1.sz.mell.'!C8," eredeti előirányzat")</f>
        <v>2019. évi eredeti előirányzat</v>
      </c>
      <c r="D4" s="312" t="str">
        <f>+CONCATENATE('Z_1.1.sz.mell.'!C8," módosított előirányzat")</f>
        <v>2019. évi módosított előirányzat</v>
      </c>
      <c r="E4" s="312" t="str">
        <f>CONCATENATE('Z_2.1.sz.mell'!E4)</f>
        <v>2019. XII. 31.
teljesítés</v>
      </c>
      <c r="F4" s="344" t="s">
        <v>44</v>
      </c>
      <c r="G4" s="314" t="str">
        <f>+C4</f>
        <v>2019. évi eredeti előirányzat</v>
      </c>
      <c r="H4" s="314" t="str">
        <f>+D4</f>
        <v>2019. évi módosított előirányzat</v>
      </c>
      <c r="I4" s="313" t="str">
        <f>+E4</f>
        <v>2019. XII. 31.
teljesítés</v>
      </c>
      <c r="J4" s="810"/>
    </row>
    <row r="5" spans="1:10" s="124" customFormat="1" ht="13.5" thickBot="1">
      <c r="A5" s="357" t="s">
        <v>385</v>
      </c>
      <c r="B5" s="358" t="s">
        <v>386</v>
      </c>
      <c r="C5" s="359" t="s">
        <v>387</v>
      </c>
      <c r="D5" s="359" t="s">
        <v>389</v>
      </c>
      <c r="E5" s="359" t="s">
        <v>388</v>
      </c>
      <c r="F5" s="358" t="s">
        <v>390</v>
      </c>
      <c r="G5" s="359" t="s">
        <v>391</v>
      </c>
      <c r="H5" s="360" t="s">
        <v>392</v>
      </c>
      <c r="I5" s="361" t="s">
        <v>423</v>
      </c>
      <c r="J5" s="810"/>
    </row>
    <row r="6" spans="1:10" ht="12.75" customHeight="1">
      <c r="A6" s="126" t="s">
        <v>6</v>
      </c>
      <c r="B6" s="127" t="s">
        <v>286</v>
      </c>
      <c r="C6" s="117"/>
      <c r="D6" s="117">
        <v>122200885</v>
      </c>
      <c r="E6" s="117">
        <v>161074272</v>
      </c>
      <c r="F6" s="127" t="s">
        <v>143</v>
      </c>
      <c r="G6" s="117">
        <v>9131377</v>
      </c>
      <c r="H6" s="276">
        <v>139820840</v>
      </c>
      <c r="I6" s="147">
        <v>137534852</v>
      </c>
      <c r="J6" s="810"/>
    </row>
    <row r="7" spans="1:10" ht="12.75">
      <c r="A7" s="128" t="s">
        <v>7</v>
      </c>
      <c r="B7" s="129" t="s">
        <v>287</v>
      </c>
      <c r="C7" s="118"/>
      <c r="D7" s="118">
        <v>16000839</v>
      </c>
      <c r="E7" s="118">
        <v>70071082</v>
      </c>
      <c r="F7" s="129" t="s">
        <v>292</v>
      </c>
      <c r="G7" s="118"/>
      <c r="H7" s="118">
        <v>56617728</v>
      </c>
      <c r="I7" s="268">
        <v>56617728</v>
      </c>
      <c r="J7" s="810"/>
    </row>
    <row r="8" spans="1:10" ht="12.75" customHeight="1">
      <c r="A8" s="128" t="s">
        <v>8</v>
      </c>
      <c r="B8" s="129" t="s">
        <v>1</v>
      </c>
      <c r="C8" s="118">
        <v>20011156</v>
      </c>
      <c r="D8" s="118">
        <v>20011156</v>
      </c>
      <c r="E8" s="118"/>
      <c r="F8" s="129" t="s">
        <v>126</v>
      </c>
      <c r="G8" s="118">
        <v>10879779</v>
      </c>
      <c r="H8" s="118">
        <v>10879779</v>
      </c>
      <c r="I8" s="268">
        <v>2709621</v>
      </c>
      <c r="J8" s="810"/>
    </row>
    <row r="9" spans="1:10" ht="12.75" customHeight="1">
      <c r="A9" s="128" t="s">
        <v>9</v>
      </c>
      <c r="B9" s="129" t="s">
        <v>288</v>
      </c>
      <c r="C9" s="118"/>
      <c r="D9" s="118"/>
      <c r="E9" s="118">
        <v>1110200</v>
      </c>
      <c r="F9" s="129" t="s">
        <v>293</v>
      </c>
      <c r="G9" s="118"/>
      <c r="H9" s="118"/>
      <c r="I9" s="268"/>
      <c r="J9" s="810"/>
    </row>
    <row r="10" spans="1:10" ht="12.75" customHeight="1">
      <c r="A10" s="128" t="s">
        <v>10</v>
      </c>
      <c r="B10" s="129" t="s">
        <v>289</v>
      </c>
      <c r="C10" s="118"/>
      <c r="D10" s="118"/>
      <c r="E10" s="118"/>
      <c r="F10" s="129" t="s">
        <v>145</v>
      </c>
      <c r="G10" s="118"/>
      <c r="H10" s="118"/>
      <c r="I10" s="268"/>
      <c r="J10" s="810"/>
    </row>
    <row r="11" spans="1:10" ht="12.75" customHeight="1">
      <c r="A11" s="128" t="s">
        <v>11</v>
      </c>
      <c r="B11" s="129" t="s">
        <v>290</v>
      </c>
      <c r="C11" s="119"/>
      <c r="D11" s="119">
        <v>523800</v>
      </c>
      <c r="E11" s="119"/>
      <c r="F11" s="196"/>
      <c r="G11" s="118"/>
      <c r="H11" s="118"/>
      <c r="I11" s="268"/>
      <c r="J11" s="810"/>
    </row>
    <row r="12" spans="1:10" ht="12.75" customHeight="1">
      <c r="A12" s="128" t="s">
        <v>12</v>
      </c>
      <c r="B12" s="30"/>
      <c r="C12" s="118"/>
      <c r="D12" s="118"/>
      <c r="E12" s="118"/>
      <c r="F12" s="196"/>
      <c r="G12" s="118"/>
      <c r="H12" s="118"/>
      <c r="I12" s="268"/>
      <c r="J12" s="810"/>
    </row>
    <row r="13" spans="1:10" ht="12.75" customHeight="1">
      <c r="A13" s="128" t="s">
        <v>13</v>
      </c>
      <c r="B13" s="30"/>
      <c r="C13" s="118"/>
      <c r="D13" s="118"/>
      <c r="E13" s="118"/>
      <c r="F13" s="197"/>
      <c r="G13" s="118"/>
      <c r="H13" s="118"/>
      <c r="I13" s="268"/>
      <c r="J13" s="810"/>
    </row>
    <row r="14" spans="1:10" ht="12.75" customHeight="1">
      <c r="A14" s="128" t="s">
        <v>14</v>
      </c>
      <c r="B14" s="194"/>
      <c r="C14" s="119"/>
      <c r="D14" s="119"/>
      <c r="E14" s="119"/>
      <c r="F14" s="196"/>
      <c r="G14" s="118"/>
      <c r="H14" s="118"/>
      <c r="I14" s="268"/>
      <c r="J14" s="810"/>
    </row>
    <row r="15" spans="1:10" ht="12.75">
      <c r="A15" s="128" t="s">
        <v>15</v>
      </c>
      <c r="B15" s="30"/>
      <c r="C15" s="119"/>
      <c r="D15" s="119"/>
      <c r="E15" s="119"/>
      <c r="F15" s="196"/>
      <c r="G15" s="118"/>
      <c r="H15" s="118"/>
      <c r="I15" s="268"/>
      <c r="J15" s="810"/>
    </row>
    <row r="16" spans="1:10" ht="12.75" customHeight="1" thickBot="1">
      <c r="A16" s="164" t="s">
        <v>16</v>
      </c>
      <c r="B16" s="195"/>
      <c r="C16" s="166"/>
      <c r="D16" s="166"/>
      <c r="E16" s="166"/>
      <c r="F16" s="165" t="s">
        <v>36</v>
      </c>
      <c r="G16" s="274"/>
      <c r="H16" s="274"/>
      <c r="I16" s="272"/>
      <c r="J16" s="810"/>
    </row>
    <row r="17" spans="1:10" ht="15.75" customHeight="1" thickBot="1">
      <c r="A17" s="131" t="s">
        <v>17</v>
      </c>
      <c r="B17" s="59" t="s">
        <v>300</v>
      </c>
      <c r="C17" s="121">
        <f>+C6+C8+C9+C11+C12+C13+C14+C15+C16</f>
        <v>20011156</v>
      </c>
      <c r="D17" s="121">
        <f>+D6+D8+D9+D11+D12+D13+D14+D15+D16</f>
        <v>142735841</v>
      </c>
      <c r="E17" s="121">
        <f>+E6+E8+E9+E11+E12+E13+E14+E15+E16</f>
        <v>162184472</v>
      </c>
      <c r="F17" s="59" t="s">
        <v>301</v>
      </c>
      <c r="G17" s="121">
        <f>+G6+G8+G10+G11+G12+G13+G14+G15+G16</f>
        <v>20011156</v>
      </c>
      <c r="H17" s="121">
        <f>+H6+H8+H10+H11+H12+H13+H14+H15+H16</f>
        <v>150700619</v>
      </c>
      <c r="I17" s="149">
        <f>+I6+I8+I10+I11+I12+I13+I14+I15+I16</f>
        <v>140244473</v>
      </c>
      <c r="J17" s="810"/>
    </row>
    <row r="18" spans="1:10" ht="12.75" customHeight="1">
      <c r="A18" s="126" t="s">
        <v>18</v>
      </c>
      <c r="B18" s="139" t="s">
        <v>160</v>
      </c>
      <c r="C18" s="146">
        <f>+C19+C20+C21+C22+C23</f>
        <v>0</v>
      </c>
      <c r="D18" s="146">
        <f>+D19+D20+D21+D22+D23</f>
        <v>0</v>
      </c>
      <c r="E18" s="146">
        <f>+E19+E20+E21+E22+E23</f>
        <v>0</v>
      </c>
      <c r="F18" s="134" t="s">
        <v>130</v>
      </c>
      <c r="G18" s="275"/>
      <c r="H18" s="275"/>
      <c r="I18" s="273"/>
      <c r="J18" s="810"/>
    </row>
    <row r="19" spans="1:10" ht="12.75" customHeight="1">
      <c r="A19" s="128" t="s">
        <v>19</v>
      </c>
      <c r="B19" s="140" t="s">
        <v>149</v>
      </c>
      <c r="C19" s="48"/>
      <c r="D19" s="48"/>
      <c r="E19" s="48"/>
      <c r="F19" s="134" t="s">
        <v>133</v>
      </c>
      <c r="G19" s="48"/>
      <c r="H19" s="48"/>
      <c r="I19" s="271"/>
      <c r="J19" s="810"/>
    </row>
    <row r="20" spans="1:10" ht="12.75" customHeight="1">
      <c r="A20" s="126" t="s">
        <v>20</v>
      </c>
      <c r="B20" s="140" t="s">
        <v>150</v>
      </c>
      <c r="C20" s="48"/>
      <c r="D20" s="48"/>
      <c r="E20" s="48"/>
      <c r="F20" s="134" t="s">
        <v>104</v>
      </c>
      <c r="G20" s="48"/>
      <c r="H20" s="48"/>
      <c r="I20" s="271"/>
      <c r="J20" s="810"/>
    </row>
    <row r="21" spans="1:10" ht="12.75" customHeight="1">
      <c r="A21" s="128" t="s">
        <v>21</v>
      </c>
      <c r="B21" s="140" t="s">
        <v>151</v>
      </c>
      <c r="C21" s="48"/>
      <c r="D21" s="48"/>
      <c r="E21" s="48"/>
      <c r="F21" s="134" t="s">
        <v>105</v>
      </c>
      <c r="G21" s="48"/>
      <c r="H21" s="48"/>
      <c r="I21" s="271"/>
      <c r="J21" s="810"/>
    </row>
    <row r="22" spans="1:10" ht="12.75" customHeight="1">
      <c r="A22" s="126" t="s">
        <v>22</v>
      </c>
      <c r="B22" s="140" t="s">
        <v>152</v>
      </c>
      <c r="C22" s="48"/>
      <c r="D22" s="48"/>
      <c r="E22" s="48"/>
      <c r="F22" s="133" t="s">
        <v>148</v>
      </c>
      <c r="G22" s="48"/>
      <c r="H22" s="48"/>
      <c r="I22" s="271"/>
      <c r="J22" s="810"/>
    </row>
    <row r="23" spans="1:10" ht="12.75" customHeight="1">
      <c r="A23" s="128" t="s">
        <v>23</v>
      </c>
      <c r="B23" s="141" t="s">
        <v>153</v>
      </c>
      <c r="C23" s="48"/>
      <c r="D23" s="48"/>
      <c r="E23" s="48"/>
      <c r="F23" s="134" t="s">
        <v>134</v>
      </c>
      <c r="G23" s="48"/>
      <c r="H23" s="48"/>
      <c r="I23" s="271"/>
      <c r="J23" s="810"/>
    </row>
    <row r="24" spans="1:10" ht="12.75" customHeight="1">
      <c r="A24" s="126" t="s">
        <v>24</v>
      </c>
      <c r="B24" s="142" t="s">
        <v>154</v>
      </c>
      <c r="C24" s="136">
        <f>+C25+C26+C27+C28+C29</f>
        <v>0</v>
      </c>
      <c r="D24" s="136">
        <f>+D25+D26+D27+D28+D29</f>
        <v>0</v>
      </c>
      <c r="E24" s="136">
        <f>+E25+E26+E27+E28+E29</f>
        <v>0</v>
      </c>
      <c r="F24" s="143" t="s">
        <v>132</v>
      </c>
      <c r="G24" s="48"/>
      <c r="H24" s="48"/>
      <c r="I24" s="271"/>
      <c r="J24" s="810"/>
    </row>
    <row r="25" spans="1:10" ht="12.75" customHeight="1">
      <c r="A25" s="128" t="s">
        <v>25</v>
      </c>
      <c r="B25" s="141" t="s">
        <v>155</v>
      </c>
      <c r="C25" s="48"/>
      <c r="D25" s="48"/>
      <c r="E25" s="48"/>
      <c r="F25" s="143" t="s">
        <v>294</v>
      </c>
      <c r="G25" s="48"/>
      <c r="H25" s="48"/>
      <c r="I25" s="271"/>
      <c r="J25" s="810"/>
    </row>
    <row r="26" spans="1:10" ht="12.75" customHeight="1">
      <c r="A26" s="126" t="s">
        <v>26</v>
      </c>
      <c r="B26" s="141" t="s">
        <v>156</v>
      </c>
      <c r="C26" s="48"/>
      <c r="D26" s="48"/>
      <c r="E26" s="48"/>
      <c r="F26" s="138"/>
      <c r="G26" s="48"/>
      <c r="H26" s="48"/>
      <c r="I26" s="271"/>
      <c r="J26" s="810"/>
    </row>
    <row r="27" spans="1:10" ht="12.75" customHeight="1">
      <c r="A27" s="128" t="s">
        <v>27</v>
      </c>
      <c r="B27" s="140" t="s">
        <v>157</v>
      </c>
      <c r="C27" s="48"/>
      <c r="D27" s="48"/>
      <c r="E27" s="48"/>
      <c r="F27" s="57"/>
      <c r="G27" s="48"/>
      <c r="H27" s="48"/>
      <c r="I27" s="271"/>
      <c r="J27" s="810"/>
    </row>
    <row r="28" spans="1:10" ht="12.75" customHeight="1">
      <c r="A28" s="126" t="s">
        <v>28</v>
      </c>
      <c r="B28" s="144" t="s">
        <v>158</v>
      </c>
      <c r="C28" s="48"/>
      <c r="D28" s="48"/>
      <c r="E28" s="48"/>
      <c r="F28" s="30"/>
      <c r="G28" s="48"/>
      <c r="H28" s="48"/>
      <c r="I28" s="271"/>
      <c r="J28" s="810"/>
    </row>
    <row r="29" spans="1:10" ht="12.75" customHeight="1" thickBot="1">
      <c r="A29" s="128" t="s">
        <v>29</v>
      </c>
      <c r="B29" s="145" t="s">
        <v>159</v>
      </c>
      <c r="C29" s="48"/>
      <c r="D29" s="48"/>
      <c r="E29" s="48"/>
      <c r="F29" s="57"/>
      <c r="G29" s="48"/>
      <c r="H29" s="48"/>
      <c r="I29" s="271"/>
      <c r="J29" s="810"/>
    </row>
    <row r="30" spans="1:10" ht="21.75" customHeight="1" thickBot="1">
      <c r="A30" s="131" t="s">
        <v>30</v>
      </c>
      <c r="B30" s="59" t="s">
        <v>291</v>
      </c>
      <c r="C30" s="121">
        <f>+C18+C24</f>
        <v>0</v>
      </c>
      <c r="D30" s="121">
        <f>+D18+D24</f>
        <v>0</v>
      </c>
      <c r="E30" s="121">
        <f>+E18+E24</f>
        <v>0</v>
      </c>
      <c r="F30" s="59" t="s">
        <v>295</v>
      </c>
      <c r="G30" s="121">
        <f>SUM(G18:G29)</f>
        <v>0</v>
      </c>
      <c r="H30" s="121">
        <f>SUM(H18:H29)</f>
        <v>0</v>
      </c>
      <c r="I30" s="149">
        <f>SUM(I18:I29)</f>
        <v>0</v>
      </c>
      <c r="J30" s="810"/>
    </row>
    <row r="31" spans="1:10" ht="13.5" thickBot="1">
      <c r="A31" s="131" t="s">
        <v>31</v>
      </c>
      <c r="B31" s="137" t="s">
        <v>296</v>
      </c>
      <c r="C31" s="307">
        <f>+C17+C30</f>
        <v>20011156</v>
      </c>
      <c r="D31" s="307">
        <f>+D17+D30</f>
        <v>142735841</v>
      </c>
      <c r="E31" s="308">
        <f>+E17+E30</f>
        <v>162184472</v>
      </c>
      <c r="F31" s="137" t="s">
        <v>297</v>
      </c>
      <c r="G31" s="307">
        <f>+G17+G30</f>
        <v>20011156</v>
      </c>
      <c r="H31" s="307">
        <f>+H17+H30</f>
        <v>150700619</v>
      </c>
      <c r="I31" s="308">
        <f>+I17+I30</f>
        <v>140244473</v>
      </c>
      <c r="J31" s="810"/>
    </row>
    <row r="32" spans="1:10" ht="13.5" thickBot="1">
      <c r="A32" s="131" t="s">
        <v>32</v>
      </c>
      <c r="B32" s="137" t="s">
        <v>108</v>
      </c>
      <c r="C32" s="307" t="str">
        <f>IF(C17-G17&lt;0,G17-C17,"-")</f>
        <v>-</v>
      </c>
      <c r="D32" s="307">
        <f>IF(D17-H17&lt;0,H17-D17,"-")</f>
        <v>7964778</v>
      </c>
      <c r="E32" s="308" t="str">
        <f>IF(E17-I17&lt;0,I17-E17,"-")</f>
        <v>-</v>
      </c>
      <c r="F32" s="137" t="s">
        <v>109</v>
      </c>
      <c r="G32" s="307" t="str">
        <f>IF(C17-G17&gt;0,C17-G17,"-")</f>
        <v>-</v>
      </c>
      <c r="H32" s="307" t="str">
        <f>IF(D17-H17&gt;0,D17-H17,"-")</f>
        <v>-</v>
      </c>
      <c r="I32" s="308">
        <f>IF(E17-I17&gt;0,E17-I17,"-")</f>
        <v>21939999</v>
      </c>
      <c r="J32" s="810"/>
    </row>
    <row r="33" spans="1:10" ht="13.5" thickBot="1">
      <c r="A33" s="131" t="s">
        <v>33</v>
      </c>
      <c r="B33" s="137" t="s">
        <v>488</v>
      </c>
      <c r="C33" s="307" t="str">
        <f>IF(C31-G31&lt;0,G31-C31,"-")</f>
        <v>-</v>
      </c>
      <c r="D33" s="307">
        <f>IF(D31-H31&lt;0,H31-D31,"-")</f>
        <v>7964778</v>
      </c>
      <c r="E33" s="307" t="str">
        <f>IF(E31-I31&lt;0,I31-E31,"-")</f>
        <v>-</v>
      </c>
      <c r="F33" s="137" t="s">
        <v>489</v>
      </c>
      <c r="G33" s="307" t="str">
        <f>IF(C31-G31&gt;0,C31-G31,"-")</f>
        <v>-</v>
      </c>
      <c r="H33" s="307" t="str">
        <f>IF(D31-H31&gt;0,D31-H31,"-")</f>
        <v>-</v>
      </c>
      <c r="I33" s="307">
        <f>IF(E31-I31&gt;0,E31-I31,"-")</f>
        <v>21939999</v>
      </c>
      <c r="J33" s="810"/>
    </row>
  </sheetData>
  <sheetProtection sheet="1" formatCells="0"/>
  <mergeCells count="2">
    <mergeCell ref="A3:A4"/>
    <mergeCell ref="J1:J33"/>
  </mergeCells>
  <printOptions horizontalCentered="1"/>
  <pageMargins left="0.7874015748031497" right="0.7874015748031497" top="0.4724409448818898" bottom="0.7874015748031497" header="0.4724409448818898" footer="0.7874015748031497"/>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Makranczi László</dc:creator>
  <cp:keywords/>
  <dc:description/>
  <cp:lastModifiedBy>Felhasználó</cp:lastModifiedBy>
  <cp:lastPrinted>2020-06-18T07:43:59Z</cp:lastPrinted>
  <dcterms:created xsi:type="dcterms:W3CDTF">1999-10-30T10:30:45Z</dcterms:created>
  <dcterms:modified xsi:type="dcterms:W3CDTF">2020-07-21T09:02:02Z</dcterms:modified>
  <cp:category/>
  <cp:version/>
  <cp:contentType/>
  <cp:contentStatus/>
</cp:coreProperties>
</file>