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8" activeTab="14"/>
  </bookViews>
  <sheets>
    <sheet name="1.1.sz.mell. " sheetId="1" r:id="rId1"/>
    <sheet name="1.2.sz.mell. " sheetId="2" r:id="rId2"/>
    <sheet name="1.3.sz.mell." sheetId="3" r:id="rId3"/>
    <sheet name="2.1.sz.mell " sheetId="4" r:id="rId4"/>
    <sheet name="2.2.sz.mell ." sheetId="5" r:id="rId5"/>
    <sheet name="4.sz.mell." sheetId="6" r:id="rId6"/>
    <sheet name="6.sz.mell. " sheetId="7" r:id="rId7"/>
    <sheet name="7.sz.mell." sheetId="8" r:id="rId8"/>
    <sheet name="9.1. sz. mell." sheetId="9" r:id="rId9"/>
    <sheet name="9.1.1. sz. mell. " sheetId="10" r:id="rId10"/>
    <sheet name="9.1.2. sz. mell." sheetId="11" r:id="rId11"/>
    <sheet name="tartalék" sheetId="12" r:id="rId12"/>
    <sheet name="1.sz tájékoztató t " sheetId="13" r:id="rId13"/>
    <sheet name="4.sz tájékoztató t " sheetId="14" r:id="rId14"/>
    <sheet name="feladatos Önk. " sheetId="15" r:id="rId15"/>
  </sheets>
  <externalReferences>
    <externalReference r:id="rId18"/>
  </externalReferences>
  <definedNames>
    <definedName name="_xlfn.IFERROR" hidden="1">#NAME?</definedName>
    <definedName name="_xlnm.Print_Titles" localSheetId="8">'9.1. sz. mell.'!$1:$6</definedName>
    <definedName name="_xlnm.Print_Titles" localSheetId="9">'9.1.1. sz. mell. '!$1:$6</definedName>
    <definedName name="_xlnm.Print_Titles" localSheetId="10">'9.1.2. sz. mell.'!$1:$6</definedName>
    <definedName name="_xlnm.Print_Area" localSheetId="0">'1.1.sz.mell. '!$A$1:$C$159</definedName>
    <definedName name="_xlnm.Print_Area" localSheetId="1">'1.2.sz.mell. '!$A$1:$C$159</definedName>
    <definedName name="_xlnm.Print_Area" localSheetId="2">'1.3.sz.mell.'!$A$1:$C$159</definedName>
  </definedNames>
  <calcPr fullCalcOnLoad="1"/>
</workbook>
</file>

<file path=xl/sharedStrings.xml><?xml version="1.0" encoding="utf-8"?>
<sst xmlns="http://schemas.openxmlformats.org/spreadsheetml/2006/main" count="2691" uniqueCount="612">
  <si>
    <t>Kornisné Központban fúrógép beszerzés</t>
  </si>
  <si>
    <t>Támogatási tartalék ( EÜ Kft:13.814 eFt,Nyírs.Tiszk:163 eFt,Nyírv.K.K.: 4.568 eFt)</t>
  </si>
  <si>
    <t>Fizikoterápiás szolgáltatás</t>
  </si>
  <si>
    <t>Tervek készítése</t>
  </si>
  <si>
    <t>Karácsonyi díszbeszerzés</t>
  </si>
  <si>
    <t>Tiszavasvári, Sopron u. 2. kút tervezés</t>
  </si>
  <si>
    <t>Tiszavasvári, Sopron u. 1. kút vízóra beépítés</t>
  </si>
  <si>
    <t>Közfoglalkoztatási saját erő tartalék</t>
  </si>
  <si>
    <t>adatok: Ft-ban</t>
  </si>
  <si>
    <t>Közfoglalkoztatási támogatás visszafizetés</t>
  </si>
  <si>
    <t>Közutak üzemeltetése - Polgár Coop előtt padka javítás</t>
  </si>
  <si>
    <t>Pályázati tartalék - Kabay konyha rekonstrukció</t>
  </si>
  <si>
    <t xml:space="preserve">- Temető üzemeltetési tartalék: 200 eFt Sírbolt értékesítés: 5.000 eFt </t>
  </si>
  <si>
    <t>Pályázati önerő: közművelődés: 200 eFt, könyvtári: 200 eFt</t>
  </si>
  <si>
    <t>2016. évi módosított előirányzat</t>
  </si>
  <si>
    <t>Helyi adók</t>
  </si>
  <si>
    <t>Jövedelem adó</t>
  </si>
  <si>
    <t>Vagyoni típusú adók</t>
  </si>
  <si>
    <t xml:space="preserve">Hosszabb id. közfogl. </t>
  </si>
  <si>
    <t>Beruházási (felhalmozási) kiadások előirányzata beruházásonként</t>
  </si>
  <si>
    <t>Felújítási kiadások előirányzata felújításonként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</si>
  <si>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</si>
  <si>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</si>
  <si>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</si>
  <si>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</si>
  <si>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</si>
  <si>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</si>
  <si>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</si>
  <si>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</si>
  <si>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</si>
  <si>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</si>
  <si>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</si>
  <si>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</si>
  <si>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</si>
  <si>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</si>
  <si>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</si>
  <si>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</si>
  <si>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</si>
  <si>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</si>
  <si>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</si>
  <si>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</si>
  <si>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</si>
  <si>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</si>
  <si>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</si>
  <si>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</si>
  <si>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</si>
  <si>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</si>
  <si>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</si>
  <si>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</si>
  <si>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</si>
  <si>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</si>
  <si>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</si>
  <si>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</si>
  <si>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</si>
  <si>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</si>
  <si>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</si>
  <si>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</si>
  <si>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</si>
  <si>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</si>
  <si>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</si>
  <si>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Összesen:</t>
  </si>
  <si>
    <t>01</t>
  </si>
  <si>
    <t>Előirányzat-csoport, kiemelt előirányzat megnevezése</t>
  </si>
  <si>
    <t>Előirányzat</t>
  </si>
  <si>
    <t>Bevételek</t>
  </si>
  <si>
    <t>Kiadások</t>
  </si>
  <si>
    <t>Általános tartalék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</si>
  <si>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</si>
  <si>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</si>
  <si>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</si>
  <si>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</si>
  <si>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</si>
  <si>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</si>
  <si>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</si>
  <si>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</si>
  <si>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</si>
  <si>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</si>
  <si>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</si>
  <si>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</si>
  <si>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</si>
  <si>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</si>
  <si>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</si>
  <si>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</si>
  <si>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</si>
  <si>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</si>
  <si>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</si>
  <si>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</si>
  <si>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</si>
  <si>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</si>
  <si>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</si>
  <si>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</si>
  <si>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</si>
  <si>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</si>
  <si>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</si>
  <si>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</si>
  <si>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</si>
  <si>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</si>
  <si>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</si>
  <si>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</si>
  <si>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</si>
  <si>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</si>
  <si>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</si>
  <si>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</si>
  <si>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</si>
  <si>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</si>
  <si>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</si>
  <si>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</si>
  <si>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</si>
  <si>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</si>
  <si>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</si>
  <si>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</si>
  <si>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</si>
  <si>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</si>
  <si>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</si>
  <si>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</si>
  <si>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</si>
  <si>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</si>
  <si>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</si>
  <si>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</si>
  <si>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</si>
  <si>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</si>
  <si>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</si>
  <si>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</si>
  <si>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</si>
  <si>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</si>
  <si>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</si>
  <si>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</si>
  <si>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</si>
  <si>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</si>
  <si>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</si>
  <si>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</si>
  <si>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</si>
  <si>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</si>
  <si>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</si>
  <si>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</si>
  <si>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</si>
  <si>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</si>
  <si>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</si>
  <si>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</si>
  <si>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</si>
  <si>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</si>
  <si>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</si>
  <si>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</si>
  <si>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</si>
  <si>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</si>
  <si>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</si>
  <si>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</si>
  <si>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</si>
  <si>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</si>
  <si>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</si>
  <si>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</si>
  <si>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</si>
  <si>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</si>
  <si>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</si>
  <si>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</si>
  <si>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</si>
  <si>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</si>
  <si>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</si>
  <si>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</si>
  <si>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</si>
  <si>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</si>
  <si>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</si>
  <si>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</si>
  <si>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SAJÁT BEVÉTELEK ÖSSZESEN*</t>
  </si>
  <si>
    <t>Feladat megnevezése</t>
  </si>
  <si>
    <t>Száma</t>
  </si>
  <si>
    <t>Közfoglalkoztatottak létszáma (fő)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</si>
  <si>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</si>
  <si>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</si>
  <si>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</si>
  <si>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</si>
  <si>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</si>
  <si>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</si>
  <si>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</si>
  <si>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</si>
  <si>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</si>
  <si>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</si>
  <si>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</si>
  <si>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</si>
  <si>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</si>
  <si>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</si>
  <si>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</si>
  <si>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</si>
  <si>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</si>
  <si>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</si>
  <si>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</si>
  <si>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</si>
  <si>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</si>
  <si>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</si>
  <si>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</si>
  <si>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</si>
  <si>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</si>
  <si>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Bírság-, pótlék- és díjbevétel</t>
  </si>
  <si>
    <t>Tárgyi eszköz és az immateriális jószág, részvény, részesedés, vállalat értékesítéséből vagy privatizációból származó bevétel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</si>
  <si>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</si>
  <si>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</si>
  <si>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</si>
  <si>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</si>
  <si>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</si>
  <si>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</si>
  <si>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</si>
  <si>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</si>
  <si>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</si>
  <si>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</si>
  <si>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</si>
  <si>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</si>
  <si>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</si>
  <si>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</si>
  <si>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</si>
  <si>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</si>
  <si>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</si>
  <si>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</si>
  <si>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</si>
  <si>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</si>
  <si>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</si>
  <si>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</si>
  <si>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</si>
  <si>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</si>
  <si>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</si>
  <si>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</si>
  <si>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</si>
  <si>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</si>
  <si>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</si>
  <si>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</si>
  <si>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</si>
  <si>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</si>
  <si>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</si>
  <si>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</si>
  <si>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</si>
  <si>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</si>
  <si>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</si>
  <si>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</si>
  <si>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</si>
  <si>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</si>
  <si>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</si>
  <si>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</si>
  <si>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</si>
  <si>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</si>
  <si>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</si>
  <si>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</si>
  <si>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</si>
  <si>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</si>
  <si>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</si>
  <si>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</si>
  <si>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</si>
  <si>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</si>
  <si>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</si>
  <si>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</si>
  <si>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</si>
  <si>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</si>
  <si>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</si>
  <si>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</si>
  <si>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</si>
  <si>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</si>
  <si>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</si>
  <si>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</si>
  <si>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</si>
  <si>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</si>
  <si>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</si>
  <si>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</si>
  <si>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</si>
  <si>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</si>
  <si>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</si>
  <si>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</si>
  <si>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</si>
  <si>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</si>
  <si>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</si>
  <si>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</si>
  <si>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</si>
  <si>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</si>
  <si>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</si>
  <si>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</si>
  <si>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</si>
  <si>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</si>
  <si>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</si>
  <si>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</si>
  <si>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</si>
  <si>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</si>
  <si>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</si>
  <si>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</si>
  <si>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</si>
  <si>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</si>
  <si>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</si>
  <si>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</si>
  <si>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</si>
  <si>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</si>
  <si>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</si>
  <si>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</si>
  <si>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</si>
  <si>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</si>
  <si>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</si>
  <si>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</si>
  <si>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</si>
  <si>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</si>
  <si>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</si>
  <si>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</si>
  <si>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</si>
  <si>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</si>
  <si>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</si>
  <si>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</si>
  <si>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</si>
  <si>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</si>
  <si>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</si>
  <si>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</si>
  <si>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</si>
  <si>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</si>
  <si>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</si>
  <si>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</si>
  <si>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</si>
  <si>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</si>
  <si>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</si>
  <si>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</si>
  <si>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</si>
  <si>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</si>
  <si>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</si>
  <si>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</si>
  <si>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</si>
  <si>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</si>
  <si>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</si>
  <si>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</si>
  <si>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</si>
  <si>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</si>
  <si>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</si>
  <si>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</si>
  <si>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</si>
  <si>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</si>
  <si>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</si>
  <si>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</si>
  <si>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</si>
  <si>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</si>
  <si>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</si>
  <si>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</si>
  <si>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</si>
  <si>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</si>
  <si>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</si>
  <si>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</si>
  <si>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</si>
  <si>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</si>
  <si>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</si>
  <si>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</si>
  <si>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</si>
  <si>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</si>
  <si>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</si>
  <si>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</si>
  <si>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</si>
  <si>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</si>
  <si>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</si>
  <si>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</si>
  <si>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Felhalmozási célú átvett pénzeszközök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</si>
  <si>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</si>
  <si>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</si>
  <si>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</si>
  <si>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</si>
  <si>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</si>
  <si>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</si>
  <si>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</si>
  <si>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</si>
  <si>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</si>
  <si>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</si>
  <si>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</si>
  <si>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</si>
  <si>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Osztalék, a koncessziós díj és a hozambevétel</t>
  </si>
  <si>
    <t xml:space="preserve">Tiszavasvári Város Önkormányzata </t>
  </si>
  <si>
    <t>adatok: eFt-ban</t>
  </si>
  <si>
    <t>Céltartalékok:</t>
  </si>
  <si>
    <t>- Normatíva visszafizetés miatti tartalék</t>
  </si>
  <si>
    <t>Céltartalékok összesen:</t>
  </si>
  <si>
    <t>Pénzforgalom nélküli kiadások összesen:</t>
  </si>
  <si>
    <t>Felhalm.</t>
  </si>
  <si>
    <t>finansz.</t>
  </si>
  <si>
    <t>kiad.</t>
  </si>
  <si>
    <t>Kötelezettségvállalással terhelt záró pénzkészlet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</si>
  <si>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</si>
  <si>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</si>
  <si>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</si>
  <si>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</si>
  <si>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</si>
  <si>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</si>
  <si>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</si>
  <si>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</si>
  <si>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</si>
  <si>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</si>
  <si>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</si>
  <si>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</si>
  <si>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</si>
  <si>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</si>
  <si>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</si>
  <si>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</si>
  <si>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</si>
  <si>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</si>
  <si>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</si>
  <si>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</si>
  <si>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</si>
  <si>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</si>
  <si>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</si>
  <si>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Köztemetés</t>
  </si>
  <si>
    <t>Civil szervezetek működési támogatása</t>
  </si>
  <si>
    <t>Önkormányzati vagyonnal való gazdálkodás</t>
  </si>
  <si>
    <t>- Le: intézményi támogatás</t>
  </si>
  <si>
    <t>Közhat.</t>
  </si>
  <si>
    <t>Tartalék</t>
  </si>
  <si>
    <t>Szennyvízcsat. építése, fenntartása, üzemeltetése</t>
  </si>
  <si>
    <t>Pályázat- és támogatáskezelés, ellenőrzés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</si>
  <si>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</si>
  <si>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</si>
  <si>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</si>
  <si>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</si>
  <si>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</si>
  <si>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</si>
  <si>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>Kiemelt állami és önkormányzati rendezvények</t>
  </si>
  <si>
    <t>Fertőző megbetegedések megelőzése</t>
  </si>
  <si>
    <t>Tiszavasvári Város Önkormányzata saját bevételeinek részletezése az adósságot keletkeztető ügyletből származó tárgyévi fizetési kötelezettség megállapításához</t>
  </si>
  <si>
    <t>Közgfoglalkoztatás - téli és egyéb értékteremtő</t>
  </si>
  <si>
    <t>Nem veszélyes hulladék kezelése, ártalmatlanítása</t>
  </si>
  <si>
    <t>A</t>
  </si>
  <si>
    <t>B</t>
  </si>
  <si>
    <t>C</t>
  </si>
  <si>
    <t xml:space="preserve">Működési célú kvi támogatások és kiegészítő támogatások </t>
  </si>
  <si>
    <t>Elszámolásból származó bevételek</t>
  </si>
  <si>
    <t>Helyi adók  (4.1.1.+...+4.1.3.)</t>
  </si>
  <si>
    <t>4.1.3.</t>
  </si>
  <si>
    <t>- Értékesítési és forgalmi adók (iparűzési adó)</t>
  </si>
  <si>
    <t>Működési bevételek (5.1.+…+ 5.11.)</t>
  </si>
  <si>
    <t>Biztosító által fizetett kártérítés</t>
  </si>
  <si>
    <t>5.11.</t>
  </si>
  <si>
    <t xml:space="preserve">   9.</t>
  </si>
  <si>
    <t xml:space="preserve">   Rövid lejáratú  hitelek, kölcsönök felvétele</t>
  </si>
  <si>
    <t>Váltóbevételek</t>
  </si>
  <si>
    <t>FINANSZÍROZÁSI BEVÉTELEK ÖSSZESEN: (10. + … +16.)</t>
  </si>
  <si>
    <t xml:space="preserve">    18.</t>
  </si>
  <si>
    <t>KÖLTSÉGVETÉSI ÉS FINANSZÍROZÁSI BEVÉTELEK ÖSSZESEN: (9+17)</t>
  </si>
  <si>
    <t xml:space="preserve"> - az 1.5-ből: - Előző évi elszámolásból származó befizetések</t>
  </si>
  <si>
    <t xml:space="preserve">   - Törvényi előíráson alapuló befizetések</t>
  </si>
  <si>
    <t xml:space="preserve">   - Elvonások és befizetések</t>
  </si>
  <si>
    <t>1.16.</t>
  </si>
  <si>
    <t>1.17.</t>
  </si>
  <si>
    <t>1.18.</t>
  </si>
  <si>
    <t>1.19.</t>
  </si>
  <si>
    <t xml:space="preserve"> - az 1.18-ból: - Általános tartalék</t>
  </si>
  <si>
    <t>1.20.</t>
  </si>
  <si>
    <t xml:space="preserve">   - Céltartalék</t>
  </si>
  <si>
    <t>KÖLTSÉGVETÉSI KIADÁSOK ÖSSZESEN (1+2)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</si>
  <si>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</si>
  <si>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</si>
  <si>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</si>
  <si>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</si>
  <si>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</si>
  <si>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</si>
  <si>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</si>
  <si>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</si>
  <si>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</si>
  <si>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</si>
  <si>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</si>
  <si>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</si>
  <si>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</si>
  <si>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</si>
  <si>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</si>
  <si>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</si>
  <si>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</si>
  <si>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</si>
  <si>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</si>
  <si>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</si>
  <si>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</si>
  <si>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</si>
  <si>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FINANSZÍROZÁSI KIADÁSOK ÖSSZESEN: (4.+…+9.)</t>
  </si>
  <si>
    <t>KIADÁSOK ÖSSZESEN: (3.+10.)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</si>
  <si>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</si>
  <si>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</si>
  <si>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</si>
  <si>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D</t>
  </si>
  <si>
    <t>E</t>
  </si>
  <si>
    <t>6.-ból EU-s támogatás (közvetlen)</t>
  </si>
  <si>
    <t>Költségvetési bevételek összesen (1.+2.+4.+5.+6.+8.+…+12.)</t>
  </si>
  <si>
    <t xml:space="preserve">   Értékpapírok bevételei</t>
  </si>
  <si>
    <t>Működési célú finanszírozási bevételek összesen (14.+19.+22.+23.)</t>
  </si>
  <si>
    <t>Működési célú finanszírozási kiadások összesen (14.+...+23.)</t>
  </si>
  <si>
    <t>BEVÉTEL ÖSSZESEN (13.+24.)</t>
  </si>
  <si>
    <t>KIADÁSOK ÖSSZESEN (13.+24.)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</si>
  <si>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</si>
  <si>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</si>
  <si>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</si>
  <si>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</si>
  <si>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</si>
  <si>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</si>
  <si>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</si>
  <si>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</si>
  <si>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</si>
  <si>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t>Hosszú lejáratú hitelek, kölcsönök törlesztése</t>
  </si>
  <si>
    <t>Rövid lejáratú hitelek, kölcsönök törlesztése</t>
  </si>
  <si>
    <t>Éven belüli lejáatú belföldi értékpapírok beváltása</t>
  </si>
  <si>
    <t>Belföldi finanszírozás kiadásai (6.1. + … + 6.5.)</t>
  </si>
  <si>
    <t>Központi, irányító szervi támogatás</t>
  </si>
  <si>
    <t>Hitelek, kölcsönök törlesztése külföldi kormányoknak nemz. szervezeteknek</t>
  </si>
  <si>
    <t>Éves tervezett létszám előirányzat (fő)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</si>
  <si>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</si>
  <si>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- Lakásfelújítási Alap ( felhalmozási)</t>
  </si>
  <si>
    <t>Települési hulladék vegyes begyűjtése</t>
  </si>
  <si>
    <t>Növénytermesztés, állattenyésztés</t>
  </si>
  <si>
    <t>- Talajterhelési díj, helyszíni bírság, term. SZJA</t>
  </si>
  <si>
    <t>Kábítószer-megelőzés programjai</t>
  </si>
  <si>
    <t>Települési támogatás</t>
  </si>
  <si>
    <t>Helyi és települési adók</t>
  </si>
  <si>
    <t>Kezesség- illetve garanciavállalással kapcsolatos megtérülés</t>
  </si>
  <si>
    <t xml:space="preserve"> Értékesítési és forgalmi adók</t>
  </si>
  <si>
    <t>Jövedelemadó</t>
  </si>
  <si>
    <t>4.3</t>
  </si>
  <si>
    <t>4.5.</t>
  </si>
  <si>
    <t>Értékesítési és forgalmi adók</t>
  </si>
  <si>
    <t>Maradvány</t>
  </si>
  <si>
    <t>Zöldliget áram kiépítés</t>
  </si>
  <si>
    <t>Közvilágítási hálózat fejlesztés</t>
  </si>
  <si>
    <t>Rászoruló étkeztetési céltartalék</t>
  </si>
  <si>
    <t>Talaj és talajvíz szennyeződésmentesítése</t>
  </si>
  <si>
    <t>Út-, autópálya építés</t>
  </si>
  <si>
    <t>Intézményen kívüli gyermekétkeztetés</t>
  </si>
  <si>
    <t>Kamatbevételek és más nyereség jellegű bevételek</t>
  </si>
  <si>
    <t>Önkormányzatok szociális, gyermekjóléti és étkeztetési  feladatainak támogatása</t>
  </si>
  <si>
    <t>Kamatbevételek és nyereség jellegű bevételek</t>
  </si>
  <si>
    <t>Önkormányzatok szociális, gyermekjóléti és étkeztetési feladatainak támogatása</t>
  </si>
  <si>
    <t>Államháztartáson belüli megelőlegezés visszafizetése</t>
  </si>
  <si>
    <t>4.6.</t>
  </si>
  <si>
    <t>4.7.</t>
  </si>
  <si>
    <t>Kamatbevételek és más nyereségjellegű bevételek</t>
  </si>
  <si>
    <t>Hitel-, kölcsönfelvétel államháztartáson kívülről  (10.1.+…+10.3.)</t>
  </si>
  <si>
    <t>2017. évi előirányzat</t>
  </si>
  <si>
    <t>2017</t>
  </si>
  <si>
    <t>Felhasználás
2016. XII.31-ig</t>
  </si>
  <si>
    <t xml:space="preserve">
2017. év utáni szükséglet
</t>
  </si>
  <si>
    <t>2017. év utáni szükséglet
(6=2 - 4 - 5)</t>
  </si>
  <si>
    <t xml:space="preserve">2017. évi költségvetésében rendelkezésre álló tartalékok </t>
  </si>
  <si>
    <t>Előirányzat-felhasználási terv
2017 évre</t>
  </si>
  <si>
    <t>Az önkormányzat 2017. évi költségvetésének</t>
  </si>
  <si>
    <t>2017 év</t>
  </si>
  <si>
    <t>2017. év</t>
  </si>
  <si>
    <t>Forintban</t>
  </si>
  <si>
    <t>Forintban !</t>
  </si>
  <si>
    <t>Az önkormányzati vagyon és az önkormányzatot megillető vagyoni értékű jog értékesítéséből és hasznosításából származó bevétel - tulajdonosi bevétel</t>
  </si>
  <si>
    <t>Az önkormányzati vagyon és az önkormányzatot megillető vagyoni értékű jog értékesítéséből és hasznosításából származó bevétel - hasznosítás bevétele (szolgáltatás)</t>
  </si>
  <si>
    <t xml:space="preserve">Kornisné Központban fűtéskorszerüsítés </t>
  </si>
  <si>
    <t>Petőfi utca járda építés és tervezés</t>
  </si>
  <si>
    <t>Pongrátz Gergely szobor</t>
  </si>
  <si>
    <t>Kabay konyha felújítás</t>
  </si>
  <si>
    <t>Közlekedési táblák beszerzése</t>
  </si>
  <si>
    <t>Kossuth L. utca 3. 1/6. - villany és fűtés felújítás</t>
  </si>
  <si>
    <t>Vasvári P. utca 6. lépcsőházi ablakcsere</t>
  </si>
  <si>
    <t>Varázsceruza óvaóda elektromos felújítás</t>
  </si>
  <si>
    <t>Extrém sportpályán 1 elem felújítás</t>
  </si>
  <si>
    <t>Vadkamera beszerzés</t>
  </si>
  <si>
    <t>Kamera rendszer kiépítés</t>
  </si>
  <si>
    <t>Játszótéri eszközök létesítése</t>
  </si>
  <si>
    <t>Kábítószerügyi Egyeztető Fórum egyéb tárgyi eszk. besz.</t>
  </si>
  <si>
    <t>Gyalogátkelőhely kivitelezés + megvilágítás</t>
  </si>
  <si>
    <t xml:space="preserve"> Forintban !</t>
  </si>
  <si>
    <t>Szennyvíz rákötés</t>
  </si>
  <si>
    <t>Önkormányzati vagyonnal való gazd. (Pályázatok)</t>
  </si>
  <si>
    <t>Oktatás, közművelődés</t>
  </si>
  <si>
    <t>Gyermekek átmeneti ellátása</t>
  </si>
  <si>
    <t>Közfoglalkotatási mintaprogramok</t>
  </si>
  <si>
    <t>Önk</t>
  </si>
  <si>
    <t>PH</t>
  </si>
  <si>
    <t>INT</t>
  </si>
  <si>
    <t>- Üdülő VKT bevétel terhére kiadási tartalék</t>
  </si>
  <si>
    <t>Ütéscsillapító gumiszőnyeg vásárlás (Egyesített Óvodai Int.)</t>
  </si>
  <si>
    <t>Udvari játéktároló beszerzés (Egyesített Óvodai Int.)</t>
  </si>
  <si>
    <t>Nagyteljesítményű takarítógép beszerzés (Egy.Óvodai Int)</t>
  </si>
  <si>
    <t>5 db laptop vásárlás (Egyesített Óvodai Int.)</t>
  </si>
  <si>
    <t>1 db nyomtató beszerzés (Városi Kincstár)</t>
  </si>
  <si>
    <t>6 db forgószék beszerzés (Városi Kincstár)</t>
  </si>
  <si>
    <t>Irattári szekrény készítés (Városi Kincstár)</t>
  </si>
  <si>
    <t>5 db telefon beszerzés (Városi Kincstár)</t>
  </si>
  <si>
    <t>2 db iratmegsemmisítő vásárlás (Városi Kincstár)</t>
  </si>
  <si>
    <t>1 db alkoholszonda beszerzés (Városi Kincstár)</t>
  </si>
  <si>
    <t>10 db ügyfélszék beszerzés (Városi Kincstár)</t>
  </si>
  <si>
    <t>1 db klíma beszerzés (Városi Kincstár)</t>
  </si>
  <si>
    <t>1 db nyomtató-fénymásoló beszerzés (EKIK)</t>
  </si>
  <si>
    <t>1 db számítógép beszerzés (EKIK)</t>
  </si>
  <si>
    <t>1 db hordozható CD lejátszó (EKIK)</t>
  </si>
  <si>
    <t>1 db projektor tartó (EKIK)</t>
  </si>
  <si>
    <t>1 db projektorhoz wireless (EKIK)</t>
  </si>
  <si>
    <t>5 db irodai forgószék (EKIK)</t>
  </si>
  <si>
    <t>1 db ruhatári fogasrendszer (EKIK)</t>
  </si>
  <si>
    <t>Könyvtári könyvek beszerzése (EKIK)</t>
  </si>
  <si>
    <t>1 db monitor beszerzése (Kornisné Központ)</t>
  </si>
  <si>
    <t>1 db EKG készülék vásárlás  (Kornisné Központ)</t>
  </si>
  <si>
    <t>10 db RR.mérő vásárlás (Kornisné Központ)</t>
  </si>
  <si>
    <t>3 db négyfunkciós ápolási ágy vásárlás (Kornisné)</t>
  </si>
  <si>
    <t>1 db gépkocsi vásárlás fogyatékos ellátásra (Kornisné)</t>
  </si>
  <si>
    <t>1 db konyhai rozsdamentes platform (Kornisné)</t>
  </si>
  <si>
    <t>1 db ipari habverő fej (Kornisné Központ)</t>
  </si>
  <si>
    <t>2 db forgószék vásárlás (Kornisné Központ)</t>
  </si>
  <si>
    <t>1 db íróasztal és szék vásárlás  (Kornisné Központ)</t>
  </si>
  <si>
    <t>1 db elektromos sütő (Tiszavasvári Bölcsőde)</t>
  </si>
  <si>
    <t>Falikép vásárlása (Polg.hiv.)</t>
  </si>
  <si>
    <t>Függöny vásárlás (Polg. Hiv.)</t>
  </si>
  <si>
    <t>Klíma (Polg. Hiv.)</t>
  </si>
  <si>
    <t>Szék/Bútor (Polg. Hiv.)</t>
  </si>
  <si>
    <t>Vasajtó (Polg. Hiv.)</t>
  </si>
  <si>
    <t>Iratmegsemmisítő (Polg. Hiv.)</t>
  </si>
  <si>
    <t>Sinology NAS + 2db merevlemez (Polg. Hiv.)</t>
  </si>
  <si>
    <t>Notebook (Polg. Hiv.)</t>
  </si>
  <si>
    <t>Multif. nyomtató (Polg. Hiv.)</t>
  </si>
  <si>
    <t>Class ranger felújítás (Városi Kincstár)</t>
  </si>
  <si>
    <t>SZ-11M/01/003761-4/2017 közf. progr. egyéb t. eszk besz</t>
  </si>
  <si>
    <t>SZ-11M/01/003767-4/2017 közf. progr. egyéb t. eszk besz</t>
  </si>
  <si>
    <t>SZ-11M/01/003767-4/2017 közf. progr. ing. besz. lét.</t>
  </si>
  <si>
    <t>SZ-11M/01/003768-4/2017 közf. progr. egyéb t. eszk besz</t>
  </si>
  <si>
    <t>SZ-11M/01/003765-4/2017 közf. progr. egyéb t. eszk besz</t>
  </si>
  <si>
    <t>SZ-11M/01/003764-4/2017 közf. progr. egyéb t. eszk besz</t>
  </si>
  <si>
    <t>SZ-11M/01/003766-4/2017 közf. progr. egyéb t. eszk besz</t>
  </si>
  <si>
    <t>Víziközmű rendszeren végrehajtandó beruházás</t>
  </si>
  <si>
    <t>Víziközmű rendszeren végrehajtandó felújítás</t>
  </si>
  <si>
    <t>Járóbetegek gyógyító szakellátása</t>
  </si>
</sst>
</file>

<file path=xl/styles.xml><?xml version="1.0" encoding="utf-8"?>
<styleSheet xmlns="http://schemas.openxmlformats.org/spreadsheetml/2006/main">
  <numFmts count="3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  <numFmt numFmtId="191" formatCode="0&quot;.&quot;"/>
    <numFmt numFmtId="192" formatCode="#,##0.000"/>
  </numFmts>
  <fonts count="6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4"/>
      <color indexed="10"/>
      <name val="Times New Roman CE"/>
      <family val="0"/>
    </font>
    <font>
      <sz val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b/>
      <sz val="10"/>
      <name val="MS Sans Serif"/>
      <family val="0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sz val="8"/>
      <color indexed="8"/>
      <name val="Times New Roman CE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0"/>
      <color indexed="8"/>
      <name val="Times New Roman CE"/>
      <family val="0"/>
    </font>
    <font>
      <b/>
      <i/>
      <sz val="11"/>
      <color indexed="10"/>
      <name val="Times New Roman CE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4" borderId="0" applyNumberFormat="0" applyBorder="0" applyAlignment="0" applyProtection="0"/>
    <xf numFmtId="0" fontId="39" fillId="7" borderId="0" applyNumberFormat="0" applyBorder="0" applyAlignment="0" applyProtection="0"/>
    <xf numFmtId="0" fontId="39" fillId="6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10" borderId="0" applyNumberFormat="0" applyBorder="0" applyAlignment="0" applyProtection="0"/>
    <xf numFmtId="0" fontId="39" fillId="12" borderId="0" applyNumberFormat="0" applyBorder="0" applyAlignment="0" applyProtection="0"/>
    <xf numFmtId="0" fontId="39" fillId="11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40" fillId="1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5" fillId="0" borderId="0">
      <alignment/>
      <protection/>
    </xf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6" borderId="7" applyNumberFormat="0" applyFont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2" borderId="0" applyNumberFormat="0" applyBorder="0" applyAlignment="0" applyProtection="0"/>
    <xf numFmtId="0" fontId="23" fillId="13" borderId="0" applyNumberFormat="0" applyBorder="0" applyAlignment="0" applyProtection="0"/>
    <xf numFmtId="0" fontId="49" fillId="15" borderId="0" applyNumberFormat="0" applyBorder="0" applyAlignment="0" applyProtection="0"/>
    <xf numFmtId="0" fontId="50" fillId="16" borderId="8" applyNumberFormat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17" borderId="0" applyNumberFormat="0" applyBorder="0" applyAlignment="0" applyProtection="0"/>
    <xf numFmtId="0" fontId="55" fillId="11" borderId="0" applyNumberFormat="0" applyBorder="0" applyAlignment="0" applyProtection="0"/>
    <xf numFmtId="0" fontId="56" fillId="16" borderId="1" applyNumberFormat="0" applyAlignment="0" applyProtection="0"/>
    <xf numFmtId="9" fontId="0" fillId="0" borderId="0" applyFont="0" applyFill="0" applyBorder="0" applyAlignment="0" applyProtection="0"/>
  </cellStyleXfs>
  <cellXfs count="625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6" fillId="0" borderId="0" xfId="71" applyFont="1" applyFill="1" applyBorder="1" applyAlignment="1" applyProtection="1">
      <alignment horizontal="center" vertical="center" wrapText="1"/>
      <protection/>
    </xf>
    <xf numFmtId="0" fontId="6" fillId="0" borderId="0" xfId="71" applyFont="1" applyFill="1" applyBorder="1" applyAlignment="1" applyProtection="1">
      <alignment vertical="center" wrapText="1"/>
      <protection/>
    </xf>
    <xf numFmtId="0" fontId="15" fillId="0" borderId="10" xfId="71" applyFont="1" applyFill="1" applyBorder="1" applyAlignment="1" applyProtection="1">
      <alignment horizontal="left" vertical="center" wrapText="1" indent="1"/>
      <protection/>
    </xf>
    <xf numFmtId="0" fontId="15" fillId="0" borderId="11" xfId="71" applyFont="1" applyFill="1" applyBorder="1" applyAlignment="1" applyProtection="1">
      <alignment horizontal="left" vertical="center" wrapText="1" indent="1"/>
      <protection/>
    </xf>
    <xf numFmtId="0" fontId="15" fillId="0" borderId="12" xfId="71" applyFont="1" applyFill="1" applyBorder="1" applyAlignment="1" applyProtection="1">
      <alignment horizontal="left" vertical="center" wrapText="1" indent="1"/>
      <protection/>
    </xf>
    <xf numFmtId="0" fontId="15" fillId="0" borderId="13" xfId="71" applyFont="1" applyFill="1" applyBorder="1" applyAlignment="1" applyProtection="1">
      <alignment horizontal="left" vertical="center" wrapText="1" indent="1"/>
      <protection/>
    </xf>
    <xf numFmtId="0" fontId="15" fillId="0" borderId="14" xfId="71" applyFont="1" applyFill="1" applyBorder="1" applyAlignment="1" applyProtection="1">
      <alignment horizontal="left" vertical="center" wrapText="1" indent="1"/>
      <protection/>
    </xf>
    <xf numFmtId="0" fontId="15" fillId="0" borderId="15" xfId="71" applyFont="1" applyFill="1" applyBorder="1" applyAlignment="1" applyProtection="1">
      <alignment horizontal="left" vertical="center" wrapText="1" indent="1"/>
      <protection/>
    </xf>
    <xf numFmtId="49" fontId="15" fillId="0" borderId="16" xfId="71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71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71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71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71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71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71" applyFont="1" applyFill="1" applyBorder="1" applyAlignment="1" applyProtection="1">
      <alignment horizontal="left" vertical="center" wrapText="1" indent="1"/>
      <protection/>
    </xf>
    <xf numFmtId="0" fontId="13" fillId="0" borderId="22" xfId="71" applyFont="1" applyFill="1" applyBorder="1" applyAlignment="1" applyProtection="1">
      <alignment horizontal="left" vertical="center" wrapText="1" indent="1"/>
      <protection/>
    </xf>
    <xf numFmtId="0" fontId="13" fillId="0" borderId="23" xfId="71" applyFont="1" applyFill="1" applyBorder="1" applyAlignment="1" applyProtection="1">
      <alignment horizontal="left" vertical="center" wrapText="1" indent="1"/>
      <protection/>
    </xf>
    <xf numFmtId="0" fontId="13" fillId="0" borderId="24" xfId="71" applyFont="1" applyFill="1" applyBorder="1" applyAlignment="1" applyProtection="1">
      <alignment horizontal="left" vertical="center" wrapText="1" indent="1"/>
      <protection/>
    </xf>
    <xf numFmtId="0" fontId="7" fillId="0" borderId="22" xfId="71" applyFont="1" applyFill="1" applyBorder="1" applyAlignment="1" applyProtection="1">
      <alignment horizontal="center" vertical="center" wrapText="1"/>
      <protection/>
    </xf>
    <xf numFmtId="0" fontId="7" fillId="0" borderId="23" xfId="7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71" applyFont="1" applyFill="1" applyBorder="1" applyAlignment="1" applyProtection="1">
      <alignment vertical="center" wrapText="1"/>
      <protection/>
    </xf>
    <xf numFmtId="0" fontId="13" fillId="0" borderId="25" xfId="71" applyFont="1" applyFill="1" applyBorder="1" applyAlignment="1" applyProtection="1">
      <alignment vertical="center" wrapText="1"/>
      <protection/>
    </xf>
    <xf numFmtId="0" fontId="13" fillId="0" borderId="22" xfId="71" applyFont="1" applyFill="1" applyBorder="1" applyAlignment="1" applyProtection="1">
      <alignment horizontal="center" vertical="center" wrapText="1"/>
      <protection/>
    </xf>
    <xf numFmtId="0" fontId="13" fillId="0" borderId="23" xfId="71" applyFont="1" applyFill="1" applyBorder="1" applyAlignment="1" applyProtection="1">
      <alignment horizontal="center" vertical="center" wrapText="1"/>
      <protection/>
    </xf>
    <xf numFmtId="0" fontId="13" fillId="0" borderId="26" xfId="71" applyFont="1" applyFill="1" applyBorder="1" applyAlignment="1" applyProtection="1">
      <alignment horizontal="center" vertical="center" wrapText="1"/>
      <protection/>
    </xf>
    <xf numFmtId="0" fontId="7" fillId="0" borderId="23" xfId="72" applyFont="1" applyFill="1" applyBorder="1" applyAlignment="1" applyProtection="1">
      <alignment horizontal="left" vertical="center" indent="1"/>
      <protection/>
    </xf>
    <xf numFmtId="0" fontId="7" fillId="0" borderId="26" xfId="7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  <protection/>
    </xf>
    <xf numFmtId="164" fontId="7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0" xfId="0" applyNumberFormat="1" applyFont="1" applyFill="1" applyAlignment="1">
      <alignment vertical="center" wrapText="1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7" fillId="0" borderId="26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7" fillId="0" borderId="24" xfId="72" applyFont="1" applyFill="1" applyBorder="1" applyAlignment="1" applyProtection="1">
      <alignment horizontal="center" vertical="center" wrapText="1"/>
      <protection/>
    </xf>
    <xf numFmtId="0" fontId="7" fillId="0" borderId="25" xfId="72" applyFont="1" applyFill="1" applyBorder="1" applyAlignment="1" applyProtection="1">
      <alignment horizontal="center" vertical="center"/>
      <protection/>
    </xf>
    <xf numFmtId="0" fontId="7" fillId="0" borderId="29" xfId="72" applyFont="1" applyFill="1" applyBorder="1" applyAlignment="1" applyProtection="1">
      <alignment horizontal="center" vertical="center"/>
      <protection/>
    </xf>
    <xf numFmtId="0" fontId="2" fillId="0" borderId="0" xfId="72" applyFill="1" applyProtection="1">
      <alignment/>
      <protection/>
    </xf>
    <xf numFmtId="0" fontId="15" fillId="0" borderId="22" xfId="72" applyFont="1" applyFill="1" applyBorder="1" applyAlignment="1" applyProtection="1">
      <alignment horizontal="left" vertical="center" indent="1"/>
      <protection/>
    </xf>
    <xf numFmtId="0" fontId="2" fillId="0" borderId="0" xfId="72" applyFill="1" applyAlignment="1" applyProtection="1">
      <alignment vertical="center"/>
      <protection/>
    </xf>
    <xf numFmtId="0" fontId="15" fillId="0" borderId="16" xfId="72" applyFont="1" applyFill="1" applyBorder="1" applyAlignment="1" applyProtection="1">
      <alignment horizontal="left" vertical="center" indent="1"/>
      <protection/>
    </xf>
    <xf numFmtId="0" fontId="15" fillId="0" borderId="17" xfId="72" applyFont="1" applyFill="1" applyBorder="1" applyAlignment="1" applyProtection="1">
      <alignment horizontal="left" vertical="center" indent="1"/>
      <protection/>
    </xf>
    <xf numFmtId="164" fontId="15" fillId="0" borderId="11" xfId="72" applyNumberFormat="1" applyFont="1" applyFill="1" applyBorder="1" applyAlignment="1" applyProtection="1">
      <alignment vertical="center"/>
      <protection locked="0"/>
    </xf>
    <xf numFmtId="0" fontId="2" fillId="0" borderId="0" xfId="72" applyFill="1" applyAlignment="1" applyProtection="1">
      <alignment vertical="center"/>
      <protection locked="0"/>
    </xf>
    <xf numFmtId="164" fontId="13" fillId="0" borderId="23" xfId="72" applyNumberFormat="1" applyFont="1" applyFill="1" applyBorder="1" applyAlignment="1" applyProtection="1">
      <alignment vertical="center"/>
      <protection/>
    </xf>
    <xf numFmtId="164" fontId="13" fillId="0" borderId="26" xfId="72" applyNumberFormat="1" applyFont="1" applyFill="1" applyBorder="1" applyAlignment="1" applyProtection="1">
      <alignment vertical="center"/>
      <protection/>
    </xf>
    <xf numFmtId="0" fontId="15" fillId="0" borderId="18" xfId="72" applyFont="1" applyFill="1" applyBorder="1" applyAlignment="1" applyProtection="1">
      <alignment horizontal="left" vertical="center" indent="1"/>
      <protection/>
    </xf>
    <xf numFmtId="0" fontId="13" fillId="0" borderId="22" xfId="72" applyFont="1" applyFill="1" applyBorder="1" applyAlignment="1" applyProtection="1">
      <alignment horizontal="left" vertical="center" indent="1"/>
      <protection/>
    </xf>
    <xf numFmtId="164" fontId="13" fillId="0" borderId="23" xfId="72" applyNumberFormat="1" applyFont="1" applyFill="1" applyBorder="1" applyProtection="1">
      <alignment/>
      <protection/>
    </xf>
    <xf numFmtId="164" fontId="13" fillId="0" borderId="26" xfId="72" applyNumberFormat="1" applyFont="1" applyFill="1" applyBorder="1" applyProtection="1">
      <alignment/>
      <protection/>
    </xf>
    <xf numFmtId="0" fontId="2" fillId="0" borderId="0" xfId="72" applyFill="1" applyProtection="1">
      <alignment/>
      <protection locked="0"/>
    </xf>
    <xf numFmtId="0" fontId="0" fillId="0" borderId="0" xfId="72" applyFont="1" applyFill="1" applyProtection="1">
      <alignment/>
      <protection/>
    </xf>
    <xf numFmtId="0" fontId="4" fillId="0" borderId="0" xfId="72" applyFont="1" applyFill="1" applyProtection="1">
      <alignment/>
      <protection locked="0"/>
    </xf>
    <xf numFmtId="0" fontId="6" fillId="0" borderId="0" xfId="72" applyFont="1" applyFill="1" applyProtection="1">
      <alignment/>
      <protection locked="0"/>
    </xf>
    <xf numFmtId="164" fontId="7" fillId="18" borderId="23" xfId="0" applyNumberFormat="1" applyFont="1" applyFill="1" applyBorder="1" applyAlignment="1" applyProtection="1">
      <alignment vertical="center" wrapText="1"/>
      <protection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3" xfId="71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0" xfId="0" applyFont="1" applyFill="1" applyBorder="1" applyAlignment="1" applyProtection="1">
      <alignment horizontal="right"/>
      <protection/>
    </xf>
    <xf numFmtId="0" fontId="15" fillId="0" borderId="11" xfId="71" applyFont="1" applyFill="1" applyBorder="1" applyAlignment="1" applyProtection="1">
      <alignment horizontal="left" indent="6"/>
      <protection/>
    </xf>
    <xf numFmtId="0" fontId="15" fillId="0" borderId="11" xfId="71" applyFont="1" applyFill="1" applyBorder="1" applyAlignment="1" applyProtection="1">
      <alignment horizontal="left" vertical="center" wrapText="1" indent="6"/>
      <protection/>
    </xf>
    <xf numFmtId="0" fontId="15" fillId="0" borderId="15" xfId="71" applyFont="1" applyFill="1" applyBorder="1" applyAlignment="1" applyProtection="1">
      <alignment horizontal="left" vertical="center" wrapText="1" indent="6"/>
      <protection/>
    </xf>
    <xf numFmtId="0" fontId="15" fillId="0" borderId="31" xfId="71" applyFont="1" applyFill="1" applyBorder="1" applyAlignment="1" applyProtection="1">
      <alignment horizontal="left" vertical="center" wrapText="1" indent="6"/>
      <protection/>
    </xf>
    <xf numFmtId="0" fontId="1" fillId="0" borderId="0" xfId="71" applyFont="1" applyFill="1">
      <alignment/>
      <protection/>
    </xf>
    <xf numFmtId="164" fontId="4" fillId="0" borderId="0" xfId="71" applyNumberFormat="1" applyFont="1" applyFill="1" applyBorder="1" applyAlignment="1" applyProtection="1">
      <alignment horizontal="centerContinuous" vertical="center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13" fillId="0" borderId="20" xfId="71" applyFont="1" applyFill="1" applyBorder="1" applyAlignment="1" applyProtection="1">
      <alignment horizontal="center" vertical="center" wrapText="1"/>
      <protection/>
    </xf>
    <xf numFmtId="0" fontId="13" fillId="0" borderId="13" xfId="71" applyFont="1" applyFill="1" applyBorder="1" applyAlignment="1" applyProtection="1">
      <alignment horizontal="center" vertical="center" wrapText="1"/>
      <protection/>
    </xf>
    <xf numFmtId="0" fontId="13" fillId="0" borderId="32" xfId="71" applyFont="1" applyFill="1" applyBorder="1" applyAlignment="1" applyProtection="1">
      <alignment horizontal="center" vertical="center" wrapText="1"/>
      <protection/>
    </xf>
    <xf numFmtId="0" fontId="15" fillId="0" borderId="20" xfId="71" applyFont="1" applyFill="1" applyBorder="1" applyAlignment="1" applyProtection="1">
      <alignment horizontal="center" vertical="center"/>
      <protection/>
    </xf>
    <xf numFmtId="0" fontId="15" fillId="0" borderId="17" xfId="71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center" vertical="center" wrapText="1"/>
      <protection/>
    </xf>
    <xf numFmtId="164" fontId="7" fillId="0" borderId="23" xfId="0" applyNumberFormat="1" applyFont="1" applyFill="1" applyBorder="1" applyAlignment="1" applyProtection="1">
      <alignment horizontal="center"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36" xfId="0" applyFont="1" applyFill="1" applyBorder="1" applyAlignment="1" applyProtection="1">
      <alignment horizontal="center" vertical="center" wrapText="1"/>
      <protection/>
    </xf>
    <xf numFmtId="0" fontId="7" fillId="0" borderId="37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8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39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0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72" applyFont="1" applyFill="1" applyBorder="1" applyAlignment="1" applyProtection="1">
      <alignment horizontal="left" vertical="center" indent="1"/>
      <protection/>
    </xf>
    <xf numFmtId="0" fontId="15" fillId="0" borderId="12" xfId="72" applyFont="1" applyFill="1" applyBorder="1" applyAlignment="1" applyProtection="1">
      <alignment horizontal="left" vertical="center" wrapText="1" indent="1"/>
      <protection/>
    </xf>
    <xf numFmtId="0" fontId="15" fillId="0" borderId="11" xfId="72" applyFont="1" applyFill="1" applyBorder="1" applyAlignment="1" applyProtection="1">
      <alignment horizontal="left" vertical="center" wrapText="1" indent="1"/>
      <protection/>
    </xf>
    <xf numFmtId="0" fontId="15" fillId="0" borderId="12" xfId="72" applyFont="1" applyFill="1" applyBorder="1" applyAlignment="1" applyProtection="1">
      <alignment horizontal="left" vertical="center" indent="1"/>
      <protection/>
    </xf>
    <xf numFmtId="0" fontId="7" fillId="0" borderId="23" xfId="72" applyFont="1" applyFill="1" applyBorder="1" applyAlignment="1" applyProtection="1">
      <alignment horizontal="left" inden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41" xfId="0" applyFont="1" applyBorder="1" applyAlignment="1" applyProtection="1">
      <alignment horizontal="left" vertical="center" wrapText="1" indent="1"/>
      <protection/>
    </xf>
    <xf numFmtId="164" fontId="13" fillId="0" borderId="29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71" applyNumberFormat="1" applyFont="1" applyFill="1" applyBorder="1" applyAlignment="1" applyProtection="1">
      <alignment horizontal="right" vertical="center" wrapText="1" indent="1"/>
      <protection/>
    </xf>
    <xf numFmtId="164" fontId="6" fillId="0" borderId="0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0" xfId="0" applyFont="1" applyFill="1" applyBorder="1" applyAlignment="1" applyProtection="1">
      <alignment horizontal="right" vertical="center"/>
      <protection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5" fillId="0" borderId="0" xfId="0" applyNumberFormat="1" applyFont="1" applyFill="1" applyAlignment="1" applyProtection="1">
      <alignment horizontal="right" vertical="center"/>
      <protection/>
    </xf>
    <xf numFmtId="164" fontId="7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7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5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6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7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2" xfId="0" applyNumberFormat="1" applyFont="1" applyFill="1" applyBorder="1" applyAlignment="1" applyProtection="1">
      <alignment horizontal="right" vertical="center" wrapText="1" indent="1"/>
      <protection/>
    </xf>
    <xf numFmtId="166" fontId="15" fillId="0" borderId="39" xfId="46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1" xfId="0" applyFont="1" applyFill="1" applyBorder="1" applyAlignment="1" applyProtection="1">
      <alignment horizontal="center" vertical="center"/>
      <protection/>
    </xf>
    <xf numFmtId="0" fontId="7" fillId="0" borderId="32" xfId="0" applyFont="1" applyFill="1" applyBorder="1" applyAlignment="1" applyProtection="1" quotePrefix="1">
      <alignment horizontal="right" vertical="center" indent="1"/>
      <protection/>
    </xf>
    <xf numFmtId="0" fontId="7" fillId="0" borderId="29" xfId="0" applyFont="1" applyFill="1" applyBorder="1" applyAlignment="1" applyProtection="1">
      <alignment horizontal="right" vertical="center" wrapText="1" indent="1"/>
      <protection/>
    </xf>
    <xf numFmtId="164" fontId="7" fillId="0" borderId="4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51" xfId="0" applyFont="1" applyBorder="1" applyAlignment="1" applyProtection="1">
      <alignment horizontal="left" vertical="center" wrapText="1" indent="1"/>
      <protection/>
    </xf>
    <xf numFmtId="0" fontId="2" fillId="0" borderId="0" xfId="71" applyFont="1" applyFill="1" applyProtection="1">
      <alignment/>
      <protection/>
    </xf>
    <xf numFmtId="0" fontId="2" fillId="0" borderId="0" xfId="71" applyFont="1" applyFill="1" applyAlignment="1" applyProtection="1">
      <alignment horizontal="right" vertical="center" inden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52" xfId="0" applyFont="1" applyFill="1" applyBorder="1" applyAlignment="1" applyProtection="1">
      <alignment horizontal="center" vertical="center" wrapText="1"/>
      <protection/>
    </xf>
    <xf numFmtId="0" fontId="7" fillId="0" borderId="36" xfId="0" applyFont="1" applyFill="1" applyBorder="1" applyAlignment="1" applyProtection="1">
      <alignment horizontal="center" vertical="center" wrapText="1"/>
      <protection/>
    </xf>
    <xf numFmtId="0" fontId="13" fillId="0" borderId="24" xfId="71" applyFont="1" applyFill="1" applyBorder="1" applyAlignment="1" applyProtection="1">
      <alignment horizontal="center" vertical="center" wrapText="1"/>
      <protection/>
    </xf>
    <xf numFmtId="0" fontId="13" fillId="0" borderId="25" xfId="71" applyFont="1" applyFill="1" applyBorder="1" applyAlignment="1" applyProtection="1">
      <alignment horizontal="center" vertical="center" wrapText="1"/>
      <protection/>
    </xf>
    <xf numFmtId="0" fontId="13" fillId="0" borderId="29" xfId="71" applyFont="1" applyFill="1" applyBorder="1" applyAlignment="1" applyProtection="1">
      <alignment horizontal="center" vertical="center" wrapText="1"/>
      <protection/>
    </xf>
    <xf numFmtId="164" fontId="15" fillId="0" borderId="28" xfId="71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71" applyFont="1" applyFill="1" applyBorder="1" applyAlignment="1" applyProtection="1">
      <alignment horizontal="left" vertical="center" wrapText="1" indent="6"/>
      <protection/>
    </xf>
    <xf numFmtId="0" fontId="2" fillId="0" borderId="0" xfId="71" applyFill="1" applyProtection="1">
      <alignment/>
      <protection/>
    </xf>
    <xf numFmtId="0" fontId="15" fillId="0" borderId="0" xfId="71" applyFont="1" applyFill="1" applyProtection="1">
      <alignment/>
      <protection/>
    </xf>
    <xf numFmtId="0" fontId="0" fillId="0" borderId="0" xfId="71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51" xfId="0" applyFont="1" applyBorder="1" applyAlignment="1" applyProtection="1">
      <alignment wrapText="1"/>
      <protection/>
    </xf>
    <xf numFmtId="0" fontId="2" fillId="0" borderId="0" xfId="71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71" applyFont="1" applyFill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71" applyNumberFormat="1" applyFont="1" applyFill="1" applyBorder="1" applyAlignment="1" applyProtection="1">
      <alignment horizontal="center" vertical="center" wrapText="1"/>
      <protection/>
    </xf>
    <xf numFmtId="49" fontId="15" fillId="0" borderId="17" xfId="71" applyNumberFormat="1" applyFont="1" applyFill="1" applyBorder="1" applyAlignment="1" applyProtection="1">
      <alignment horizontal="center" vertical="center" wrapText="1"/>
      <protection/>
    </xf>
    <xf numFmtId="49" fontId="15" fillId="0" borderId="19" xfId="71" applyNumberFormat="1" applyFont="1" applyFill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wrapText="1"/>
      <protection/>
    </xf>
    <xf numFmtId="0" fontId="19" fillId="0" borderId="18" xfId="0" applyFont="1" applyBorder="1" applyAlignment="1" applyProtection="1">
      <alignment horizontal="center" wrapText="1"/>
      <protection/>
    </xf>
    <xf numFmtId="0" fontId="19" fillId="0" borderId="17" xfId="0" applyFont="1" applyBorder="1" applyAlignment="1" applyProtection="1">
      <alignment horizontal="center" wrapTex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20" fillId="0" borderId="41" xfId="0" applyFont="1" applyBorder="1" applyAlignment="1" applyProtection="1">
      <alignment horizontal="center" wrapText="1"/>
      <protection/>
    </xf>
    <xf numFmtId="49" fontId="15" fillId="0" borderId="20" xfId="71" applyNumberFormat="1" applyFont="1" applyFill="1" applyBorder="1" applyAlignment="1" applyProtection="1">
      <alignment horizontal="center" vertical="center" wrapText="1"/>
      <protection/>
    </xf>
    <xf numFmtId="49" fontId="15" fillId="0" borderId="16" xfId="71" applyNumberFormat="1" applyFont="1" applyFill="1" applyBorder="1" applyAlignment="1" applyProtection="1">
      <alignment horizontal="center" vertical="center" wrapText="1"/>
      <protection/>
    </xf>
    <xf numFmtId="49" fontId="15" fillId="0" borderId="21" xfId="71" applyNumberFormat="1" applyFont="1" applyFill="1" applyBorder="1" applyAlignment="1" applyProtection="1">
      <alignment horizontal="center" vertical="center" wrapText="1"/>
      <protection/>
    </xf>
    <xf numFmtId="0" fontId="20" fillId="0" borderId="41" xfId="0" applyFont="1" applyBorder="1" applyAlignment="1" applyProtection="1">
      <alignment horizontal="center" vertical="center" wrapText="1"/>
      <protection/>
    </xf>
    <xf numFmtId="164" fontId="15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71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2" applyFont="1" applyFill="1" applyBorder="1" applyAlignment="1" applyProtection="1">
      <alignment horizontal="left" vertical="center" wrapText="1" indent="1"/>
      <protection/>
    </xf>
    <xf numFmtId="164" fontId="21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" fillId="0" borderId="0" xfId="70" applyFont="1">
      <alignment/>
      <protection/>
    </xf>
    <xf numFmtId="166" fontId="8" fillId="0" borderId="0" xfId="46" applyNumberFormat="1" applyFont="1" applyAlignment="1">
      <alignment horizontal="center"/>
    </xf>
    <xf numFmtId="0" fontId="26" fillId="0" borderId="0" xfId="70">
      <alignment/>
      <protection/>
    </xf>
    <xf numFmtId="0" fontId="8" fillId="0" borderId="0" xfId="70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28" fillId="0" borderId="0" xfId="70" applyFont="1" applyAlignment="1">
      <alignment horizontal="centerContinuous"/>
      <protection/>
    </xf>
    <xf numFmtId="166" fontId="28" fillId="0" borderId="0" xfId="46" applyNumberFormat="1" applyFont="1" applyAlignment="1">
      <alignment horizontal="centerContinuous"/>
    </xf>
    <xf numFmtId="166" fontId="8" fillId="0" borderId="0" xfId="46" applyNumberFormat="1" applyFont="1" applyAlignment="1">
      <alignment horizontal="right"/>
    </xf>
    <xf numFmtId="0" fontId="6" fillId="0" borderId="53" xfId="70" applyFont="1" applyBorder="1" applyAlignment="1">
      <alignment vertical="center"/>
      <protection/>
    </xf>
    <xf numFmtId="0" fontId="2" fillId="0" borderId="54" xfId="70" applyFont="1" applyBorder="1" applyAlignment="1">
      <alignment vertical="center"/>
      <protection/>
    </xf>
    <xf numFmtId="0" fontId="2" fillId="0" borderId="55" xfId="70" applyFont="1" applyBorder="1" applyAlignment="1">
      <alignment vertical="center"/>
      <protection/>
    </xf>
    <xf numFmtId="166" fontId="6" fillId="0" borderId="45" xfId="46" applyNumberFormat="1" applyFont="1" applyBorder="1" applyAlignment="1">
      <alignment horizontal="center" vertical="center"/>
    </xf>
    <xf numFmtId="0" fontId="26" fillId="0" borderId="0" xfId="70" applyAlignment="1">
      <alignment vertical="center"/>
      <protection/>
    </xf>
    <xf numFmtId="166" fontId="6" fillId="0" borderId="52" xfId="46" applyNumberFormat="1" applyFont="1" applyBorder="1" applyAlignment="1">
      <alignment/>
    </xf>
    <xf numFmtId="166" fontId="6" fillId="0" borderId="56" xfId="46" applyNumberFormat="1" applyFont="1" applyBorder="1" applyAlignment="1">
      <alignment/>
    </xf>
    <xf numFmtId="166" fontId="6" fillId="0" borderId="57" xfId="46" applyNumberFormat="1" applyFont="1" applyBorder="1" applyAlignment="1">
      <alignment/>
    </xf>
    <xf numFmtId="0" fontId="26" fillId="0" borderId="0" xfId="70" applyFill="1" applyBorder="1">
      <alignment/>
      <protection/>
    </xf>
    <xf numFmtId="0" fontId="26" fillId="0" borderId="0" xfId="70" applyBorder="1">
      <alignment/>
      <protection/>
    </xf>
    <xf numFmtId="166" fontId="6" fillId="0" borderId="58" xfId="46" applyNumberFormat="1" applyFont="1" applyBorder="1" applyAlignment="1">
      <alignment/>
    </xf>
    <xf numFmtId="166" fontId="2" fillId="0" borderId="59" xfId="46" applyNumberFormat="1" applyFont="1" applyBorder="1" applyAlignment="1" quotePrefix="1">
      <alignment/>
    </xf>
    <xf numFmtId="166" fontId="2" fillId="0" borderId="39" xfId="46" applyNumberFormat="1" applyFont="1" applyBorder="1" applyAlignment="1" quotePrefix="1">
      <alignment/>
    </xf>
    <xf numFmtId="166" fontId="2" fillId="0" borderId="39" xfId="46" applyNumberFormat="1" applyFont="1" applyBorder="1" applyAlignment="1">
      <alignment/>
    </xf>
    <xf numFmtId="0" fontId="0" fillId="0" borderId="58" xfId="70" applyFont="1" applyBorder="1" quotePrefix="1">
      <alignment/>
      <protection/>
    </xf>
    <xf numFmtId="0" fontId="0" fillId="0" borderId="59" xfId="70" applyFont="1" applyBorder="1">
      <alignment/>
      <protection/>
    </xf>
    <xf numFmtId="0" fontId="0" fillId="0" borderId="39" xfId="70" applyFont="1" applyBorder="1">
      <alignment/>
      <protection/>
    </xf>
    <xf numFmtId="166" fontId="0" fillId="0" borderId="39" xfId="46" applyNumberFormat="1" applyFont="1" applyBorder="1" applyAlignment="1">
      <alignment/>
    </xf>
    <xf numFmtId="0" fontId="0" fillId="0" borderId="0" xfId="70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58" xfId="70" applyFont="1" applyBorder="1">
      <alignment/>
      <protection/>
    </xf>
    <xf numFmtId="166" fontId="29" fillId="0" borderId="0" xfId="46" applyNumberFormat="1" applyFont="1" applyBorder="1" applyAlignment="1">
      <alignment/>
    </xf>
    <xf numFmtId="0" fontId="0" fillId="0" borderId="58" xfId="70" applyFont="1" applyBorder="1">
      <alignment/>
      <protection/>
    </xf>
    <xf numFmtId="0" fontId="0" fillId="0" borderId="59" xfId="70" applyFont="1" applyBorder="1">
      <alignment/>
      <protection/>
    </xf>
    <xf numFmtId="0" fontId="29" fillId="0" borderId="59" xfId="70" applyFont="1" applyBorder="1">
      <alignment/>
      <protection/>
    </xf>
    <xf numFmtId="0" fontId="29" fillId="0" borderId="39" xfId="70" applyFont="1" applyBorder="1">
      <alignment/>
      <protection/>
    </xf>
    <xf numFmtId="166" fontId="6" fillId="0" borderId="59" xfId="46" applyNumberFormat="1" applyFont="1" applyBorder="1" applyAlignment="1">
      <alignment/>
    </xf>
    <xf numFmtId="166" fontId="6" fillId="0" borderId="39" xfId="46" applyNumberFormat="1" applyFont="1" applyBorder="1" applyAlignment="1">
      <alignment/>
    </xf>
    <xf numFmtId="166" fontId="3" fillId="0" borderId="39" xfId="46" applyNumberFormat="1" applyFont="1" applyBorder="1" applyAlignment="1">
      <alignment/>
    </xf>
    <xf numFmtId="166" fontId="6" fillId="0" borderId="33" xfId="46" applyNumberFormat="1" applyFont="1" applyBorder="1" applyAlignment="1">
      <alignment/>
    </xf>
    <xf numFmtId="166" fontId="6" fillId="0" borderId="60" xfId="46" applyNumberFormat="1" applyFont="1" applyBorder="1" applyAlignment="1">
      <alignment/>
    </xf>
    <xf numFmtId="166" fontId="6" fillId="0" borderId="61" xfId="46" applyNumberFormat="1" applyFont="1" applyBorder="1" applyAlignment="1">
      <alignment/>
    </xf>
    <xf numFmtId="166" fontId="3" fillId="0" borderId="61" xfId="46" applyNumberFormat="1" applyFont="1" applyBorder="1" applyAlignment="1">
      <alignment/>
    </xf>
    <xf numFmtId="0" fontId="26" fillId="0" borderId="0" xfId="69">
      <alignment/>
      <protection/>
    </xf>
    <xf numFmtId="0" fontId="15" fillId="0" borderId="0" xfId="69" applyFont="1">
      <alignment/>
      <protection/>
    </xf>
    <xf numFmtId="0" fontId="13" fillId="0" borderId="0" xfId="69" applyFont="1">
      <alignment/>
      <protection/>
    </xf>
    <xf numFmtId="0" fontId="30" fillId="0" borderId="0" xfId="69" applyFont="1">
      <alignment/>
      <protection/>
    </xf>
    <xf numFmtId="0" fontId="0" fillId="0" borderId="0" xfId="69" applyFont="1">
      <alignment/>
      <protection/>
    </xf>
    <xf numFmtId="0" fontId="14" fillId="0" borderId="0" xfId="69" applyFont="1" applyAlignment="1">
      <alignment horizontal="right"/>
      <protection/>
    </xf>
    <xf numFmtId="49" fontId="28" fillId="0" borderId="0" xfId="69" applyNumberFormat="1" applyFont="1" applyAlignment="1">
      <alignment horizontal="centerContinuous"/>
      <protection/>
    </xf>
    <xf numFmtId="0" fontId="15" fillId="0" borderId="0" xfId="69" applyFont="1" applyAlignment="1">
      <alignment horizontal="centerContinuous"/>
      <protection/>
    </xf>
    <xf numFmtId="0" fontId="13" fillId="0" borderId="0" xfId="69" applyFont="1" applyAlignment="1">
      <alignment horizontal="centerContinuous"/>
      <protection/>
    </xf>
    <xf numFmtId="0" fontId="0" fillId="0" borderId="0" xfId="69" applyFont="1" applyAlignment="1">
      <alignment horizontal="centerContinuous"/>
      <protection/>
    </xf>
    <xf numFmtId="0" fontId="3" fillId="0" borderId="0" xfId="69" applyFont="1" applyAlignment="1">
      <alignment horizontal="centerContinuous"/>
      <protection/>
    </xf>
    <xf numFmtId="0" fontId="28" fillId="0" borderId="0" xfId="69" applyFont="1" applyAlignment="1">
      <alignment horizontal="centerContinuous"/>
      <protection/>
    </xf>
    <xf numFmtId="0" fontId="31" fillId="0" borderId="0" xfId="69" applyFont="1" applyAlignment="1">
      <alignment horizontal="centerContinuous"/>
      <protection/>
    </xf>
    <xf numFmtId="0" fontId="6" fillId="0" borderId="53" xfId="69" applyFont="1" applyBorder="1">
      <alignment/>
      <protection/>
    </xf>
    <xf numFmtId="0" fontId="6" fillId="0" borderId="54" xfId="69" applyFont="1" applyBorder="1" applyAlignment="1">
      <alignment horizontal="center"/>
      <protection/>
    </xf>
    <xf numFmtId="0" fontId="14" fillId="0" borderId="48" xfId="69" applyFont="1" applyBorder="1" applyAlignment="1">
      <alignment horizontal="center"/>
      <protection/>
    </xf>
    <xf numFmtId="0" fontId="7" fillId="0" borderId="19" xfId="69" applyFont="1" applyBorder="1" applyAlignment="1">
      <alignment horizontal="center"/>
      <protection/>
    </xf>
    <xf numFmtId="0" fontId="7" fillId="0" borderId="15" xfId="69" applyFont="1" applyBorder="1" applyAlignment="1">
      <alignment horizontal="center"/>
      <protection/>
    </xf>
    <xf numFmtId="0" fontId="7" fillId="0" borderId="42" xfId="69" applyFont="1" applyBorder="1" applyAlignment="1">
      <alignment horizontal="center"/>
      <protection/>
    </xf>
    <xf numFmtId="0" fontId="7" fillId="0" borderId="49" xfId="69" applyFont="1" applyBorder="1" applyAlignment="1">
      <alignment horizontal="center"/>
      <protection/>
    </xf>
    <xf numFmtId="0" fontId="12" fillId="0" borderId="62" xfId="69" applyFont="1" applyBorder="1">
      <alignment/>
      <protection/>
    </xf>
    <xf numFmtId="0" fontId="7" fillId="0" borderId="16" xfId="69" applyFont="1" applyBorder="1" applyAlignment="1">
      <alignment horizontal="center"/>
      <protection/>
    </xf>
    <xf numFmtId="0" fontId="7" fillId="0" borderId="10" xfId="69" applyFont="1" applyBorder="1" applyAlignment="1">
      <alignment horizontal="center"/>
      <protection/>
    </xf>
    <xf numFmtId="0" fontId="7" fillId="0" borderId="44" xfId="69" applyFont="1" applyBorder="1" applyAlignment="1">
      <alignment horizontal="center"/>
      <protection/>
    </xf>
    <xf numFmtId="0" fontId="7" fillId="0" borderId="0" xfId="69" applyFont="1" applyBorder="1" applyAlignment="1">
      <alignment horizontal="center"/>
      <protection/>
    </xf>
    <xf numFmtId="3" fontId="7" fillId="0" borderId="13" xfId="69" applyNumberFormat="1" applyFont="1" applyBorder="1" applyAlignment="1">
      <alignment horizontal="center"/>
      <protection/>
    </xf>
    <xf numFmtId="3" fontId="12" fillId="0" borderId="13" xfId="69" applyNumberFormat="1" applyFont="1" applyBorder="1" applyAlignment="1">
      <alignment horizontal="right"/>
      <protection/>
    </xf>
    <xf numFmtId="3" fontId="12" fillId="0" borderId="13" xfId="69" applyNumberFormat="1" applyFont="1" applyBorder="1" applyAlignment="1">
      <alignment horizontal="center"/>
      <protection/>
    </xf>
    <xf numFmtId="3" fontId="7" fillId="0" borderId="32" xfId="69" applyNumberFormat="1" applyFont="1" applyBorder="1">
      <alignment/>
      <protection/>
    </xf>
    <xf numFmtId="3" fontId="7" fillId="0" borderId="54" xfId="69" applyNumberFormat="1" applyFont="1" applyBorder="1">
      <alignment/>
      <protection/>
    </xf>
    <xf numFmtId="3" fontId="12" fillId="0" borderId="13" xfId="69" applyNumberFormat="1" applyFont="1" applyBorder="1" applyAlignment="1">
      <alignment/>
      <protection/>
    </xf>
    <xf numFmtId="0" fontId="27" fillId="0" borderId="0" xfId="69" applyFont="1">
      <alignment/>
      <protection/>
    </xf>
    <xf numFmtId="3" fontId="12" fillId="0" borderId="11" xfId="69" applyNumberFormat="1" applyFont="1" applyBorder="1">
      <alignment/>
      <protection/>
    </xf>
    <xf numFmtId="3" fontId="7" fillId="0" borderId="27" xfId="69" applyNumberFormat="1" applyFont="1" applyBorder="1">
      <alignment/>
      <protection/>
    </xf>
    <xf numFmtId="3" fontId="7" fillId="0" borderId="49" xfId="69" applyNumberFormat="1" applyFont="1" applyBorder="1">
      <alignment/>
      <protection/>
    </xf>
    <xf numFmtId="3" fontId="12" fillId="0" borderId="17" xfId="69" applyNumberFormat="1" applyFont="1" applyBorder="1">
      <alignment/>
      <protection/>
    </xf>
    <xf numFmtId="3" fontId="7" fillId="0" borderId="17" xfId="69" applyNumberFormat="1" applyFont="1" applyBorder="1">
      <alignment/>
      <protection/>
    </xf>
    <xf numFmtId="3" fontId="7" fillId="0" borderId="11" xfId="69" applyNumberFormat="1" applyFont="1" applyBorder="1">
      <alignment/>
      <protection/>
    </xf>
    <xf numFmtId="3" fontId="12" fillId="0" borderId="11" xfId="69" applyNumberFormat="1" applyFont="1" applyBorder="1">
      <alignment/>
      <protection/>
    </xf>
    <xf numFmtId="3" fontId="33" fillId="0" borderId="11" xfId="69" applyNumberFormat="1" applyFont="1" applyBorder="1">
      <alignment/>
      <protection/>
    </xf>
    <xf numFmtId="3" fontId="34" fillId="0" borderId="11" xfId="69" applyNumberFormat="1" applyFont="1" applyBorder="1">
      <alignment/>
      <protection/>
    </xf>
    <xf numFmtId="3" fontId="7" fillId="0" borderId="27" xfId="69" applyNumberFormat="1" applyFont="1" applyBorder="1">
      <alignment/>
      <protection/>
    </xf>
    <xf numFmtId="3" fontId="35" fillId="0" borderId="11" xfId="69" applyNumberFormat="1" applyFont="1" applyBorder="1">
      <alignment/>
      <protection/>
    </xf>
    <xf numFmtId="3" fontId="14" fillId="0" borderId="49" xfId="69" applyNumberFormat="1" applyFont="1" applyBorder="1">
      <alignment/>
      <protection/>
    </xf>
    <xf numFmtId="3" fontId="33" fillId="0" borderId="11" xfId="69" applyNumberFormat="1" applyFont="1" applyBorder="1">
      <alignment/>
      <protection/>
    </xf>
    <xf numFmtId="3" fontId="7" fillId="0" borderId="11" xfId="69" applyNumberFormat="1" applyFont="1" applyBorder="1">
      <alignment/>
      <protection/>
    </xf>
    <xf numFmtId="3" fontId="14" fillId="0" borderId="27" xfId="69" applyNumberFormat="1" applyFont="1" applyBorder="1">
      <alignment/>
      <protection/>
    </xf>
    <xf numFmtId="3" fontId="33" fillId="0" borderId="0" xfId="69" applyNumberFormat="1" applyFont="1" applyBorder="1">
      <alignment/>
      <protection/>
    </xf>
    <xf numFmtId="3" fontId="14" fillId="0" borderId="0" xfId="69" applyNumberFormat="1" applyFont="1" applyBorder="1">
      <alignment/>
      <protection/>
    </xf>
    <xf numFmtId="3" fontId="33" fillId="0" borderId="17" xfId="69" applyNumberFormat="1" applyFont="1" applyBorder="1">
      <alignment/>
      <protection/>
    </xf>
    <xf numFmtId="3" fontId="14" fillId="0" borderId="27" xfId="69" applyNumberFormat="1" applyFont="1" applyBorder="1">
      <alignment/>
      <protection/>
    </xf>
    <xf numFmtId="3" fontId="12" fillId="0" borderId="19" xfId="69" applyNumberFormat="1" applyFont="1" applyBorder="1">
      <alignment/>
      <protection/>
    </xf>
    <xf numFmtId="3" fontId="12" fillId="0" borderId="15" xfId="69" applyNumberFormat="1" applyFont="1" applyBorder="1">
      <alignment/>
      <protection/>
    </xf>
    <xf numFmtId="3" fontId="7" fillId="0" borderId="42" xfId="69" applyNumberFormat="1" applyFont="1" applyBorder="1">
      <alignment/>
      <protection/>
    </xf>
    <xf numFmtId="3" fontId="7" fillId="0" borderId="42" xfId="69" applyNumberFormat="1" applyFont="1" applyBorder="1">
      <alignment/>
      <protection/>
    </xf>
    <xf numFmtId="3" fontId="7" fillId="0" borderId="20" xfId="69" applyNumberFormat="1" applyFont="1" applyBorder="1">
      <alignment/>
      <protection/>
    </xf>
    <xf numFmtId="3" fontId="7" fillId="0" borderId="63" xfId="69" applyNumberFormat="1" applyFont="1" applyBorder="1">
      <alignment/>
      <protection/>
    </xf>
    <xf numFmtId="3" fontId="7" fillId="0" borderId="0" xfId="69" applyNumberFormat="1" applyFont="1" applyBorder="1">
      <alignment/>
      <protection/>
    </xf>
    <xf numFmtId="3" fontId="12" fillId="0" borderId="27" xfId="69" applyNumberFormat="1" applyFont="1" applyBorder="1">
      <alignment/>
      <protection/>
    </xf>
    <xf numFmtId="0" fontId="7" fillId="0" borderId="64" xfId="69" applyFont="1" applyBorder="1">
      <alignment/>
      <protection/>
    </xf>
    <xf numFmtId="3" fontId="7" fillId="0" borderId="65" xfId="69" applyNumberFormat="1" applyFont="1" applyBorder="1">
      <alignment/>
      <protection/>
    </xf>
    <xf numFmtId="3" fontId="7" fillId="0" borderId="31" xfId="69" applyNumberFormat="1" applyFont="1" applyBorder="1">
      <alignment/>
      <protection/>
    </xf>
    <xf numFmtId="3" fontId="7" fillId="0" borderId="64" xfId="69" applyNumberFormat="1" applyFont="1" applyBorder="1">
      <alignment/>
      <protection/>
    </xf>
    <xf numFmtId="3" fontId="7" fillId="0" borderId="43" xfId="69" applyNumberFormat="1" applyFont="1" applyBorder="1">
      <alignment/>
      <protection/>
    </xf>
    <xf numFmtId="0" fontId="33" fillId="0" borderId="0" xfId="69" applyFont="1" applyBorder="1" quotePrefix="1">
      <alignment/>
      <protection/>
    </xf>
    <xf numFmtId="3" fontId="12" fillId="0" borderId="0" xfId="69" applyNumberFormat="1" applyFont="1" applyBorder="1">
      <alignment/>
      <protection/>
    </xf>
    <xf numFmtId="3" fontId="12" fillId="0" borderId="0" xfId="69" applyNumberFormat="1" applyFont="1" applyFill="1" applyBorder="1">
      <alignment/>
      <protection/>
    </xf>
    <xf numFmtId="3" fontId="33" fillId="0" borderId="0" xfId="69" applyNumberFormat="1" applyFont="1" applyFill="1" applyBorder="1">
      <alignment/>
      <protection/>
    </xf>
    <xf numFmtId="3" fontId="35" fillId="0" borderId="0" xfId="69" applyNumberFormat="1" applyFont="1" applyBorder="1">
      <alignment/>
      <protection/>
    </xf>
    <xf numFmtId="3" fontId="33" fillId="0" borderId="15" xfId="69" applyNumberFormat="1" applyFont="1" applyBorder="1">
      <alignment/>
      <protection/>
    </xf>
    <xf numFmtId="3" fontId="33" fillId="0" borderId="15" xfId="69" applyNumberFormat="1" applyFont="1" applyBorder="1">
      <alignment/>
      <protection/>
    </xf>
    <xf numFmtId="3" fontId="14" fillId="0" borderId="66" xfId="69" applyNumberFormat="1" applyFont="1" applyBorder="1">
      <alignment/>
      <protection/>
    </xf>
    <xf numFmtId="3" fontId="7" fillId="0" borderId="67" xfId="69" applyNumberFormat="1" applyFont="1" applyBorder="1">
      <alignment/>
      <protection/>
    </xf>
    <xf numFmtId="3" fontId="32" fillId="0" borderId="11" xfId="69" applyNumberFormat="1" applyFont="1" applyBorder="1">
      <alignment/>
      <protection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15" xfId="69" applyNumberFormat="1" applyFont="1" applyFill="1" applyBorder="1">
      <alignment/>
      <protection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47" xfId="69" applyFont="1" applyBorder="1">
      <alignment/>
      <protection/>
    </xf>
    <xf numFmtId="164" fontId="38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11" xfId="72" applyNumberFormat="1" applyFont="1" applyFill="1" applyBorder="1" applyAlignment="1" applyProtection="1">
      <alignment vertical="center"/>
      <protection locked="0"/>
    </xf>
    <xf numFmtId="164" fontId="15" fillId="0" borderId="12" xfId="72" applyNumberFormat="1" applyFont="1" applyFill="1" applyBorder="1" applyAlignment="1" applyProtection="1">
      <alignment vertical="center"/>
      <protection locked="0"/>
    </xf>
    <xf numFmtId="164" fontId="38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32" fillId="0" borderId="15" xfId="0" applyNumberFormat="1" applyFont="1" applyFill="1" applyBorder="1" applyAlignment="1" applyProtection="1">
      <alignment vertical="center" wrapText="1"/>
      <protection locked="0"/>
    </xf>
    <xf numFmtId="49" fontId="3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Border="1" applyAlignment="1" applyProtection="1" quotePrefix="1">
      <alignment horizontal="left" wrapText="1" indent="1"/>
      <protection/>
    </xf>
    <xf numFmtId="0" fontId="13" fillId="0" borderId="22" xfId="71" applyFont="1" applyFill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vertical="center" wrapText="1"/>
      <protection/>
    </xf>
    <xf numFmtId="0" fontId="19" fillId="0" borderId="15" xfId="0" applyFont="1" applyBorder="1" applyAlignment="1" applyProtection="1">
      <alignment vertical="center" wrapText="1"/>
      <protection/>
    </xf>
    <xf numFmtId="0" fontId="20" fillId="0" borderId="41" xfId="0" applyFont="1" applyBorder="1" applyAlignment="1" applyProtection="1">
      <alignment vertical="center" wrapText="1"/>
      <protection/>
    </xf>
    <xf numFmtId="0" fontId="15" fillId="0" borderId="31" xfId="71" applyFont="1" applyFill="1" applyBorder="1" applyAlignment="1" applyProtection="1">
      <alignment horizontal="left" vertical="center" wrapText="1" indent="7"/>
      <protection/>
    </xf>
    <xf numFmtId="0" fontId="13" fillId="0" borderId="41" xfId="71" applyFont="1" applyFill="1" applyBorder="1" applyAlignment="1" applyProtection="1">
      <alignment horizontal="left" vertical="center" wrapText="1" indent="1"/>
      <protection/>
    </xf>
    <xf numFmtId="0" fontId="13" fillId="0" borderId="51" xfId="71" applyFont="1" applyFill="1" applyBorder="1" applyAlignment="1" applyProtection="1">
      <alignment vertical="center" wrapText="1"/>
      <protection/>
    </xf>
    <xf numFmtId="164" fontId="13" fillId="0" borderId="68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26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5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49" fontId="7" fillId="0" borderId="69" xfId="0" applyNumberFormat="1" applyFont="1" applyFill="1" applyBorder="1" applyAlignment="1" applyProtection="1">
      <alignment horizontal="right" vertical="center" indent="1"/>
      <protection/>
    </xf>
    <xf numFmtId="49" fontId="13" fillId="0" borderId="22" xfId="71" applyNumberFormat="1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6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9" xfId="71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6" xfId="71" applyNumberFormat="1" applyFont="1" applyFill="1" applyBorder="1" applyAlignment="1" applyProtection="1">
      <alignment horizontal="right" vertical="center" wrapText="1" indent="1"/>
      <protection/>
    </xf>
    <xf numFmtId="166" fontId="15" fillId="0" borderId="57" xfId="46" applyNumberFormat="1" applyFont="1" applyFill="1" applyBorder="1" applyAlignment="1" applyProtection="1">
      <alignment/>
      <protection locked="0"/>
    </xf>
    <xf numFmtId="166" fontId="15" fillId="0" borderId="40" xfId="46" applyNumberFormat="1" applyFont="1" applyFill="1" applyBorder="1" applyAlignment="1" applyProtection="1">
      <alignment/>
      <protection locked="0"/>
    </xf>
    <xf numFmtId="164" fontId="38" fillId="0" borderId="27" xfId="7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72" applyFont="1" applyFill="1" applyAlignment="1" applyProtection="1">
      <alignment vertical="center"/>
      <protection locked="0"/>
    </xf>
    <xf numFmtId="0" fontId="15" fillId="0" borderId="0" xfId="69" applyFont="1">
      <alignment/>
      <protection/>
    </xf>
    <xf numFmtId="164" fontId="15" fillId="0" borderId="10" xfId="72" applyNumberFormat="1" applyFont="1" applyFill="1" applyBorder="1" applyAlignment="1" applyProtection="1">
      <alignment vertical="center"/>
      <protection locked="0"/>
    </xf>
    <xf numFmtId="164" fontId="13" fillId="0" borderId="44" xfId="72" applyNumberFormat="1" applyFont="1" applyFill="1" applyBorder="1" applyAlignment="1" applyProtection="1">
      <alignment vertical="center"/>
      <protection/>
    </xf>
    <xf numFmtId="164" fontId="13" fillId="0" borderId="27" xfId="72" applyNumberFormat="1" applyFont="1" applyFill="1" applyBorder="1" applyAlignment="1" applyProtection="1">
      <alignment vertical="center"/>
      <protection/>
    </xf>
    <xf numFmtId="164" fontId="13" fillId="0" borderId="28" xfId="72" applyNumberFormat="1" applyFont="1" applyFill="1" applyBorder="1" applyAlignment="1" applyProtection="1">
      <alignment vertical="center"/>
      <protection/>
    </xf>
    <xf numFmtId="164" fontId="15" fillId="0" borderId="40" xfId="71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9" xfId="71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40" xfId="71" applyNumberFormat="1" applyFont="1" applyFill="1" applyBorder="1" applyAlignment="1" applyProtection="1">
      <alignment horizontal="right" vertical="center" wrapText="1" indent="1"/>
      <protection locked="0"/>
    </xf>
    <xf numFmtId="3" fontId="12" fillId="0" borderId="20" xfId="69" applyNumberFormat="1" applyFont="1" applyBorder="1" applyAlignment="1">
      <alignment horizontal="right"/>
      <protection/>
    </xf>
    <xf numFmtId="164" fontId="15" fillId="0" borderId="17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37" fillId="0" borderId="0" xfId="0" applyFont="1" applyFill="1" applyAlignment="1">
      <alignment vertical="center" wrapText="1"/>
    </xf>
    <xf numFmtId="164" fontId="15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7" xfId="0" applyNumberFormat="1" applyFont="1" applyFill="1" applyBorder="1" applyAlignment="1" applyProtection="1">
      <alignment horizontal="right" vertical="center" wrapText="1" indent="1"/>
      <protection locked="0"/>
    </xf>
    <xf numFmtId="164" fontId="36" fillId="0" borderId="39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1" xfId="69" applyNumberFormat="1" applyFont="1" applyFill="1" applyBorder="1">
      <alignment/>
      <protection/>
    </xf>
    <xf numFmtId="166" fontId="3" fillId="0" borderId="57" xfId="46" applyNumberFormat="1" applyFont="1" applyBorder="1" applyAlignment="1">
      <alignment/>
    </xf>
    <xf numFmtId="3" fontId="12" fillId="0" borderId="19" xfId="69" applyNumberFormat="1" applyFont="1" applyFill="1" applyBorder="1">
      <alignment/>
      <protection/>
    </xf>
    <xf numFmtId="164" fontId="38" fillId="0" borderId="42" xfId="71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32" xfId="71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38" fillId="0" borderId="28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3" xfId="7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43" xfId="0" applyNumberFormat="1" applyFont="1" applyFill="1" applyBorder="1" applyAlignment="1" applyProtection="1">
      <alignment vertical="center" wrapText="1"/>
      <protection/>
    </xf>
    <xf numFmtId="3" fontId="0" fillId="0" borderId="67" xfId="46" applyNumberFormat="1" applyFont="1" applyFill="1" applyBorder="1" applyAlignment="1" applyProtection="1">
      <alignment horizontal="left"/>
      <protection locked="0"/>
    </xf>
    <xf numFmtId="164" fontId="32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9" xfId="0" applyNumberFormat="1" applyFill="1" applyBorder="1" applyAlignment="1" applyProtection="1">
      <alignment horizontal="left" vertical="center" wrapText="1"/>
      <protection locked="0"/>
    </xf>
    <xf numFmtId="0" fontId="57" fillId="0" borderId="47" xfId="0" applyFont="1" applyFill="1" applyBorder="1" applyAlignment="1">
      <alignment vertical="center"/>
    </xf>
    <xf numFmtId="0" fontId="57" fillId="0" borderId="47" xfId="0" applyFont="1" applyFill="1" applyBorder="1" applyAlignment="1" quotePrefix="1">
      <alignment vertical="center"/>
    </xf>
    <xf numFmtId="164" fontId="14" fillId="0" borderId="30" xfId="71" applyNumberFormat="1" applyFont="1" applyFill="1" applyBorder="1" applyAlignment="1" applyProtection="1">
      <alignment horizontal="left" vertical="center"/>
      <protection/>
    </xf>
    <xf numFmtId="0" fontId="0" fillId="0" borderId="58" xfId="70" applyFont="1" applyBorder="1" applyAlignment="1">
      <alignment horizontal="left"/>
      <protection/>
    </xf>
    <xf numFmtId="0" fontId="0" fillId="0" borderId="59" xfId="70" applyFont="1" applyBorder="1" applyAlignment="1" quotePrefix="1">
      <alignment horizontal="left"/>
      <protection/>
    </xf>
    <xf numFmtId="0" fontId="2" fillId="0" borderId="0" xfId="71" applyFill="1">
      <alignment/>
      <protection/>
    </xf>
    <xf numFmtId="0" fontId="7" fillId="0" borderId="50" xfId="71" applyFont="1" applyFill="1" applyBorder="1" applyAlignment="1" applyProtection="1">
      <alignment horizontal="center" vertical="center" wrapText="1"/>
      <protection/>
    </xf>
    <xf numFmtId="0" fontId="13" fillId="0" borderId="50" xfId="71" applyFont="1" applyFill="1" applyBorder="1" applyAlignment="1" applyProtection="1">
      <alignment horizontal="center" vertical="center" wrapText="1"/>
      <protection/>
    </xf>
    <xf numFmtId="0" fontId="15" fillId="0" borderId="0" xfId="71" applyFont="1" applyFill="1">
      <alignment/>
      <protection/>
    </xf>
    <xf numFmtId="164" fontId="13" fillId="0" borderId="23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71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71" applyFont="1" applyFill="1">
      <alignment/>
      <protection/>
    </xf>
    <xf numFmtId="164" fontId="15" fillId="0" borderId="70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50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11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2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0" xfId="7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4" xfId="71" applyFont="1" applyFill="1" applyBorder="1" applyAlignment="1" applyProtection="1">
      <alignment horizontal="center" vertical="center" wrapText="1"/>
      <protection/>
    </xf>
    <xf numFmtId="0" fontId="6" fillId="0" borderId="54" xfId="71" applyFont="1" applyFill="1" applyBorder="1" applyAlignment="1" applyProtection="1">
      <alignment vertical="center" wrapText="1"/>
      <protection/>
    </xf>
    <xf numFmtId="0" fontId="15" fillId="0" borderId="54" xfId="71" applyFont="1" applyFill="1" applyBorder="1" applyAlignment="1" applyProtection="1">
      <alignment horizontal="right" vertical="center" wrapText="1" indent="1"/>
      <protection locked="0"/>
    </xf>
    <xf numFmtId="164" fontId="13" fillId="0" borderId="25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61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71" applyNumberFormat="1" applyFont="1" applyFill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>
      <alignment horizontal="right" vertical="center" wrapText="1" indent="1"/>
      <protection/>
    </xf>
    <xf numFmtId="164" fontId="20" fillId="0" borderId="50" xfId="0" applyNumberFormat="1" applyFont="1" applyBorder="1" applyAlignment="1" applyProtection="1">
      <alignment horizontal="right" vertical="center" wrapText="1" indent="1"/>
      <protection/>
    </xf>
    <xf numFmtId="164" fontId="20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8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8" fillId="0" borderId="50" xfId="0" applyNumberFormat="1" applyFont="1" applyBorder="1" applyAlignment="1" applyProtection="1" quotePrefix="1">
      <alignment horizontal="right" vertical="center" wrapText="1" indent="1"/>
      <protection/>
    </xf>
    <xf numFmtId="0" fontId="2" fillId="0" borderId="0" xfId="71" applyFont="1" applyFill="1">
      <alignment/>
      <protection/>
    </xf>
    <xf numFmtId="164" fontId="15" fillId="0" borderId="46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0" fontId="59" fillId="0" borderId="0" xfId="0" applyFont="1" applyFill="1" applyBorder="1" applyAlignment="1" applyProtection="1">
      <alignment/>
      <protection/>
    </xf>
    <xf numFmtId="0" fontId="15" fillId="0" borderId="24" xfId="71" applyFont="1" applyFill="1" applyBorder="1" applyAlignment="1" applyProtection="1">
      <alignment horizontal="center" vertical="center"/>
      <protection/>
    </xf>
    <xf numFmtId="0" fontId="22" fillId="0" borderId="14" xfId="0" applyFont="1" applyBorder="1" applyAlignment="1">
      <alignment horizontal="justify" wrapText="1"/>
    </xf>
    <xf numFmtId="0" fontId="22" fillId="0" borderId="14" xfId="0" applyFont="1" applyBorder="1" applyAlignment="1">
      <alignment wrapText="1"/>
    </xf>
    <xf numFmtId="0" fontId="22" fillId="0" borderId="65" xfId="0" applyFont="1" applyBorder="1" applyAlignment="1">
      <alignment wrapText="1"/>
    </xf>
    <xf numFmtId="0" fontId="15" fillId="0" borderId="25" xfId="71" applyFont="1" applyFill="1" applyBorder="1" applyAlignment="1" applyProtection="1">
      <alignment horizontal="center" vertical="center"/>
      <protection/>
    </xf>
    <xf numFmtId="0" fontId="15" fillId="0" borderId="29" xfId="71" applyFont="1" applyFill="1" applyBorder="1" applyAlignment="1" applyProtection="1">
      <alignment horizontal="center" vertical="center"/>
      <protection/>
    </xf>
    <xf numFmtId="166" fontId="13" fillId="0" borderId="68" xfId="46" applyNumberFormat="1" applyFont="1" applyFill="1" applyBorder="1" applyAlignment="1" applyProtection="1">
      <alignment/>
      <protection/>
    </xf>
    <xf numFmtId="0" fontId="15" fillId="0" borderId="71" xfId="71" applyFont="1" applyFill="1" applyBorder="1" applyProtection="1">
      <alignment/>
      <protection/>
    </xf>
    <xf numFmtId="0" fontId="15" fillId="0" borderId="21" xfId="71" applyFont="1" applyFill="1" applyBorder="1" applyAlignment="1" applyProtection="1">
      <alignment horizontal="center" vertical="center"/>
      <protection/>
    </xf>
    <xf numFmtId="166" fontId="15" fillId="0" borderId="61" xfId="46" applyNumberFormat="1" applyFont="1" applyFill="1" applyBorder="1" applyAlignment="1" applyProtection="1">
      <alignment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/>
      <protection locked="0"/>
    </xf>
    <xf numFmtId="3" fontId="0" fillId="16" borderId="67" xfId="46" applyNumberFormat="1" applyFont="1" applyFill="1" applyBorder="1" applyAlignment="1" applyProtection="1">
      <alignment horizontal="left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47" xfId="71" applyFont="1" applyFill="1" applyBorder="1" applyProtection="1">
      <alignment/>
      <protection locked="0"/>
    </xf>
    <xf numFmtId="164" fontId="37" fillId="0" borderId="0" xfId="0" applyNumberFormat="1" applyFont="1" applyFill="1" applyAlignment="1">
      <alignment horizontal="center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3" fontId="12" fillId="0" borderId="72" xfId="69" applyNumberFormat="1" applyFont="1" applyFill="1" applyBorder="1">
      <alignment/>
      <protection/>
    </xf>
    <xf numFmtId="3" fontId="12" fillId="0" borderId="71" xfId="69" applyNumberFormat="1" applyFont="1" applyBorder="1" applyAlignment="1">
      <alignment horizontal="center"/>
      <protection/>
    </xf>
    <xf numFmtId="3" fontId="12" fillId="0" borderId="14" xfId="69" applyNumberFormat="1" applyFont="1" applyBorder="1">
      <alignment/>
      <protection/>
    </xf>
    <xf numFmtId="3" fontId="33" fillId="0" borderId="14" xfId="69" applyNumberFormat="1" applyFont="1" applyBorder="1">
      <alignment/>
      <protection/>
    </xf>
    <xf numFmtId="3" fontId="12" fillId="0" borderId="72" xfId="69" applyNumberFormat="1" applyFont="1" applyBorder="1">
      <alignment/>
      <protection/>
    </xf>
    <xf numFmtId="3" fontId="12" fillId="0" borderId="14" xfId="69" applyNumberFormat="1" applyFont="1" applyFill="1" applyBorder="1">
      <alignment/>
      <protection/>
    </xf>
    <xf numFmtId="0" fontId="12" fillId="0" borderId="63" xfId="69" applyFont="1" applyBorder="1">
      <alignment/>
      <protection/>
    </xf>
    <xf numFmtId="0" fontId="12" fillId="0" borderId="47" xfId="69" applyFont="1" applyBorder="1">
      <alignment/>
      <protection/>
    </xf>
    <xf numFmtId="49" fontId="12" fillId="0" borderId="47" xfId="69" applyNumberFormat="1" applyFont="1" applyBorder="1">
      <alignment/>
      <protection/>
    </xf>
    <xf numFmtId="49" fontId="12" fillId="0" borderId="47" xfId="69" applyNumberFormat="1" applyFont="1" applyBorder="1">
      <alignment/>
      <protection/>
    </xf>
    <xf numFmtId="0" fontId="7" fillId="0" borderId="47" xfId="69" applyFont="1" applyBorder="1">
      <alignment/>
      <protection/>
    </xf>
    <xf numFmtId="49" fontId="33" fillId="0" borderId="47" xfId="69" applyNumberFormat="1" applyFont="1" applyBorder="1">
      <alignment/>
      <protection/>
    </xf>
    <xf numFmtId="0" fontId="0" fillId="0" borderId="47" xfId="69" applyFont="1" applyBorder="1">
      <alignment/>
      <protection/>
    </xf>
    <xf numFmtId="0" fontId="12" fillId="0" borderId="66" xfId="69" applyFont="1" applyBorder="1">
      <alignment/>
      <protection/>
    </xf>
    <xf numFmtId="0" fontId="12" fillId="0" borderId="49" xfId="69" applyFont="1" applyBorder="1">
      <alignment/>
      <protection/>
    </xf>
    <xf numFmtId="3" fontId="7" fillId="0" borderId="71" xfId="69" applyNumberFormat="1" applyFont="1" applyBorder="1">
      <alignment/>
      <protection/>
    </xf>
    <xf numFmtId="3" fontId="12" fillId="0" borderId="14" xfId="69" applyNumberFormat="1" applyFont="1" applyBorder="1">
      <alignment/>
      <protection/>
    </xf>
    <xf numFmtId="0" fontId="7" fillId="0" borderId="46" xfId="69" applyFont="1" applyBorder="1">
      <alignment/>
      <protection/>
    </xf>
    <xf numFmtId="0" fontId="12" fillId="0" borderId="47" xfId="69" applyFont="1" applyBorder="1" quotePrefix="1">
      <alignment/>
      <protection/>
    </xf>
    <xf numFmtId="164" fontId="13" fillId="0" borderId="45" xfId="71" applyNumberFormat="1" applyFont="1" applyFill="1" applyBorder="1" applyAlignment="1" applyProtection="1">
      <alignment horizontal="right" vertical="center" wrapText="1" indent="1"/>
      <protection/>
    </xf>
    <xf numFmtId="164" fontId="36" fillId="0" borderId="70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0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1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71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64" fontId="38" fillId="0" borderId="67" xfId="0" applyNumberFormat="1" applyFont="1" applyFill="1" applyBorder="1" applyAlignment="1" applyProtection="1">
      <alignment vertical="center" wrapText="1"/>
      <protection locked="0"/>
    </xf>
    <xf numFmtId="164" fontId="12" fillId="0" borderId="67" xfId="0" applyNumberFormat="1" applyFont="1" applyFill="1" applyBorder="1" applyAlignment="1" applyProtection="1">
      <alignment vertical="center" wrapText="1"/>
      <protection locked="0"/>
    </xf>
    <xf numFmtId="164" fontId="0" fillId="0" borderId="47" xfId="0" applyNumberFormat="1" applyFont="1" applyFill="1" applyBorder="1" applyAlignment="1" applyProtection="1">
      <alignment horizontal="left" vertical="center" wrapText="1"/>
      <protection locked="0"/>
    </xf>
    <xf numFmtId="164" fontId="36" fillId="0" borderId="67" xfId="0" applyNumberFormat="1" applyFont="1" applyFill="1" applyBorder="1" applyAlignment="1" applyProtection="1">
      <alignment vertical="center" wrapText="1"/>
      <protection locked="0"/>
    </xf>
    <xf numFmtId="164" fontId="15" fillId="0" borderId="67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64" fontId="0" fillId="0" borderId="47" xfId="0" applyNumberFormat="1" applyFont="1" applyFill="1" applyBorder="1" applyAlignment="1" applyProtection="1">
      <alignment vertical="center" wrapText="1"/>
      <protection locked="0"/>
    </xf>
    <xf numFmtId="164" fontId="0" fillId="0" borderId="66" xfId="0" applyNumberFormat="1" applyFont="1" applyFill="1" applyBorder="1" applyAlignment="1" applyProtection="1">
      <alignment vertical="center" wrapText="1"/>
      <protection locked="0"/>
    </xf>
    <xf numFmtId="3" fontId="58" fillId="0" borderId="47" xfId="46" applyNumberFormat="1" applyFont="1" applyFill="1" applyBorder="1" applyAlignment="1">
      <alignment vertical="center" wrapText="1"/>
    </xf>
    <xf numFmtId="0" fontId="57" fillId="0" borderId="66" xfId="0" applyFont="1" applyFill="1" applyBorder="1" applyAlignment="1">
      <alignment vertical="center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42" xfId="0" applyNumberFormat="1" applyFont="1" applyFill="1" applyBorder="1" applyAlignment="1" applyProtection="1">
      <alignment vertical="center" wrapText="1"/>
      <protection/>
    </xf>
    <xf numFmtId="49" fontId="15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43" xfId="0" applyNumberFormat="1" applyFont="1" applyFill="1" applyBorder="1" applyAlignment="1" applyProtection="1">
      <alignment vertical="center" wrapText="1"/>
      <protection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0" fontId="57" fillId="0" borderId="20" xfId="0" applyFont="1" applyFill="1" applyBorder="1" applyAlignment="1">
      <alignment vertical="center"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7" xfId="0" applyFont="1" applyFill="1" applyBorder="1" applyAlignment="1">
      <alignment vertical="center"/>
    </xf>
    <xf numFmtId="0" fontId="57" fillId="0" borderId="21" xfId="0" applyFont="1" applyFill="1" applyBorder="1" applyAlignment="1">
      <alignment vertical="center"/>
    </xf>
    <xf numFmtId="164" fontId="15" fillId="0" borderId="29" xfId="0" applyNumberFormat="1" applyFont="1" applyFill="1" applyBorder="1" applyAlignment="1" applyProtection="1">
      <alignment vertical="center" wrapText="1"/>
      <protection/>
    </xf>
    <xf numFmtId="164" fontId="13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center" vertical="center" wrapText="1"/>
      <protection/>
    </xf>
    <xf numFmtId="164" fontId="13" fillId="0" borderId="44" xfId="0" applyNumberFormat="1" applyFont="1" applyFill="1" applyBorder="1" applyAlignment="1" applyProtection="1">
      <alignment horizontal="center"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28" xfId="0" applyNumberFormat="1" applyFont="1" applyFill="1" applyBorder="1" applyAlignment="1" applyProtection="1">
      <alignment vertical="center" wrapText="1"/>
      <protection/>
    </xf>
    <xf numFmtId="164" fontId="0" fillId="0" borderId="20" xfId="0" applyNumberFormat="1" applyFill="1" applyBorder="1" applyAlignment="1" applyProtection="1">
      <alignment horizontal="left"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0" fontId="15" fillId="0" borderId="17" xfId="71" applyFont="1" applyFill="1" applyBorder="1" applyAlignment="1" applyProtection="1">
      <alignment horizontal="left"/>
      <protection locked="0"/>
    </xf>
    <xf numFmtId="164" fontId="0" fillId="0" borderId="17" xfId="0" applyNumberFormat="1" applyFill="1" applyBorder="1" applyAlignment="1" applyProtection="1">
      <alignment horizontal="left" vertical="center" wrapText="1"/>
      <protection locked="0"/>
    </xf>
    <xf numFmtId="164" fontId="0" fillId="0" borderId="41" xfId="0" applyNumberFormat="1" applyFill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9" xfId="71" applyNumberFormat="1" applyFont="1" applyFill="1" applyBorder="1" applyAlignment="1" applyProtection="1">
      <alignment horizontal="right" vertical="center" wrapText="1" indent="1"/>
      <protection/>
    </xf>
    <xf numFmtId="164" fontId="36" fillId="0" borderId="40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68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71" applyNumberFormat="1" applyFont="1" applyFill="1" applyBorder="1" applyAlignment="1" applyProtection="1">
      <alignment horizontal="center" vertical="center" wrapText="1"/>
      <protection/>
    </xf>
    <xf numFmtId="164" fontId="15" fillId="0" borderId="26" xfId="71" applyNumberFormat="1" applyFont="1" applyFill="1" applyBorder="1" applyAlignment="1" applyProtection="1">
      <alignment horizontal="center" vertical="center" wrapText="1"/>
      <protection/>
    </xf>
    <xf numFmtId="164" fontId="15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42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28" xfId="71" applyNumberFormat="1" applyFont="1" applyFill="1" applyBorder="1" applyAlignment="1" applyProtection="1">
      <alignment horizontal="center" vertical="center" wrapText="1"/>
      <protection/>
    </xf>
    <xf numFmtId="164" fontId="15" fillId="0" borderId="27" xfId="71" applyNumberFormat="1" applyFont="1" applyFill="1" applyBorder="1" applyAlignment="1" applyProtection="1">
      <alignment horizontal="center" vertical="center" wrapText="1"/>
      <protection/>
    </xf>
    <xf numFmtId="164" fontId="15" fillId="0" borderId="42" xfId="71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0" fontId="15" fillId="0" borderId="17" xfId="71" applyFont="1" applyFill="1" applyBorder="1" applyAlignment="1" applyProtection="1">
      <alignment horizontal="left"/>
      <protection locked="0"/>
    </xf>
    <xf numFmtId="0" fontId="0" fillId="0" borderId="47" xfId="71" applyFont="1" applyFill="1" applyBorder="1" applyProtection="1">
      <alignment/>
      <protection locked="0"/>
    </xf>
    <xf numFmtId="3" fontId="57" fillId="0" borderId="58" xfId="49" applyNumberFormat="1" applyFont="1" applyFill="1" applyBorder="1" applyAlignment="1">
      <alignment vertical="center"/>
    </xf>
    <xf numFmtId="0" fontId="57" fillId="0" borderId="58" xfId="68" applyFont="1" applyFill="1" applyBorder="1" applyAlignment="1">
      <alignment vertical="center"/>
      <protection/>
    </xf>
    <xf numFmtId="17" fontId="19" fillId="0" borderId="17" xfId="0" applyNumberFormat="1" applyFont="1" applyBorder="1" applyAlignment="1">
      <alignment horizontal="left" vertical="center" wrapText="1"/>
    </xf>
    <xf numFmtId="164" fontId="15" fillId="0" borderId="19" xfId="0" applyNumberFormat="1" applyFont="1" applyFill="1" applyBorder="1" applyAlignment="1" applyProtection="1">
      <alignment vertical="center" wrapText="1"/>
      <protection locked="0"/>
    </xf>
    <xf numFmtId="164" fontId="15" fillId="0" borderId="74" xfId="0" applyNumberFormat="1" applyFont="1" applyFill="1" applyBorder="1" applyAlignment="1" applyProtection="1">
      <alignment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3" fontId="35" fillId="0" borderId="11" xfId="69" applyNumberFormat="1" applyFont="1" applyBorder="1">
      <alignment/>
      <protection/>
    </xf>
    <xf numFmtId="3" fontId="35" fillId="0" borderId="19" xfId="69" applyNumberFormat="1" applyFont="1" applyBorder="1">
      <alignment/>
      <protection/>
    </xf>
    <xf numFmtId="3" fontId="58" fillId="0" borderId="66" xfId="46" applyNumberFormat="1" applyFont="1" applyFill="1" applyBorder="1" applyAlignment="1">
      <alignment vertical="center" wrapText="1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164" fontId="15" fillId="0" borderId="67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4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6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7" xfId="7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37" xfId="71" applyFont="1" applyFill="1" applyBorder="1" applyAlignment="1" applyProtection="1">
      <alignment horizontal="center" vertical="center" wrapText="1"/>
      <protection/>
    </xf>
    <xf numFmtId="0" fontId="13" fillId="0" borderId="78" xfId="71" applyFont="1" applyFill="1" applyBorder="1" applyAlignment="1" applyProtection="1">
      <alignment horizontal="center" vertical="center" wrapText="1"/>
      <protection/>
    </xf>
    <xf numFmtId="164" fontId="13" fillId="0" borderId="78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78" xfId="71" applyNumberFormat="1" applyFont="1" applyFill="1" applyBorder="1" applyAlignment="1" applyProtection="1">
      <alignment horizontal="right" vertical="center" wrapText="1" indent="1"/>
      <protection/>
    </xf>
    <xf numFmtId="164" fontId="15" fillId="0" borderId="67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4" xfId="7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75" xfId="7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78" xfId="7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Border="1" applyAlignment="1" applyProtection="1">
      <alignment horizontal="right" vertical="center"/>
      <protection/>
    </xf>
    <xf numFmtId="0" fontId="7" fillId="0" borderId="63" xfId="71" applyFont="1" applyFill="1" applyBorder="1" applyAlignment="1" applyProtection="1">
      <alignment horizontal="center" vertical="center" wrapText="1"/>
      <protection/>
    </xf>
    <xf numFmtId="0" fontId="13" fillId="0" borderId="47" xfId="71" applyFont="1" applyFill="1" applyBorder="1" applyAlignment="1" applyProtection="1">
      <alignment horizontal="center" vertical="center" wrapText="1"/>
      <protection/>
    </xf>
    <xf numFmtId="164" fontId="13" fillId="0" borderId="64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71" applyNumberFormat="1" applyFont="1" applyFill="1" applyBorder="1" applyAlignment="1" applyProtection="1">
      <alignment horizontal="right" vertical="center" wrapText="1" indent="1"/>
      <protection/>
    </xf>
    <xf numFmtId="164" fontId="13" fillId="0" borderId="42" xfId="71" applyNumberFormat="1" applyFont="1" applyFill="1" applyBorder="1" applyAlignment="1" applyProtection="1">
      <alignment horizontal="right" vertical="center" wrapText="1" indent="1"/>
      <protection/>
    </xf>
    <xf numFmtId="164" fontId="14" fillId="0" borderId="30" xfId="71" applyNumberFormat="1" applyFont="1" applyFill="1" applyBorder="1" applyAlignment="1" applyProtection="1">
      <alignment horizontal="left" vertical="center"/>
      <protection/>
    </xf>
    <xf numFmtId="164" fontId="6" fillId="0" borderId="0" xfId="71" applyNumberFormat="1" applyFont="1" applyFill="1" applyBorder="1" applyAlignment="1" applyProtection="1">
      <alignment horizontal="center" vertical="center"/>
      <protection/>
    </xf>
    <xf numFmtId="164" fontId="14" fillId="0" borderId="30" xfId="71" applyNumberFormat="1" applyFont="1" applyFill="1" applyBorder="1" applyAlignment="1" applyProtection="1">
      <alignment horizontal="left"/>
      <protection/>
    </xf>
    <xf numFmtId="0" fontId="6" fillId="0" borderId="0" xfId="71" applyFont="1" applyFill="1" applyAlignment="1" applyProtection="1">
      <alignment horizontal="center"/>
      <protection/>
    </xf>
    <xf numFmtId="164" fontId="7" fillId="0" borderId="30" xfId="71" applyNumberFormat="1" applyFont="1" applyFill="1" applyBorder="1" applyAlignment="1" applyProtection="1">
      <alignment horizontal="center" vertical="center"/>
      <protection/>
    </xf>
    <xf numFmtId="164" fontId="7" fillId="0" borderId="79" xfId="0" applyNumberFormat="1" applyFont="1" applyFill="1" applyBorder="1" applyAlignment="1" applyProtection="1">
      <alignment horizontal="center" vertical="center" wrapText="1"/>
      <protection/>
    </xf>
    <xf numFmtId="164" fontId="7" fillId="0" borderId="80" xfId="0" applyNumberFormat="1" applyFont="1" applyFill="1" applyBorder="1" applyAlignment="1" applyProtection="1">
      <alignment horizontal="center" vertical="center" wrapText="1"/>
      <protection/>
    </xf>
    <xf numFmtId="164" fontId="8" fillId="0" borderId="0" xfId="0" applyNumberFormat="1" applyFont="1" applyFill="1" applyAlignment="1" applyProtection="1">
      <alignment horizontal="center" textRotation="180" wrapText="1"/>
      <protection/>
    </xf>
    <xf numFmtId="164" fontId="24" fillId="0" borderId="54" xfId="0" applyNumberFormat="1" applyFont="1" applyFill="1" applyBorder="1" applyAlignment="1" applyProtection="1">
      <alignment horizontal="center" vertical="center" wrapText="1"/>
      <protection/>
    </xf>
    <xf numFmtId="164" fontId="7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NumberFormat="1" applyFont="1" applyFill="1" applyBorder="1" applyAlignment="1" applyProtection="1">
      <alignment horizontal="center" vertical="center" wrapText="1"/>
      <protection/>
    </xf>
    <xf numFmtId="164" fontId="4" fillId="0" borderId="0" xfId="71" applyNumberFormat="1" applyFont="1" applyFill="1" applyBorder="1" applyAlignment="1" applyProtection="1">
      <alignment horizontal="center" vertical="center" wrapText="1"/>
      <protection/>
    </xf>
    <xf numFmtId="0" fontId="7" fillId="0" borderId="41" xfId="71" applyFont="1" applyFill="1" applyBorder="1" applyAlignment="1" applyProtection="1">
      <alignment horizontal="left"/>
      <protection/>
    </xf>
    <xf numFmtId="0" fontId="7" fillId="0" borderId="51" xfId="71" applyFont="1" applyFill="1" applyBorder="1" applyAlignment="1" applyProtection="1">
      <alignment horizontal="left"/>
      <protection/>
    </xf>
    <xf numFmtId="0" fontId="15" fillId="0" borderId="54" xfId="71" applyFont="1" applyFill="1" applyBorder="1" applyAlignment="1">
      <alignment horizontal="justify" vertical="center" wrapText="1"/>
      <protection/>
    </xf>
    <xf numFmtId="164" fontId="6" fillId="0" borderId="0" xfId="0" applyNumberFormat="1" applyFont="1" applyFill="1" applyAlignment="1">
      <alignment horizontal="center" vertical="center" wrapText="1"/>
    </xf>
    <xf numFmtId="0" fontId="0" fillId="0" borderId="58" xfId="70" applyFont="1" applyBorder="1" applyAlignment="1">
      <alignment horizontal="left"/>
      <protection/>
    </xf>
    <xf numFmtId="0" fontId="0" fillId="0" borderId="59" xfId="70" applyFont="1" applyBorder="1" applyAlignment="1" quotePrefix="1">
      <alignment horizontal="left"/>
      <protection/>
    </xf>
    <xf numFmtId="0" fontId="14" fillId="0" borderId="78" xfId="72" applyFont="1" applyFill="1" applyBorder="1" applyAlignment="1" applyProtection="1">
      <alignment horizontal="left" vertical="center" indent="1"/>
      <protection/>
    </xf>
    <xf numFmtId="0" fontId="14" fillId="0" borderId="37" xfId="72" applyFont="1" applyFill="1" applyBorder="1" applyAlignment="1" applyProtection="1">
      <alignment horizontal="left" vertical="center" indent="1"/>
      <protection/>
    </xf>
    <xf numFmtId="0" fontId="14" fillId="0" borderId="50" xfId="72" applyFont="1" applyFill="1" applyBorder="1" applyAlignment="1" applyProtection="1">
      <alignment horizontal="left" vertical="center" indent="1"/>
      <protection/>
    </xf>
    <xf numFmtId="0" fontId="6" fillId="0" borderId="0" xfId="72" applyFont="1" applyFill="1" applyAlignment="1" applyProtection="1">
      <alignment horizontal="center" wrapText="1"/>
      <protection/>
    </xf>
    <xf numFmtId="0" fontId="6" fillId="0" borderId="0" xfId="72" applyFont="1" applyFill="1" applyAlignment="1" applyProtection="1">
      <alignment horizontal="center"/>
      <protection/>
    </xf>
    <xf numFmtId="0" fontId="0" fillId="0" borderId="0" xfId="69" applyFont="1" applyAlignment="1">
      <alignment horizontal="center"/>
      <protection/>
    </xf>
    <xf numFmtId="0" fontId="8" fillId="0" borderId="0" xfId="69" applyFont="1" applyAlignment="1">
      <alignment horizontal="center"/>
      <protection/>
    </xf>
    <xf numFmtId="0" fontId="6" fillId="0" borderId="20" xfId="69" applyFont="1" applyBorder="1" applyAlignment="1">
      <alignment horizontal="center"/>
      <protection/>
    </xf>
    <xf numFmtId="0" fontId="6" fillId="0" borderId="13" xfId="69" applyFont="1" applyBorder="1" applyAlignment="1">
      <alignment horizontal="center"/>
      <protection/>
    </xf>
    <xf numFmtId="0" fontId="6" fillId="0" borderId="32" xfId="69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yperlink" xfId="52"/>
    <cellStyle name="Hiperhivatkozás" xfId="53"/>
    <cellStyle name="Hivatkozott cella" xfId="54"/>
    <cellStyle name="Jegyzet" xfId="55"/>
    <cellStyle name="Jelölőszín (1)" xfId="56"/>
    <cellStyle name="Jelölőszín (2)" xfId="57"/>
    <cellStyle name="Jelölőszín (3)" xfId="58"/>
    <cellStyle name="Jelölőszín (4)" xfId="59"/>
    <cellStyle name="Jelölőszín (5)" xfId="60"/>
    <cellStyle name="Jelölőszín (6)" xfId="61"/>
    <cellStyle name="Jó" xfId="62"/>
    <cellStyle name="Kimenet" xfId="63"/>
    <cellStyle name="Magyarázó szöveg" xfId="64"/>
    <cellStyle name="Már látott hiperhivatkozás" xfId="65"/>
    <cellStyle name="Followed Hyperlink" xfId="66"/>
    <cellStyle name="Normál 2" xfId="67"/>
    <cellStyle name="Normál 3" xfId="68"/>
    <cellStyle name="Normál_Göngyölített 12.13" xfId="69"/>
    <cellStyle name="Normál_költségvetési rend. mód. melléklet" xfId="70"/>
    <cellStyle name="Normál_KVRENMUNKA" xfId="71"/>
    <cellStyle name="Normál_SEGEDLETEK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2"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szabaly\KVIR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1.2.sz.mell."/>
      <sheetName val="1.3.sz.mell."/>
      <sheetName val="1.4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 sz. mell. "/>
      <sheetName val="9.1. sz. mell"/>
      <sheetName val="9.1.1. sz. mell "/>
      <sheetName val="9.1.2. sz. mell "/>
      <sheetName val="9.1.3. sz. mell"/>
      <sheetName val="9.2. sz. mell"/>
      <sheetName val="9.2.1. sz. mell"/>
      <sheetName val="9.2.2. sz.  mell"/>
      <sheetName val="9.2.3. sz. mell"/>
      <sheetName val="9.3. sz. mell"/>
      <sheetName val="9.3.1. sz. mell"/>
      <sheetName val="9.3.2. sz. mell"/>
      <sheetName val="9.3.3. sz. mell"/>
      <sheetName val="10.sz.mell"/>
      <sheetName val="1. sz tájékoztató t."/>
      <sheetName val="2. sz tájékoztató t"/>
      <sheetName val="3. sz tájékoztató t."/>
      <sheetName val="4.sz tájékoztató t."/>
      <sheetName val="5.sz tájékoztató t."/>
      <sheetName val="6.sz tájékoztató t."/>
      <sheetName val="7. sz tájékoztató t."/>
      <sheetName val="Munka1"/>
    </sheetNames>
    <sheetDataSet>
      <sheetData sheetId="1">
        <row r="3">
          <cell r="C3" t="str">
            <v>2017. évi előirányzat</v>
          </cell>
        </row>
      </sheetData>
      <sheetData sheetId="26">
        <row r="8">
          <cell r="G8" t="str">
            <v>Forintban!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2">
    <tabColor rgb="FF92D050"/>
  </sheetPr>
  <dimension ref="A1:H159"/>
  <sheetViews>
    <sheetView zoomScaleSheetLayoutView="100" workbookViewId="0" topLeftCell="A4">
      <selection activeCell="B88" sqref="B88"/>
    </sheetView>
  </sheetViews>
  <sheetFormatPr defaultColWidth="9.00390625" defaultRowHeight="12.75"/>
  <cols>
    <col min="1" max="1" width="9.50390625" style="190" customWidth="1"/>
    <col min="2" max="2" width="91.625" style="190" customWidth="1"/>
    <col min="3" max="3" width="21.625" style="191" customWidth="1"/>
    <col min="4" max="4" width="19.375" style="201" hidden="1" customWidth="1"/>
    <col min="5" max="5" width="13.375" style="201" hidden="1" customWidth="1"/>
    <col min="6" max="6" width="15.375" style="201" hidden="1" customWidth="1"/>
    <col min="7" max="7" width="10.625" style="201" customWidth="1"/>
    <col min="8" max="16384" width="9.375" style="201" customWidth="1"/>
  </cols>
  <sheetData>
    <row r="1" spans="1:3" ht="15.75" customHeight="1">
      <c r="A1" s="598" t="s">
        <v>25</v>
      </c>
      <c r="B1" s="598"/>
      <c r="C1" s="598"/>
    </row>
    <row r="2" spans="1:3" ht="15.75" customHeight="1" thickBot="1">
      <c r="A2" s="597" t="s">
        <v>128</v>
      </c>
      <c r="B2" s="597"/>
      <c r="C2" s="138" t="s">
        <v>534</v>
      </c>
    </row>
    <row r="3" spans="1:6" ht="37.5" customHeight="1" thickBot="1">
      <c r="A3" s="22" t="s">
        <v>76</v>
      </c>
      <c r="B3" s="23" t="s">
        <v>27</v>
      </c>
      <c r="C3" s="31" t="s">
        <v>524</v>
      </c>
      <c r="D3" s="190" t="s">
        <v>558</v>
      </c>
      <c r="E3" s="190" t="s">
        <v>559</v>
      </c>
      <c r="F3" s="190" t="s">
        <v>560</v>
      </c>
    </row>
    <row r="4" spans="1:3" s="202" customFormat="1" ht="12" customHeight="1" thickBot="1">
      <c r="A4" s="196" t="s">
        <v>414</v>
      </c>
      <c r="B4" s="197" t="s">
        <v>415</v>
      </c>
      <c r="C4" s="198" t="s">
        <v>416</v>
      </c>
    </row>
    <row r="5" spans="1:6" s="203" customFormat="1" ht="12" customHeight="1" thickBot="1">
      <c r="A5" s="19" t="s">
        <v>28</v>
      </c>
      <c r="B5" s="20" t="s">
        <v>194</v>
      </c>
      <c r="C5" s="134">
        <f>SUM(C6:C11)</f>
        <v>1174961208</v>
      </c>
      <c r="D5" s="431">
        <f>+D6+D7+D8+D9+D10+D11</f>
        <v>1190343400</v>
      </c>
      <c r="E5" s="129">
        <f>+E6+E7+E8+E9+E10+E11</f>
        <v>0</v>
      </c>
      <c r="F5" s="129">
        <f>+F6+F7+F8+F9+F10+F11</f>
        <v>0</v>
      </c>
    </row>
    <row r="6" spans="1:6" s="203" customFormat="1" ht="12" customHeight="1">
      <c r="A6" s="14" t="s">
        <v>101</v>
      </c>
      <c r="B6" s="204" t="s">
        <v>195</v>
      </c>
      <c r="C6" s="556">
        <f>SUM(D6:F6)+905743</f>
        <v>228418282</v>
      </c>
      <c r="D6" s="438">
        <v>227512539</v>
      </c>
      <c r="E6" s="230"/>
      <c r="F6" s="230"/>
    </row>
    <row r="7" spans="1:6" s="203" customFormat="1" ht="12" customHeight="1">
      <c r="A7" s="13" t="s">
        <v>102</v>
      </c>
      <c r="B7" s="205" t="s">
        <v>196</v>
      </c>
      <c r="C7" s="557">
        <f>SUM(D7:F7)</f>
        <v>218107294</v>
      </c>
      <c r="D7" s="385">
        <v>218107294</v>
      </c>
      <c r="E7" s="133"/>
      <c r="F7" s="133"/>
    </row>
    <row r="8" spans="1:6" s="203" customFormat="1" ht="12" customHeight="1">
      <c r="A8" s="13" t="s">
        <v>103</v>
      </c>
      <c r="B8" s="205" t="s">
        <v>518</v>
      </c>
      <c r="C8" s="557">
        <f>SUM(D8:F8)-35761000</f>
        <v>505153065</v>
      </c>
      <c r="D8" s="385">
        <f>121200000+67844165+118423160+15562200+177597260+4526280+11511000+24250000</f>
        <v>540914065</v>
      </c>
      <c r="E8" s="133"/>
      <c r="F8" s="133"/>
    </row>
    <row r="9" spans="1:6" s="203" customFormat="1" ht="12" customHeight="1">
      <c r="A9" s="13" t="s">
        <v>104</v>
      </c>
      <c r="B9" s="205" t="s">
        <v>198</v>
      </c>
      <c r="C9" s="557">
        <f>SUM(D9:F9)-4412740</f>
        <v>25891320</v>
      </c>
      <c r="D9" s="385">
        <f>4412740+15262320+10629000</f>
        <v>30304060</v>
      </c>
      <c r="E9" s="133"/>
      <c r="F9" s="133"/>
    </row>
    <row r="10" spans="1:6" s="203" customFormat="1" ht="12" customHeight="1">
      <c r="A10" s="13" t="s">
        <v>125</v>
      </c>
      <c r="B10" s="125" t="s">
        <v>417</v>
      </c>
      <c r="C10" s="557">
        <f>SUM(D10:F10)+23885805</f>
        <v>197391247</v>
      </c>
      <c r="D10" s="385">
        <f>3551000+1060845+168707597+58000+128000</f>
        <v>173505442</v>
      </c>
      <c r="E10" s="133"/>
      <c r="F10" s="133"/>
    </row>
    <row r="11" spans="1:6" s="203" customFormat="1" ht="12" customHeight="1" thickBot="1">
      <c r="A11" s="15" t="s">
        <v>105</v>
      </c>
      <c r="B11" s="126" t="s">
        <v>418</v>
      </c>
      <c r="C11" s="558">
        <f>SUM(D11:F11)</f>
        <v>0</v>
      </c>
      <c r="D11" s="116"/>
      <c r="E11" s="130"/>
      <c r="F11" s="130"/>
    </row>
    <row r="12" spans="1:6" s="203" customFormat="1" ht="12" customHeight="1" thickBot="1">
      <c r="A12" s="19" t="s">
        <v>29</v>
      </c>
      <c r="B12" s="124" t="s">
        <v>199</v>
      </c>
      <c r="C12" s="134">
        <f>SUM(C13:C17)</f>
        <v>604827092</v>
      </c>
      <c r="D12" s="431">
        <f>+D13+D14+D15+D16+D17</f>
        <v>178283000</v>
      </c>
      <c r="E12" s="129">
        <f>+E13+E14+E15+E16+E17</f>
        <v>0</v>
      </c>
      <c r="F12" s="129">
        <f>+F13+F14+F15+F16+F17</f>
        <v>5485000</v>
      </c>
    </row>
    <row r="13" spans="1:6" s="203" customFormat="1" ht="12" customHeight="1">
      <c r="A13" s="14" t="s">
        <v>107</v>
      </c>
      <c r="B13" s="204" t="s">
        <v>200</v>
      </c>
      <c r="C13" s="556">
        <f>SUM(D13:F13)</f>
        <v>0</v>
      </c>
      <c r="D13" s="433"/>
      <c r="E13" s="131"/>
      <c r="F13" s="131"/>
    </row>
    <row r="14" spans="1:6" s="203" customFormat="1" ht="12" customHeight="1">
      <c r="A14" s="13" t="s">
        <v>108</v>
      </c>
      <c r="B14" s="205" t="s">
        <v>201</v>
      </c>
      <c r="C14" s="557">
        <f>SUM(D14:F14)</f>
        <v>0</v>
      </c>
      <c r="D14" s="116"/>
      <c r="E14" s="130"/>
      <c r="F14" s="130"/>
    </row>
    <row r="15" spans="1:6" s="203" customFormat="1" ht="12" customHeight="1">
      <c r="A15" s="13" t="s">
        <v>109</v>
      </c>
      <c r="B15" s="205" t="s">
        <v>352</v>
      </c>
      <c r="C15" s="557">
        <f>SUM(D15:F15)</f>
        <v>0</v>
      </c>
      <c r="D15" s="116"/>
      <c r="E15" s="130"/>
      <c r="F15" s="130"/>
    </row>
    <row r="16" spans="1:6" s="203" customFormat="1" ht="12" customHeight="1">
      <c r="A16" s="13" t="s">
        <v>110</v>
      </c>
      <c r="B16" s="205" t="s">
        <v>353</v>
      </c>
      <c r="C16" s="557">
        <f>SUM(D16:F16)</f>
        <v>0</v>
      </c>
      <c r="D16" s="116"/>
      <c r="E16" s="130"/>
      <c r="F16" s="130"/>
    </row>
    <row r="17" spans="1:6" s="203" customFormat="1" ht="12" customHeight="1">
      <c r="A17" s="13" t="s">
        <v>111</v>
      </c>
      <c r="B17" s="205" t="s">
        <v>202</v>
      </c>
      <c r="C17" s="557">
        <f>SUM(D17:F17)+326152588+94906504</f>
        <v>604827092</v>
      </c>
      <c r="D17" s="398">
        <f>2285000+210000+110446000+65342000</f>
        <v>178283000</v>
      </c>
      <c r="E17" s="390"/>
      <c r="F17" s="133">
        <v>5485000</v>
      </c>
    </row>
    <row r="18" spans="1:6" s="203" customFormat="1" ht="12" customHeight="1" thickBot="1">
      <c r="A18" s="15" t="s">
        <v>120</v>
      </c>
      <c r="B18" s="126" t="s">
        <v>203</v>
      </c>
      <c r="C18" s="558">
        <f>SUM(D18:F18)</f>
        <v>0</v>
      </c>
      <c r="D18" s="397"/>
      <c r="E18" s="193"/>
      <c r="F18" s="193"/>
    </row>
    <row r="19" spans="1:6" s="203" customFormat="1" ht="12" customHeight="1" thickBot="1">
      <c r="A19" s="19" t="s">
        <v>30</v>
      </c>
      <c r="B19" s="20" t="s">
        <v>204</v>
      </c>
      <c r="C19" s="134">
        <f>SUM(C20:C24)</f>
        <v>18976576</v>
      </c>
      <c r="D19" s="431">
        <f>+D20+D21+D22+D23+D24</f>
        <v>3797300</v>
      </c>
      <c r="E19" s="129">
        <f>+E20+E21+E22+E23+E24</f>
        <v>0</v>
      </c>
      <c r="F19" s="129">
        <f>+F20+F21+F22+F23+F24</f>
        <v>0</v>
      </c>
    </row>
    <row r="20" spans="1:6" s="203" customFormat="1" ht="12" customHeight="1">
      <c r="A20" s="14" t="s">
        <v>90</v>
      </c>
      <c r="B20" s="204" t="s">
        <v>205</v>
      </c>
      <c r="C20" s="556">
        <f>SUM(D20:F20)</f>
        <v>0</v>
      </c>
      <c r="D20" s="501"/>
      <c r="E20" s="384"/>
      <c r="F20" s="384"/>
    </row>
    <row r="21" spans="1:6" s="203" customFormat="1" ht="12" customHeight="1">
      <c r="A21" s="13" t="s">
        <v>91</v>
      </c>
      <c r="B21" s="205" t="s">
        <v>206</v>
      </c>
      <c r="C21" s="557">
        <f>SUM(D21:F21)</f>
        <v>0</v>
      </c>
      <c r="D21" s="385"/>
      <c r="E21" s="133"/>
      <c r="F21" s="133"/>
    </row>
    <row r="22" spans="1:6" s="203" customFormat="1" ht="12" customHeight="1">
      <c r="A22" s="13" t="s">
        <v>92</v>
      </c>
      <c r="B22" s="205" t="s">
        <v>354</v>
      </c>
      <c r="C22" s="557">
        <f>SUM(D22:F22)</f>
        <v>0</v>
      </c>
      <c r="D22" s="385"/>
      <c r="E22" s="133"/>
      <c r="F22" s="133"/>
    </row>
    <row r="23" spans="1:6" s="203" customFormat="1" ht="12" customHeight="1">
      <c r="A23" s="13" t="s">
        <v>93</v>
      </c>
      <c r="B23" s="205" t="s">
        <v>355</v>
      </c>
      <c r="C23" s="557">
        <f>SUM(D23:F23)</f>
        <v>0</v>
      </c>
      <c r="D23" s="385"/>
      <c r="E23" s="133"/>
      <c r="F23" s="133"/>
    </row>
    <row r="24" spans="1:6" s="203" customFormat="1" ht="12" customHeight="1">
      <c r="A24" s="13" t="s">
        <v>137</v>
      </c>
      <c r="B24" s="205" t="s">
        <v>207</v>
      </c>
      <c r="C24" s="557">
        <f>SUM(D24:F24)+15179276</f>
        <v>18976576</v>
      </c>
      <c r="D24" s="385">
        <f>3797300</f>
        <v>3797300</v>
      </c>
      <c r="E24" s="133"/>
      <c r="F24" s="133"/>
    </row>
    <row r="25" spans="1:6" s="203" customFormat="1" ht="12" customHeight="1" thickBot="1">
      <c r="A25" s="15" t="s">
        <v>138</v>
      </c>
      <c r="B25" s="206" t="s">
        <v>208</v>
      </c>
      <c r="C25" s="558">
        <f>SUM(D25:F25)</f>
        <v>3797300</v>
      </c>
      <c r="D25" s="397">
        <v>3797300</v>
      </c>
      <c r="E25" s="193"/>
      <c r="F25" s="193"/>
    </row>
    <row r="26" spans="1:6" s="203" customFormat="1" ht="12" customHeight="1" thickBot="1">
      <c r="A26" s="19" t="s">
        <v>139</v>
      </c>
      <c r="B26" s="20" t="s">
        <v>209</v>
      </c>
      <c r="C26" s="134">
        <f>SUM(C27)+SUM(C30:C33)</f>
        <v>319390000</v>
      </c>
      <c r="D26" s="435">
        <f>+D27+D31+D32+D33</f>
        <v>319390000</v>
      </c>
      <c r="E26" s="134">
        <f>+E27+E31+E32+E33</f>
        <v>0</v>
      </c>
      <c r="F26" s="134">
        <f>+F27+F31+F32+F33</f>
        <v>0</v>
      </c>
    </row>
    <row r="27" spans="1:6" s="203" customFormat="1" ht="12" customHeight="1">
      <c r="A27" s="14" t="s">
        <v>210</v>
      </c>
      <c r="B27" s="204" t="s">
        <v>419</v>
      </c>
      <c r="C27" s="556">
        <f>SUM(C28:C29)</f>
        <v>282830000</v>
      </c>
      <c r="D27" s="502">
        <f>SUM(D28:D30)</f>
        <v>282830000</v>
      </c>
      <c r="E27" s="199"/>
      <c r="F27" s="199"/>
    </row>
    <row r="28" spans="1:6" s="203" customFormat="1" ht="12" customHeight="1">
      <c r="A28" s="13" t="s">
        <v>211</v>
      </c>
      <c r="B28" s="205" t="s">
        <v>216</v>
      </c>
      <c r="C28" s="557">
        <f>SUM(D28:F28)</f>
        <v>78990000</v>
      </c>
      <c r="D28" s="116">
        <f>8990000+70000000</f>
        <v>78990000</v>
      </c>
      <c r="E28" s="130"/>
      <c r="F28" s="130"/>
    </row>
    <row r="29" spans="1:6" s="203" customFormat="1" ht="12" customHeight="1">
      <c r="A29" s="13" t="s">
        <v>212</v>
      </c>
      <c r="B29" s="205" t="s">
        <v>503</v>
      </c>
      <c r="C29" s="557">
        <f>SUM(D29:F29)</f>
        <v>203840000</v>
      </c>
      <c r="D29" s="116">
        <v>203840000</v>
      </c>
      <c r="E29" s="130"/>
      <c r="F29" s="130"/>
    </row>
    <row r="30" spans="1:6" s="203" customFormat="1" ht="12" customHeight="1">
      <c r="A30" s="13" t="s">
        <v>213</v>
      </c>
      <c r="B30" s="205" t="s">
        <v>504</v>
      </c>
      <c r="C30" s="557">
        <f>SUM(D30:F30)</f>
        <v>0</v>
      </c>
      <c r="D30" s="385"/>
      <c r="E30" s="133"/>
      <c r="F30" s="133"/>
    </row>
    <row r="31" spans="1:6" s="203" customFormat="1" ht="12" customHeight="1">
      <c r="A31" s="13" t="s">
        <v>505</v>
      </c>
      <c r="B31" s="205" t="s">
        <v>218</v>
      </c>
      <c r="C31" s="557">
        <f>SUM(D31:F31)</f>
        <v>27000000</v>
      </c>
      <c r="D31" s="116">
        <f>27000000</f>
        <v>27000000</v>
      </c>
      <c r="E31" s="130"/>
      <c r="F31" s="130"/>
    </row>
    <row r="32" spans="1:6" s="203" customFormat="1" ht="12" customHeight="1">
      <c r="A32" s="13" t="s">
        <v>215</v>
      </c>
      <c r="B32" s="205" t="s">
        <v>219</v>
      </c>
      <c r="C32" s="557">
        <f>SUM(D32:F32)-4000000</f>
        <v>60000</v>
      </c>
      <c r="D32" s="116">
        <v>4060000</v>
      </c>
      <c r="E32" s="130"/>
      <c r="F32" s="130"/>
    </row>
    <row r="33" spans="1:6" s="203" customFormat="1" ht="12" customHeight="1" thickBot="1">
      <c r="A33" s="15" t="s">
        <v>506</v>
      </c>
      <c r="B33" s="206" t="s">
        <v>220</v>
      </c>
      <c r="C33" s="558">
        <f>SUM(D33:F33)+4000000</f>
        <v>9500000</v>
      </c>
      <c r="D33" s="397">
        <v>5500000</v>
      </c>
      <c r="E33" s="193"/>
      <c r="F33" s="193"/>
    </row>
    <row r="34" spans="1:6" s="203" customFormat="1" ht="12" customHeight="1" thickBot="1">
      <c r="A34" s="19" t="s">
        <v>32</v>
      </c>
      <c r="B34" s="20" t="s">
        <v>422</v>
      </c>
      <c r="C34" s="134">
        <f>SUM(C35:C45)</f>
        <v>448324678</v>
      </c>
      <c r="D34" s="431">
        <f>SUM(D35:D45)</f>
        <v>48800000</v>
      </c>
      <c r="E34" s="129">
        <f>SUM(E35:E45)</f>
        <v>9416500</v>
      </c>
      <c r="F34" s="129">
        <f>SUM(F35:F45)</f>
        <v>389838178</v>
      </c>
    </row>
    <row r="35" spans="1:6" s="203" customFormat="1" ht="12" customHeight="1">
      <c r="A35" s="14" t="s">
        <v>94</v>
      </c>
      <c r="B35" s="204" t="s">
        <v>223</v>
      </c>
      <c r="C35" s="556">
        <f aca="true" t="shared" si="0" ref="C35:C45">SUM(D35:F35)</f>
        <v>13087000</v>
      </c>
      <c r="D35" s="438">
        <f>3937000+4000000+5000000</f>
        <v>12937000</v>
      </c>
      <c r="E35" s="230"/>
      <c r="F35" s="230">
        <v>150000</v>
      </c>
    </row>
    <row r="36" spans="1:6" s="203" customFormat="1" ht="12" customHeight="1">
      <c r="A36" s="13" t="s">
        <v>95</v>
      </c>
      <c r="B36" s="205" t="s">
        <v>224</v>
      </c>
      <c r="C36" s="557">
        <f t="shared" si="0"/>
        <v>87991338</v>
      </c>
      <c r="D36" s="385">
        <f>100000+12004000+160000</f>
        <v>12264000</v>
      </c>
      <c r="E36" s="133">
        <v>7533500</v>
      </c>
      <c r="F36" s="230">
        <v>68193838</v>
      </c>
    </row>
    <row r="37" spans="1:6" s="203" customFormat="1" ht="12" customHeight="1">
      <c r="A37" s="13" t="s">
        <v>96</v>
      </c>
      <c r="B37" s="205" t="s">
        <v>225</v>
      </c>
      <c r="C37" s="557">
        <f t="shared" si="0"/>
        <v>95623340</v>
      </c>
      <c r="D37" s="385">
        <f>8458000+947000</f>
        <v>9405000</v>
      </c>
      <c r="E37" s="133">
        <v>500000</v>
      </c>
      <c r="F37" s="230">
        <v>85718340</v>
      </c>
    </row>
    <row r="38" spans="1:6" s="203" customFormat="1" ht="12" customHeight="1">
      <c r="A38" s="13" t="s">
        <v>141</v>
      </c>
      <c r="B38" s="205" t="s">
        <v>226</v>
      </c>
      <c r="C38" s="557">
        <f t="shared" si="0"/>
        <v>430000</v>
      </c>
      <c r="D38" s="385">
        <f>430000</f>
        <v>430000</v>
      </c>
      <c r="E38" s="133"/>
      <c r="F38" s="230"/>
    </row>
    <row r="39" spans="1:6" s="203" customFormat="1" ht="12" customHeight="1">
      <c r="A39" s="13" t="s">
        <v>142</v>
      </c>
      <c r="B39" s="205" t="s">
        <v>227</v>
      </c>
      <c r="C39" s="557">
        <f t="shared" si="0"/>
        <v>182811402</v>
      </c>
      <c r="D39" s="385"/>
      <c r="E39" s="133"/>
      <c r="F39" s="230">
        <v>182811402</v>
      </c>
    </row>
    <row r="40" spans="1:6" s="203" customFormat="1" ht="12" customHeight="1">
      <c r="A40" s="13" t="s">
        <v>143</v>
      </c>
      <c r="B40" s="205" t="s">
        <v>228</v>
      </c>
      <c r="C40" s="557">
        <f>SUM(D40:F40)+270000</f>
        <v>46003598</v>
      </c>
      <c r="D40" s="385">
        <f>1063000+3242000+5853000+44000+378000+600000+1350000</f>
        <v>12530000</v>
      </c>
      <c r="E40" s="133">
        <v>1283000</v>
      </c>
      <c r="F40" s="230">
        <v>31920598</v>
      </c>
    </row>
    <row r="41" spans="1:6" s="203" customFormat="1" ht="12" customHeight="1">
      <c r="A41" s="13" t="s">
        <v>144</v>
      </c>
      <c r="B41" s="205" t="s">
        <v>229</v>
      </c>
      <c r="C41" s="557">
        <f t="shared" si="0"/>
        <v>21034000</v>
      </c>
      <c r="D41" s="385"/>
      <c r="E41" s="133"/>
      <c r="F41" s="230">
        <v>21034000</v>
      </c>
    </row>
    <row r="42" spans="1:6" s="203" customFormat="1" ht="12" customHeight="1">
      <c r="A42" s="13" t="s">
        <v>145</v>
      </c>
      <c r="B42" s="205" t="s">
        <v>515</v>
      </c>
      <c r="C42" s="557">
        <f t="shared" si="0"/>
        <v>40000</v>
      </c>
      <c r="D42" s="385">
        <v>30000</v>
      </c>
      <c r="E42" s="133"/>
      <c r="F42" s="230">
        <v>10000</v>
      </c>
    </row>
    <row r="43" spans="1:6" s="203" customFormat="1" ht="12" customHeight="1">
      <c r="A43" s="13" t="s">
        <v>221</v>
      </c>
      <c r="B43" s="205" t="s">
        <v>231</v>
      </c>
      <c r="C43" s="557">
        <f t="shared" si="0"/>
        <v>0</v>
      </c>
      <c r="D43" s="385"/>
      <c r="E43" s="133"/>
      <c r="F43" s="230"/>
    </row>
    <row r="44" spans="1:6" s="203" customFormat="1" ht="12" customHeight="1">
      <c r="A44" s="15" t="s">
        <v>222</v>
      </c>
      <c r="B44" s="206" t="s">
        <v>423</v>
      </c>
      <c r="C44" s="557">
        <f t="shared" si="0"/>
        <v>500000</v>
      </c>
      <c r="D44" s="397">
        <f>500000</f>
        <v>500000</v>
      </c>
      <c r="E44" s="193"/>
      <c r="F44" s="230"/>
    </row>
    <row r="45" spans="1:6" s="203" customFormat="1" ht="12" customHeight="1" thickBot="1">
      <c r="A45" s="15" t="s">
        <v>424</v>
      </c>
      <c r="B45" s="126" t="s">
        <v>232</v>
      </c>
      <c r="C45" s="558">
        <f t="shared" si="0"/>
        <v>804000</v>
      </c>
      <c r="D45" s="397">
        <f>704000</f>
        <v>704000</v>
      </c>
      <c r="E45" s="193">
        <v>100000</v>
      </c>
      <c r="F45" s="230"/>
    </row>
    <row r="46" spans="1:6" s="203" customFormat="1" ht="12" customHeight="1" thickBot="1">
      <c r="A46" s="19" t="s">
        <v>33</v>
      </c>
      <c r="B46" s="20" t="s">
        <v>233</v>
      </c>
      <c r="C46" s="134">
        <f>SUM(C47:C51)</f>
        <v>47179000</v>
      </c>
      <c r="D46" s="431">
        <f>SUM(D47:D51)</f>
        <v>25179000</v>
      </c>
      <c r="E46" s="129">
        <f>SUM(E47:E51)</f>
        <v>0</v>
      </c>
      <c r="F46" s="129">
        <f>SUM(F47:F51)</f>
        <v>0</v>
      </c>
    </row>
    <row r="47" spans="1:6" s="203" customFormat="1" ht="12" customHeight="1">
      <c r="A47" s="14" t="s">
        <v>97</v>
      </c>
      <c r="B47" s="204" t="s">
        <v>237</v>
      </c>
      <c r="C47" s="556">
        <f>SUM(D47:F47)</f>
        <v>0</v>
      </c>
      <c r="D47" s="438"/>
      <c r="E47" s="230"/>
      <c r="F47" s="230"/>
    </row>
    <row r="48" spans="1:6" s="203" customFormat="1" ht="12" customHeight="1">
      <c r="A48" s="13" t="s">
        <v>98</v>
      </c>
      <c r="B48" s="205" t="s">
        <v>238</v>
      </c>
      <c r="C48" s="557">
        <f>SUM(D48:F48)+22000000</f>
        <v>47179000</v>
      </c>
      <c r="D48" s="385">
        <f>25179000</f>
        <v>25179000</v>
      </c>
      <c r="E48" s="133"/>
      <c r="F48" s="133"/>
    </row>
    <row r="49" spans="1:6" s="203" customFormat="1" ht="12" customHeight="1">
      <c r="A49" s="13" t="s">
        <v>234</v>
      </c>
      <c r="B49" s="205" t="s">
        <v>239</v>
      </c>
      <c r="C49" s="557">
        <f>SUM(D49:F49)</f>
        <v>0</v>
      </c>
      <c r="D49" s="385"/>
      <c r="E49" s="133"/>
      <c r="F49" s="133"/>
    </row>
    <row r="50" spans="1:6" s="203" customFormat="1" ht="12" customHeight="1">
      <c r="A50" s="13" t="s">
        <v>235</v>
      </c>
      <c r="B50" s="205" t="s">
        <v>240</v>
      </c>
      <c r="C50" s="557">
        <f>SUM(D50:F50)</f>
        <v>0</v>
      </c>
      <c r="D50" s="385"/>
      <c r="E50" s="133"/>
      <c r="F50" s="133"/>
    </row>
    <row r="51" spans="1:6" s="203" customFormat="1" ht="12" customHeight="1" thickBot="1">
      <c r="A51" s="15" t="s">
        <v>236</v>
      </c>
      <c r="B51" s="126" t="s">
        <v>241</v>
      </c>
      <c r="C51" s="558">
        <f>SUM(D51:F51)</f>
        <v>0</v>
      </c>
      <c r="D51" s="397"/>
      <c r="E51" s="193"/>
      <c r="F51" s="193"/>
    </row>
    <row r="52" spans="1:6" s="203" customFormat="1" ht="12" customHeight="1" thickBot="1">
      <c r="A52" s="19" t="s">
        <v>146</v>
      </c>
      <c r="B52" s="20" t="s">
        <v>242</v>
      </c>
      <c r="C52" s="134">
        <f>SUM(C53:C55)</f>
        <v>6024000</v>
      </c>
      <c r="D52" s="431">
        <f>SUM(D53:D55)</f>
        <v>6024000</v>
      </c>
      <c r="E52" s="129">
        <f>SUM(E53:E55)</f>
        <v>0</v>
      </c>
      <c r="F52" s="129">
        <f>SUM(F53:F55)</f>
        <v>0</v>
      </c>
    </row>
    <row r="53" spans="1:6" s="203" customFormat="1" ht="12" customHeight="1">
      <c r="A53" s="14" t="s">
        <v>99</v>
      </c>
      <c r="B53" s="204" t="s">
        <v>243</v>
      </c>
      <c r="C53" s="556">
        <f>SUM(D53:F53)</f>
        <v>0</v>
      </c>
      <c r="D53" s="433"/>
      <c r="E53" s="131"/>
      <c r="F53" s="131"/>
    </row>
    <row r="54" spans="1:6" s="203" customFormat="1" ht="12" customHeight="1">
      <c r="A54" s="13" t="s">
        <v>100</v>
      </c>
      <c r="B54" s="205" t="s">
        <v>356</v>
      </c>
      <c r="C54" s="557">
        <f>SUM(D54:F54)</f>
        <v>1949000</v>
      </c>
      <c r="D54" s="385">
        <f>383000+1566000</f>
        <v>1949000</v>
      </c>
      <c r="E54" s="133"/>
      <c r="F54" s="133"/>
    </row>
    <row r="55" spans="1:6" s="203" customFormat="1" ht="12" customHeight="1">
      <c r="A55" s="13" t="s">
        <v>246</v>
      </c>
      <c r="B55" s="205" t="s">
        <v>244</v>
      </c>
      <c r="C55" s="557">
        <f>SUM(D55:F55)</f>
        <v>4075000</v>
      </c>
      <c r="D55" s="385">
        <f>4075000</f>
        <v>4075000</v>
      </c>
      <c r="E55" s="133"/>
      <c r="F55" s="133"/>
    </row>
    <row r="56" spans="1:6" s="203" customFormat="1" ht="12" customHeight="1" thickBot="1">
      <c r="A56" s="15" t="s">
        <v>247</v>
      </c>
      <c r="B56" s="126" t="s">
        <v>245</v>
      </c>
      <c r="C56" s="558">
        <f>SUM(D56:F56)</f>
        <v>0</v>
      </c>
      <c r="D56" s="117"/>
      <c r="E56" s="132"/>
      <c r="F56" s="132"/>
    </row>
    <row r="57" spans="1:6" s="203" customFormat="1" ht="12" customHeight="1" thickBot="1">
      <c r="A57" s="19" t="s">
        <v>35</v>
      </c>
      <c r="B57" s="124" t="s">
        <v>248</v>
      </c>
      <c r="C57" s="134">
        <f>SUM(C58:C60)</f>
        <v>0</v>
      </c>
      <c r="D57" s="431">
        <f>SUM(D58:D60)</f>
        <v>0</v>
      </c>
      <c r="E57" s="129">
        <f>SUM(E58:E60)</f>
        <v>0</v>
      </c>
      <c r="F57" s="129">
        <f>SUM(F58:F60)</f>
        <v>0</v>
      </c>
    </row>
    <row r="58" spans="1:6" s="203" customFormat="1" ht="12" customHeight="1">
      <c r="A58" s="14" t="s">
        <v>147</v>
      </c>
      <c r="B58" s="204" t="s">
        <v>250</v>
      </c>
      <c r="C58" s="556">
        <f>SUM(D58:F58)</f>
        <v>0</v>
      </c>
      <c r="D58" s="385"/>
      <c r="E58" s="133"/>
      <c r="F58" s="133"/>
    </row>
    <row r="59" spans="1:6" s="203" customFormat="1" ht="12" customHeight="1">
      <c r="A59" s="13" t="s">
        <v>148</v>
      </c>
      <c r="B59" s="205" t="s">
        <v>357</v>
      </c>
      <c r="C59" s="557">
        <f>SUM(D59:F59)</f>
        <v>0</v>
      </c>
      <c r="D59" s="385"/>
      <c r="E59" s="133"/>
      <c r="F59" s="133"/>
    </row>
    <row r="60" spans="1:6" s="203" customFormat="1" ht="12" customHeight="1">
      <c r="A60" s="13" t="s">
        <v>172</v>
      </c>
      <c r="B60" s="205" t="s">
        <v>251</v>
      </c>
      <c r="C60" s="557">
        <f>SUM(D60:F60)</f>
        <v>0</v>
      </c>
      <c r="D60" s="385"/>
      <c r="E60" s="133"/>
      <c r="F60" s="133"/>
    </row>
    <row r="61" spans="1:6" s="203" customFormat="1" ht="12" customHeight="1" thickBot="1">
      <c r="A61" s="15" t="s">
        <v>249</v>
      </c>
      <c r="B61" s="126" t="s">
        <v>252</v>
      </c>
      <c r="C61" s="558">
        <f>SUM(D61:F61)</f>
        <v>0</v>
      </c>
      <c r="D61" s="385"/>
      <c r="E61" s="133"/>
      <c r="F61" s="133"/>
    </row>
    <row r="62" spans="1:6" s="203" customFormat="1" ht="12" customHeight="1" thickBot="1">
      <c r="A62" s="369" t="s">
        <v>425</v>
      </c>
      <c r="B62" s="20" t="s">
        <v>253</v>
      </c>
      <c r="C62" s="134">
        <f>C57+C52+C46+C34+C26+C19+C12+C5</f>
        <v>2619682554</v>
      </c>
      <c r="D62" s="435">
        <f>+D5+D12+D19+D26+D34+D46+D52+D57</f>
        <v>1771816700</v>
      </c>
      <c r="E62" s="134">
        <f>+E5+E12+E19+E26+E34+E46+E52+E57</f>
        <v>9416500</v>
      </c>
      <c r="F62" s="134">
        <f>+F5+F12+F19+F26+F34+F46+F52+F57</f>
        <v>395323178</v>
      </c>
    </row>
    <row r="63" spans="1:6" s="203" customFormat="1" ht="12" customHeight="1" thickBot="1">
      <c r="A63" s="370" t="s">
        <v>254</v>
      </c>
      <c r="B63" s="124" t="s">
        <v>255</v>
      </c>
      <c r="C63" s="553">
        <f>SUM(C64:C66)</f>
        <v>144100000</v>
      </c>
      <c r="D63" s="431">
        <f>SUM(D64:D66)</f>
        <v>144100000</v>
      </c>
      <c r="E63" s="129">
        <f>SUM(E64:E66)</f>
        <v>0</v>
      </c>
      <c r="F63" s="129">
        <f>SUM(F64:F66)</f>
        <v>0</v>
      </c>
    </row>
    <row r="64" spans="1:6" s="203" customFormat="1" ht="12" customHeight="1">
      <c r="A64" s="14" t="s">
        <v>286</v>
      </c>
      <c r="B64" s="204" t="s">
        <v>256</v>
      </c>
      <c r="C64" s="556">
        <f>SUM(D64:F64)</f>
        <v>44100000</v>
      </c>
      <c r="D64" s="385">
        <v>44100000</v>
      </c>
      <c r="E64" s="133"/>
      <c r="F64" s="133"/>
    </row>
    <row r="65" spans="1:6" s="203" customFormat="1" ht="12" customHeight="1">
      <c r="A65" s="13" t="s">
        <v>295</v>
      </c>
      <c r="B65" s="205" t="s">
        <v>257</v>
      </c>
      <c r="C65" s="557">
        <f>SUM(D65:F65)</f>
        <v>100000000</v>
      </c>
      <c r="D65" s="385">
        <v>100000000</v>
      </c>
      <c r="E65" s="133"/>
      <c r="F65" s="133"/>
    </row>
    <row r="66" spans="1:6" s="203" customFormat="1" ht="12" customHeight="1" thickBot="1">
      <c r="A66" s="15" t="s">
        <v>296</v>
      </c>
      <c r="B66" s="371" t="s">
        <v>426</v>
      </c>
      <c r="C66" s="558">
        <f>SUM(D66:F66)</f>
        <v>0</v>
      </c>
      <c r="D66" s="385"/>
      <c r="E66" s="133"/>
      <c r="F66" s="133"/>
    </row>
    <row r="67" spans="1:6" s="203" customFormat="1" ht="12" customHeight="1" thickBot="1">
      <c r="A67" s="370" t="s">
        <v>259</v>
      </c>
      <c r="B67" s="124" t="s">
        <v>260</v>
      </c>
      <c r="C67" s="387">
        <f>SUM(C68:C71)</f>
        <v>0</v>
      </c>
      <c r="D67" s="431">
        <f>SUM(D68:D71)</f>
        <v>0</v>
      </c>
      <c r="E67" s="129">
        <f>SUM(E68:E71)</f>
        <v>0</v>
      </c>
      <c r="F67" s="129">
        <f>SUM(F68:F71)</f>
        <v>0</v>
      </c>
    </row>
    <row r="68" spans="1:6" s="203" customFormat="1" ht="12" customHeight="1">
      <c r="A68" s="14" t="s">
        <v>126</v>
      </c>
      <c r="B68" s="204" t="s">
        <v>261</v>
      </c>
      <c r="C68" s="556">
        <f>SUM(D68:F68)</f>
        <v>0</v>
      </c>
      <c r="D68" s="385"/>
      <c r="E68" s="133"/>
      <c r="F68" s="133"/>
    </row>
    <row r="69" spans="1:6" s="203" customFormat="1" ht="12" customHeight="1">
      <c r="A69" s="13" t="s">
        <v>127</v>
      </c>
      <c r="B69" s="205" t="s">
        <v>262</v>
      </c>
      <c r="C69" s="557">
        <f>SUM(D69:F69)</f>
        <v>0</v>
      </c>
      <c r="D69" s="385"/>
      <c r="E69" s="133"/>
      <c r="F69" s="133"/>
    </row>
    <row r="70" spans="1:6" s="203" customFormat="1" ht="12" customHeight="1">
      <c r="A70" s="13" t="s">
        <v>287</v>
      </c>
      <c r="B70" s="205" t="s">
        <v>263</v>
      </c>
      <c r="C70" s="557">
        <f>SUM(D70:F70)</f>
        <v>0</v>
      </c>
      <c r="D70" s="385"/>
      <c r="E70" s="133"/>
      <c r="F70" s="133"/>
    </row>
    <row r="71" spans="1:6" s="203" customFormat="1" ht="12" customHeight="1" thickBot="1">
      <c r="A71" s="15" t="s">
        <v>288</v>
      </c>
      <c r="B71" s="126" t="s">
        <v>264</v>
      </c>
      <c r="C71" s="558">
        <f>SUM(D71:F71)</f>
        <v>0</v>
      </c>
      <c r="D71" s="385"/>
      <c r="E71" s="133"/>
      <c r="F71" s="133"/>
    </row>
    <row r="72" spans="1:6" s="203" customFormat="1" ht="12" customHeight="1" thickBot="1">
      <c r="A72" s="370" t="s">
        <v>265</v>
      </c>
      <c r="B72" s="124" t="s">
        <v>266</v>
      </c>
      <c r="C72" s="134">
        <f>SUM(C73:C74)</f>
        <v>292999415</v>
      </c>
      <c r="D72" s="431">
        <f>SUM(D73:D74)</f>
        <v>289331423</v>
      </c>
      <c r="E72" s="129">
        <f>SUM(E73:E74)</f>
        <v>447404</v>
      </c>
      <c r="F72" s="129">
        <f>SUM(F73:F74)</f>
        <v>3220588</v>
      </c>
    </row>
    <row r="73" spans="1:6" s="203" customFormat="1" ht="12" customHeight="1">
      <c r="A73" s="14" t="s">
        <v>289</v>
      </c>
      <c r="B73" s="204" t="s">
        <v>267</v>
      </c>
      <c r="C73" s="556">
        <f>SUM(D73:F73)</f>
        <v>292999415</v>
      </c>
      <c r="D73" s="385">
        <v>289331423</v>
      </c>
      <c r="E73" s="133">
        <v>447404</v>
      </c>
      <c r="F73" s="133">
        <v>3220588</v>
      </c>
    </row>
    <row r="74" spans="1:6" s="203" customFormat="1" ht="12" customHeight="1" thickBot="1">
      <c r="A74" s="15" t="s">
        <v>290</v>
      </c>
      <c r="B74" s="126" t="s">
        <v>268</v>
      </c>
      <c r="C74" s="558">
        <f>SUM(D74:F74)</f>
        <v>0</v>
      </c>
      <c r="D74" s="385"/>
      <c r="E74" s="133"/>
      <c r="F74" s="133"/>
    </row>
    <row r="75" spans="1:6" s="203" customFormat="1" ht="12" customHeight="1" thickBot="1">
      <c r="A75" s="370" t="s">
        <v>269</v>
      </c>
      <c r="B75" s="124" t="s">
        <v>270</v>
      </c>
      <c r="C75" s="387">
        <f>SUM(C76:C78)</f>
        <v>0</v>
      </c>
      <c r="D75" s="431">
        <f>SUM(D76:D78)</f>
        <v>0</v>
      </c>
      <c r="E75" s="129">
        <f>SUM(E76:E78)</f>
        <v>0</v>
      </c>
      <c r="F75" s="129">
        <f>SUM(F76:F78)</f>
        <v>0</v>
      </c>
    </row>
    <row r="76" spans="1:6" s="203" customFormat="1" ht="12" customHeight="1">
      <c r="A76" s="14" t="s">
        <v>291</v>
      </c>
      <c r="B76" s="204" t="s">
        <v>271</v>
      </c>
      <c r="C76" s="556">
        <f>SUM(D76:F76)</f>
        <v>0</v>
      </c>
      <c r="D76" s="385"/>
      <c r="E76" s="133"/>
      <c r="F76" s="133"/>
    </row>
    <row r="77" spans="1:6" s="203" customFormat="1" ht="12" customHeight="1">
      <c r="A77" s="13" t="s">
        <v>292</v>
      </c>
      <c r="B77" s="205" t="s">
        <v>272</v>
      </c>
      <c r="C77" s="557">
        <f>SUM(D77:F77)</f>
        <v>0</v>
      </c>
      <c r="D77" s="385"/>
      <c r="E77" s="133"/>
      <c r="F77" s="133"/>
    </row>
    <row r="78" spans="1:6" s="203" customFormat="1" ht="12" customHeight="1" thickBot="1">
      <c r="A78" s="15" t="s">
        <v>293</v>
      </c>
      <c r="B78" s="126" t="s">
        <v>273</v>
      </c>
      <c r="C78" s="558">
        <f>SUM(D78:F78)</f>
        <v>0</v>
      </c>
      <c r="D78" s="385"/>
      <c r="E78" s="133"/>
      <c r="F78" s="133"/>
    </row>
    <row r="79" spans="1:6" s="203" customFormat="1" ht="12" customHeight="1" thickBot="1">
      <c r="A79" s="370" t="s">
        <v>274</v>
      </c>
      <c r="B79" s="124" t="s">
        <v>294</v>
      </c>
      <c r="C79" s="387">
        <f>SUM(C80:C83)</f>
        <v>0</v>
      </c>
      <c r="D79" s="431">
        <f>SUM(D80:D83)</f>
        <v>0</v>
      </c>
      <c r="E79" s="129">
        <f>SUM(E80:E83)</f>
        <v>0</v>
      </c>
      <c r="F79" s="129">
        <f>SUM(F80:F83)</f>
        <v>0</v>
      </c>
    </row>
    <row r="80" spans="1:6" s="203" customFormat="1" ht="12" customHeight="1">
      <c r="A80" s="208" t="s">
        <v>275</v>
      </c>
      <c r="B80" s="204" t="s">
        <v>276</v>
      </c>
      <c r="C80" s="556">
        <f aca="true" t="shared" si="1" ref="C80:C85">SUM(D80:F80)</f>
        <v>0</v>
      </c>
      <c r="D80" s="385"/>
      <c r="E80" s="133"/>
      <c r="F80" s="133"/>
    </row>
    <row r="81" spans="1:6" s="203" customFormat="1" ht="12" customHeight="1">
      <c r="A81" s="209" t="s">
        <v>277</v>
      </c>
      <c r="B81" s="205" t="s">
        <v>278</v>
      </c>
      <c r="C81" s="557">
        <f t="shared" si="1"/>
        <v>0</v>
      </c>
      <c r="D81" s="385"/>
      <c r="E81" s="133"/>
      <c r="F81" s="133"/>
    </row>
    <row r="82" spans="1:6" s="203" customFormat="1" ht="12" customHeight="1">
      <c r="A82" s="209" t="s">
        <v>279</v>
      </c>
      <c r="B82" s="205" t="s">
        <v>280</v>
      </c>
      <c r="C82" s="557">
        <f t="shared" si="1"/>
        <v>0</v>
      </c>
      <c r="D82" s="385"/>
      <c r="E82" s="133"/>
      <c r="F82" s="133"/>
    </row>
    <row r="83" spans="1:6" s="203" customFormat="1" ht="12" customHeight="1" thickBot="1">
      <c r="A83" s="210" t="s">
        <v>281</v>
      </c>
      <c r="B83" s="126" t="s">
        <v>282</v>
      </c>
      <c r="C83" s="558">
        <f t="shared" si="1"/>
        <v>0</v>
      </c>
      <c r="D83" s="385"/>
      <c r="E83" s="133"/>
      <c r="F83" s="133"/>
    </row>
    <row r="84" spans="1:6" s="203" customFormat="1" ht="12" customHeight="1" thickBot="1">
      <c r="A84" s="370" t="s">
        <v>283</v>
      </c>
      <c r="B84" s="124" t="s">
        <v>427</v>
      </c>
      <c r="C84" s="552">
        <f t="shared" si="1"/>
        <v>0</v>
      </c>
      <c r="D84" s="439"/>
      <c r="E84" s="231"/>
      <c r="F84" s="231"/>
    </row>
    <row r="85" spans="1:6" s="203" customFormat="1" ht="13.5" customHeight="1" thickBot="1">
      <c r="A85" s="370" t="s">
        <v>285</v>
      </c>
      <c r="B85" s="124" t="s">
        <v>284</v>
      </c>
      <c r="C85" s="134">
        <f t="shared" si="1"/>
        <v>0</v>
      </c>
      <c r="D85" s="439"/>
      <c r="E85" s="231"/>
      <c r="F85" s="231"/>
    </row>
    <row r="86" spans="1:6" s="203" customFormat="1" ht="15.75" customHeight="1" thickBot="1">
      <c r="A86" s="370" t="s">
        <v>297</v>
      </c>
      <c r="B86" s="211" t="s">
        <v>428</v>
      </c>
      <c r="C86" s="134">
        <f>C85+C84+C79+C75+C72+C67+C63</f>
        <v>437099415</v>
      </c>
      <c r="D86" s="435">
        <f>+D63+D67+D72+D75+D79+D85+D84</f>
        <v>433431423</v>
      </c>
      <c r="E86" s="134">
        <f>+E63+E67+E72+E75+E79+E85+E84</f>
        <v>447404</v>
      </c>
      <c r="F86" s="134">
        <f>+F63+F67+F72+F75+F79+F85+F84</f>
        <v>3220588</v>
      </c>
    </row>
    <row r="87" spans="1:6" s="203" customFormat="1" ht="16.5" customHeight="1" thickBot="1">
      <c r="A87" s="372" t="s">
        <v>429</v>
      </c>
      <c r="B87" s="212" t="s">
        <v>430</v>
      </c>
      <c r="C87" s="134">
        <f>C62+C86</f>
        <v>3056781969</v>
      </c>
      <c r="D87" s="435">
        <f>+D62+D86</f>
        <v>2205248123</v>
      </c>
      <c r="E87" s="134">
        <f>+E62+E86</f>
        <v>9863904</v>
      </c>
      <c r="F87" s="134">
        <f>+F62+F86</f>
        <v>398543766</v>
      </c>
    </row>
    <row r="88" spans="1:3" s="203" customFormat="1" ht="83.25" customHeight="1">
      <c r="A88" s="4"/>
      <c r="B88" s="5"/>
      <c r="C88" s="135"/>
    </row>
    <row r="89" spans="1:3" ht="16.5" customHeight="1">
      <c r="A89" s="598" t="s">
        <v>56</v>
      </c>
      <c r="B89" s="598"/>
      <c r="C89" s="598"/>
    </row>
    <row r="90" spans="1:3" s="213" customFormat="1" ht="16.5" customHeight="1" thickBot="1">
      <c r="A90" s="599" t="s">
        <v>129</v>
      </c>
      <c r="B90" s="599"/>
      <c r="C90" s="79" t="s">
        <v>534</v>
      </c>
    </row>
    <row r="91" spans="1:3" ht="37.5" customHeight="1" thickBot="1">
      <c r="A91" s="22" t="s">
        <v>76</v>
      </c>
      <c r="B91" s="23" t="s">
        <v>57</v>
      </c>
      <c r="C91" s="31" t="str">
        <f>+C3</f>
        <v>2017. évi előirányzat</v>
      </c>
    </row>
    <row r="92" spans="1:3" s="202" customFormat="1" ht="12" customHeight="1" thickBot="1">
      <c r="A92" s="27" t="s">
        <v>414</v>
      </c>
      <c r="B92" s="28" t="s">
        <v>415</v>
      </c>
      <c r="C92" s="198" t="s">
        <v>416</v>
      </c>
    </row>
    <row r="93" spans="1:6" ht="12" customHeight="1" thickBot="1">
      <c r="A93" s="21" t="s">
        <v>28</v>
      </c>
      <c r="B93" s="26" t="s">
        <v>468</v>
      </c>
      <c r="C93" s="554">
        <f>SUM(C94:C98)+SUM(C111)</f>
        <v>2723116601</v>
      </c>
      <c r="D93" s="444">
        <f>+D94+D95+D96+D97+D98+D111</f>
        <v>694146130</v>
      </c>
      <c r="E93" s="128">
        <f>+E94+E95+E96+E97+E98+E111</f>
        <v>223822850</v>
      </c>
      <c r="F93" s="500">
        <f>F94+F95+F96+F97+F98+F111</f>
        <v>1388014694</v>
      </c>
    </row>
    <row r="94" spans="1:6" ht="12" customHeight="1">
      <c r="A94" s="16" t="s">
        <v>101</v>
      </c>
      <c r="B94" s="9" t="s">
        <v>58</v>
      </c>
      <c r="C94" s="559">
        <f>SUM(D94:F94)+252096521+85501355</f>
        <v>1316908447</v>
      </c>
      <c r="D94" s="504">
        <f>25364000+485000+6010000+3749000+165142000+48000+105000</f>
        <v>200903000</v>
      </c>
      <c r="E94" s="404">
        <v>119212000</v>
      </c>
      <c r="F94" s="412">
        <v>659195571</v>
      </c>
    </row>
    <row r="95" spans="1:6" ht="12" customHeight="1">
      <c r="A95" s="13" t="s">
        <v>102</v>
      </c>
      <c r="B95" s="7" t="s">
        <v>149</v>
      </c>
      <c r="C95" s="560">
        <f>SUM(D95:F95)+28812821+9405149</f>
        <v>248985331</v>
      </c>
      <c r="D95" s="385">
        <f>5239000+143000+1233000+14000+1652000+19299000+10000+23000</f>
        <v>27613000</v>
      </c>
      <c r="E95" s="133">
        <v>28323500</v>
      </c>
      <c r="F95" s="390">
        <v>154830861</v>
      </c>
    </row>
    <row r="96" spans="1:6" ht="12" customHeight="1">
      <c r="A96" s="13" t="s">
        <v>103</v>
      </c>
      <c r="B96" s="7" t="s">
        <v>124</v>
      </c>
      <c r="C96" s="560">
        <f>SUM(D96:F96)+41579904+1600000+22320920</f>
        <v>917898266</v>
      </c>
      <c r="D96" s="397">
        <f>11475000+835000+4801000+2722822+944166+8715000+1817000+17736000+735000+300000+8485000+34925000+628800+40773000+3429000+11212000+576000+3351000+1682000+16980000+46750042+1200000+4573000+1350000+376000</f>
        <v>226371830</v>
      </c>
      <c r="E96" s="193">
        <v>52037350</v>
      </c>
      <c r="F96" s="390">
        <v>573988262</v>
      </c>
    </row>
    <row r="97" spans="1:6" ht="12" customHeight="1">
      <c r="A97" s="13" t="s">
        <v>104</v>
      </c>
      <c r="B97" s="7" t="s">
        <v>150</v>
      </c>
      <c r="C97" s="560">
        <f>SUM(D97:F97)</f>
        <v>95230000</v>
      </c>
      <c r="D97" s="397">
        <f>70980000</f>
        <v>70980000</v>
      </c>
      <c r="E97" s="193">
        <v>24250000</v>
      </c>
      <c r="F97" s="411"/>
    </row>
    <row r="98" spans="1:6" ht="12" customHeight="1">
      <c r="A98" s="13" t="s">
        <v>115</v>
      </c>
      <c r="B98" s="6" t="s">
        <v>151</v>
      </c>
      <c r="C98" s="560">
        <f>SUM(D98:F98)+1500+3500000</f>
        <v>40666500</v>
      </c>
      <c r="D98" s="397">
        <f>SUM(D99:D110)</f>
        <v>37165000</v>
      </c>
      <c r="E98" s="193">
        <f>SUM(E99:E110)</f>
        <v>0</v>
      </c>
      <c r="F98" s="411"/>
    </row>
    <row r="99" spans="1:6" ht="12" customHeight="1">
      <c r="A99" s="13" t="s">
        <v>105</v>
      </c>
      <c r="B99" s="7" t="s">
        <v>431</v>
      </c>
      <c r="C99" s="560">
        <f>SUM(D99:F99)+1500</f>
        <v>1500</v>
      </c>
      <c r="D99" s="397"/>
      <c r="E99" s="193"/>
      <c r="F99" s="411"/>
    </row>
    <row r="100" spans="1:6" ht="12" customHeight="1">
      <c r="A100" s="13" t="s">
        <v>106</v>
      </c>
      <c r="B100" s="82" t="s">
        <v>432</v>
      </c>
      <c r="C100" s="560">
        <f aca="true" t="shared" si="2" ref="C100:C109">SUM(D100:F100)</f>
        <v>0</v>
      </c>
      <c r="D100" s="397"/>
      <c r="E100" s="193"/>
      <c r="F100" s="411"/>
    </row>
    <row r="101" spans="1:6" ht="12" customHeight="1">
      <c r="A101" s="13" t="s">
        <v>116</v>
      </c>
      <c r="B101" s="82" t="s">
        <v>433</v>
      </c>
      <c r="C101" s="560">
        <f t="shared" si="2"/>
        <v>0</v>
      </c>
      <c r="D101" s="397"/>
      <c r="E101" s="193"/>
      <c r="F101" s="411"/>
    </row>
    <row r="102" spans="1:6" ht="12" customHeight="1">
      <c r="A102" s="13" t="s">
        <v>117</v>
      </c>
      <c r="B102" s="80" t="s">
        <v>300</v>
      </c>
      <c r="C102" s="560">
        <f t="shared" si="2"/>
        <v>0</v>
      </c>
      <c r="D102" s="397"/>
      <c r="E102" s="193"/>
      <c r="F102" s="411"/>
    </row>
    <row r="103" spans="1:6" ht="12" customHeight="1">
      <c r="A103" s="13" t="s">
        <v>118</v>
      </c>
      <c r="B103" s="81" t="s">
        <v>301</v>
      </c>
      <c r="C103" s="560">
        <f t="shared" si="2"/>
        <v>0</v>
      </c>
      <c r="D103" s="397"/>
      <c r="E103" s="193"/>
      <c r="F103" s="411"/>
    </row>
    <row r="104" spans="1:6" ht="12" customHeight="1">
      <c r="A104" s="13" t="s">
        <v>119</v>
      </c>
      <c r="B104" s="81" t="s">
        <v>302</v>
      </c>
      <c r="C104" s="560">
        <f t="shared" si="2"/>
        <v>0</v>
      </c>
      <c r="D104" s="397"/>
      <c r="E104" s="193"/>
      <c r="F104" s="411"/>
    </row>
    <row r="105" spans="1:6" ht="12" customHeight="1">
      <c r="A105" s="13" t="s">
        <v>121</v>
      </c>
      <c r="B105" s="80" t="s">
        <v>303</v>
      </c>
      <c r="C105" s="560">
        <f t="shared" si="2"/>
        <v>0</v>
      </c>
      <c r="D105" s="397"/>
      <c r="E105" s="193"/>
      <c r="F105" s="411"/>
    </row>
    <row r="106" spans="1:6" ht="12" customHeight="1">
      <c r="A106" s="13" t="s">
        <v>152</v>
      </c>
      <c r="B106" s="80" t="s">
        <v>304</v>
      </c>
      <c r="C106" s="560">
        <f t="shared" si="2"/>
        <v>0</v>
      </c>
      <c r="D106" s="397"/>
      <c r="E106" s="193"/>
      <c r="F106" s="411"/>
    </row>
    <row r="107" spans="1:6" ht="12" customHeight="1">
      <c r="A107" s="13" t="s">
        <v>298</v>
      </c>
      <c r="B107" s="81" t="s">
        <v>305</v>
      </c>
      <c r="C107" s="560">
        <f t="shared" si="2"/>
        <v>0</v>
      </c>
      <c r="D107" s="397"/>
      <c r="E107" s="193"/>
      <c r="F107" s="411"/>
    </row>
    <row r="108" spans="1:6" ht="12" customHeight="1">
      <c r="A108" s="12" t="s">
        <v>299</v>
      </c>
      <c r="B108" s="82" t="s">
        <v>306</v>
      </c>
      <c r="C108" s="560">
        <f t="shared" si="2"/>
        <v>0</v>
      </c>
      <c r="D108" s="397"/>
      <c r="E108" s="193"/>
      <c r="F108" s="411"/>
    </row>
    <row r="109" spans="1:6" ht="12" customHeight="1">
      <c r="A109" s="13" t="s">
        <v>434</v>
      </c>
      <c r="B109" s="82" t="s">
        <v>307</v>
      </c>
      <c r="C109" s="560">
        <f t="shared" si="2"/>
        <v>0</v>
      </c>
      <c r="D109" s="397"/>
      <c r="E109" s="193"/>
      <c r="F109" s="411"/>
    </row>
    <row r="110" spans="1:6" ht="12" customHeight="1">
      <c r="A110" s="15" t="s">
        <v>435</v>
      </c>
      <c r="B110" s="82" t="s">
        <v>308</v>
      </c>
      <c r="C110" s="560">
        <f>SUM(D110:F110)+3500000</f>
        <v>40665000</v>
      </c>
      <c r="D110" s="385">
        <f>536000+11389000+8562000+16678000</f>
        <v>37165000</v>
      </c>
      <c r="E110" s="133"/>
      <c r="F110" s="411"/>
    </row>
    <row r="111" spans="1:6" ht="12" customHeight="1">
      <c r="A111" s="13" t="s">
        <v>436</v>
      </c>
      <c r="B111" s="7" t="s">
        <v>59</v>
      </c>
      <c r="C111" s="560">
        <f>SUM(C112:C113)</f>
        <v>103428057</v>
      </c>
      <c r="D111" s="385">
        <f>D112+D113</f>
        <v>131113300</v>
      </c>
      <c r="E111" s="133"/>
      <c r="F111" s="390">
        <f>F112+F113</f>
        <v>0</v>
      </c>
    </row>
    <row r="112" spans="1:6" ht="12" customHeight="1">
      <c r="A112" s="13" t="s">
        <v>437</v>
      </c>
      <c r="B112" s="7" t="s">
        <v>438</v>
      </c>
      <c r="C112" s="560">
        <f>SUM(D112:F112)-9172313</f>
        <v>10827687</v>
      </c>
      <c r="D112" s="397">
        <v>20000000</v>
      </c>
      <c r="E112" s="193"/>
      <c r="F112" s="390"/>
    </row>
    <row r="113" spans="1:6" ht="12" customHeight="1" thickBot="1">
      <c r="A113" s="17" t="s">
        <v>439</v>
      </c>
      <c r="B113" s="373" t="s">
        <v>440</v>
      </c>
      <c r="C113" s="561">
        <f>SUM(D113:F113)-8373330-1600000-8539600</f>
        <v>92600370</v>
      </c>
      <c r="D113" s="505">
        <f>110613300+500000</f>
        <v>111113300</v>
      </c>
      <c r="E113" s="415"/>
      <c r="F113" s="413"/>
    </row>
    <row r="114" spans="1:6" ht="12" customHeight="1" thickBot="1">
      <c r="A114" s="374" t="s">
        <v>29</v>
      </c>
      <c r="B114" s="375" t="s">
        <v>309</v>
      </c>
      <c r="C114" s="554">
        <f>C115+C117+C119</f>
        <v>195339436</v>
      </c>
      <c r="D114" s="431">
        <f>+D115+D117+D119</f>
        <v>158172900</v>
      </c>
      <c r="E114" s="129">
        <f>+E115+E117+E119</f>
        <v>1901000</v>
      </c>
      <c r="F114" s="376">
        <f>+F115+F117+F119</f>
        <v>9272287</v>
      </c>
    </row>
    <row r="115" spans="1:6" ht="12" customHeight="1">
      <c r="A115" s="14" t="s">
        <v>107</v>
      </c>
      <c r="B115" s="7" t="s">
        <v>171</v>
      </c>
      <c r="C115" s="559">
        <f>SUM(D115:F115)+15239176+979170</f>
        <v>63334533</v>
      </c>
      <c r="D115" s="438">
        <f>6621000+2963001+787402+10624171+3081125+300001+529000+1654000+447000+2237000+90200+6604000+301000+204000</f>
        <v>36442900</v>
      </c>
      <c r="E115" s="230">
        <v>1901000</v>
      </c>
      <c r="F115" s="414">
        <v>8772287</v>
      </c>
    </row>
    <row r="116" spans="1:6" ht="12" customHeight="1">
      <c r="A116" s="14" t="s">
        <v>108</v>
      </c>
      <c r="B116" s="11" t="s">
        <v>313</v>
      </c>
      <c r="C116" s="560">
        <f>SUM(D116:F116)</f>
        <v>14492698</v>
      </c>
      <c r="D116" s="438">
        <v>14492698</v>
      </c>
      <c r="E116" s="230"/>
      <c r="F116" s="414"/>
    </row>
    <row r="117" spans="1:6" ht="12" customHeight="1">
      <c r="A117" s="14" t="s">
        <v>109</v>
      </c>
      <c r="B117" s="11" t="s">
        <v>153</v>
      </c>
      <c r="C117" s="560">
        <f>SUM(D117:F117)-134607+7509510</f>
        <v>87532903</v>
      </c>
      <c r="D117" s="385">
        <f>53340000+21000000+1513000+2996000+809000</f>
        <v>79658000</v>
      </c>
      <c r="E117" s="133"/>
      <c r="F117" s="390">
        <v>500000</v>
      </c>
    </row>
    <row r="118" spans="1:6" ht="12" customHeight="1">
      <c r="A118" s="14" t="s">
        <v>110</v>
      </c>
      <c r="B118" s="11" t="s">
        <v>314</v>
      </c>
      <c r="C118" s="560">
        <f>SUM(D118:F118)</f>
        <v>53340000</v>
      </c>
      <c r="D118" s="385">
        <v>53340000</v>
      </c>
      <c r="E118" s="406"/>
      <c r="F118" s="385"/>
    </row>
    <row r="119" spans="1:6" ht="12" customHeight="1">
      <c r="A119" s="14" t="s">
        <v>111</v>
      </c>
      <c r="B119" s="126" t="s">
        <v>173</v>
      </c>
      <c r="C119" s="560">
        <f>SUM(D119:F119)+2400000</f>
        <v>44472000</v>
      </c>
      <c r="D119" s="385">
        <f>SUM(D120:D127)</f>
        <v>42072000</v>
      </c>
      <c r="E119" s="385"/>
      <c r="F119" s="385"/>
    </row>
    <row r="120" spans="1:6" ht="12" customHeight="1">
      <c r="A120" s="14" t="s">
        <v>120</v>
      </c>
      <c r="B120" s="125" t="s">
        <v>358</v>
      </c>
      <c r="C120" s="560">
        <f aca="true" t="shared" si="3" ref="C120:C126">SUM(D120:F120)</f>
        <v>0</v>
      </c>
      <c r="D120" s="116"/>
      <c r="E120" s="116"/>
      <c r="F120" s="385"/>
    </row>
    <row r="121" spans="1:6" ht="12" customHeight="1">
      <c r="A121" s="14" t="s">
        <v>122</v>
      </c>
      <c r="B121" s="200" t="s">
        <v>319</v>
      </c>
      <c r="C121" s="560">
        <f t="shared" si="3"/>
        <v>0</v>
      </c>
      <c r="D121" s="116"/>
      <c r="E121" s="116"/>
      <c r="F121" s="385"/>
    </row>
    <row r="122" spans="1:6" ht="15.75">
      <c r="A122" s="14" t="s">
        <v>154</v>
      </c>
      <c r="B122" s="81" t="s">
        <v>302</v>
      </c>
      <c r="C122" s="560">
        <f t="shared" si="3"/>
        <v>0</v>
      </c>
      <c r="D122" s="116"/>
      <c r="E122" s="116"/>
      <c r="F122" s="385"/>
    </row>
    <row r="123" spans="1:6" ht="12" customHeight="1">
      <c r="A123" s="14" t="s">
        <v>155</v>
      </c>
      <c r="B123" s="81" t="s">
        <v>318</v>
      </c>
      <c r="C123" s="560">
        <f t="shared" si="3"/>
        <v>0</v>
      </c>
      <c r="D123" s="116"/>
      <c r="E123" s="116"/>
      <c r="F123" s="385"/>
    </row>
    <row r="124" spans="1:6" ht="12" customHeight="1">
      <c r="A124" s="14" t="s">
        <v>156</v>
      </c>
      <c r="B124" s="81" t="s">
        <v>317</v>
      </c>
      <c r="C124" s="560">
        <f t="shared" si="3"/>
        <v>0</v>
      </c>
      <c r="D124" s="116"/>
      <c r="E124" s="116"/>
      <c r="F124" s="385"/>
    </row>
    <row r="125" spans="1:6" ht="12" customHeight="1">
      <c r="A125" s="14" t="s">
        <v>310</v>
      </c>
      <c r="B125" s="81" t="s">
        <v>305</v>
      </c>
      <c r="C125" s="560">
        <f t="shared" si="3"/>
        <v>0</v>
      </c>
      <c r="D125" s="116"/>
      <c r="E125" s="116"/>
      <c r="F125" s="385"/>
    </row>
    <row r="126" spans="1:6" ht="12" customHeight="1">
      <c r="A126" s="14" t="s">
        <v>311</v>
      </c>
      <c r="B126" s="81" t="s">
        <v>316</v>
      </c>
      <c r="C126" s="560">
        <f t="shared" si="3"/>
        <v>0</v>
      </c>
      <c r="D126" s="116"/>
      <c r="E126" s="116"/>
      <c r="F126" s="385"/>
    </row>
    <row r="127" spans="1:6" ht="16.5" thickBot="1">
      <c r="A127" s="12" t="s">
        <v>312</v>
      </c>
      <c r="B127" s="81" t="s">
        <v>315</v>
      </c>
      <c r="C127" s="561">
        <f>SUM(D127:F127)+2400000</f>
        <v>44472000</v>
      </c>
      <c r="D127" s="397">
        <v>42072000</v>
      </c>
      <c r="E127" s="397"/>
      <c r="F127" s="397"/>
    </row>
    <row r="128" spans="1:6" ht="12" customHeight="1" thickBot="1">
      <c r="A128" s="19" t="s">
        <v>30</v>
      </c>
      <c r="B128" s="77" t="s">
        <v>441</v>
      </c>
      <c r="C128" s="554">
        <f>C114+C93</f>
        <v>2918456037</v>
      </c>
      <c r="D128" s="431">
        <f>+D93+D114</f>
        <v>852319030</v>
      </c>
      <c r="E128" s="129">
        <f>+E93+E114</f>
        <v>225723850</v>
      </c>
      <c r="F128" s="129">
        <f>+F93+F114</f>
        <v>1397286981</v>
      </c>
    </row>
    <row r="129" spans="1:6" ht="12" customHeight="1" thickBot="1">
      <c r="A129" s="19" t="s">
        <v>31</v>
      </c>
      <c r="B129" s="77" t="s">
        <v>442</v>
      </c>
      <c r="C129" s="554">
        <f>SUM(C130:C132)</f>
        <v>103161000</v>
      </c>
      <c r="D129" s="431">
        <f>+D130+D131+D132</f>
        <v>103161000</v>
      </c>
      <c r="E129" s="129">
        <f>+E130+E131+E132</f>
        <v>0</v>
      </c>
      <c r="F129" s="129">
        <f>+F130+F131+F132</f>
        <v>0</v>
      </c>
    </row>
    <row r="130" spans="1:6" ht="12" customHeight="1">
      <c r="A130" s="14" t="s">
        <v>210</v>
      </c>
      <c r="B130" s="11" t="s">
        <v>443</v>
      </c>
      <c r="C130" s="559">
        <f>SUM(D130:F130)</f>
        <v>3161000</v>
      </c>
      <c r="D130" s="385">
        <v>3161000</v>
      </c>
      <c r="E130" s="385"/>
      <c r="F130" s="385"/>
    </row>
    <row r="131" spans="1:6" ht="12" customHeight="1">
      <c r="A131" s="14" t="s">
        <v>213</v>
      </c>
      <c r="B131" s="11" t="s">
        <v>444</v>
      </c>
      <c r="C131" s="560">
        <f>SUM(D131:F131)</f>
        <v>100000000</v>
      </c>
      <c r="D131" s="116">
        <v>100000000</v>
      </c>
      <c r="E131" s="116"/>
      <c r="F131" s="116"/>
    </row>
    <row r="132" spans="1:6" ht="12" customHeight="1" thickBot="1">
      <c r="A132" s="12" t="s">
        <v>214</v>
      </c>
      <c r="B132" s="11" t="s">
        <v>445</v>
      </c>
      <c r="C132" s="561">
        <f>SUM(D132:F132)</f>
        <v>0</v>
      </c>
      <c r="D132" s="116"/>
      <c r="E132" s="116"/>
      <c r="F132" s="116"/>
    </row>
    <row r="133" spans="1:6" ht="12" customHeight="1" thickBot="1">
      <c r="A133" s="19" t="s">
        <v>32</v>
      </c>
      <c r="B133" s="77" t="s">
        <v>446</v>
      </c>
      <c r="C133" s="555">
        <f>SUM(C134:C139)</f>
        <v>0</v>
      </c>
      <c r="D133" s="431">
        <f>+D134+D135+D136+D137+D138+D139</f>
        <v>0</v>
      </c>
      <c r="E133" s="129">
        <f>+E134+E135+E136+E137+E138+E139</f>
        <v>0</v>
      </c>
      <c r="F133" s="129">
        <f>SUM(F134:F139)</f>
        <v>0</v>
      </c>
    </row>
    <row r="134" spans="1:6" ht="12" customHeight="1">
      <c r="A134" s="14" t="s">
        <v>94</v>
      </c>
      <c r="B134" s="8" t="s">
        <v>447</v>
      </c>
      <c r="C134" s="559">
        <f aca="true" t="shared" si="4" ref="C134:C139">SUM(D134:F134)</f>
        <v>0</v>
      </c>
      <c r="D134" s="116"/>
      <c r="E134" s="116"/>
      <c r="F134" s="116"/>
    </row>
    <row r="135" spans="1:6" ht="12" customHeight="1">
      <c r="A135" s="14" t="s">
        <v>95</v>
      </c>
      <c r="B135" s="8" t="s">
        <v>448</v>
      </c>
      <c r="C135" s="560">
        <f t="shared" si="4"/>
        <v>0</v>
      </c>
      <c r="D135" s="116"/>
      <c r="E135" s="116"/>
      <c r="F135" s="116"/>
    </row>
    <row r="136" spans="1:6" ht="12" customHeight="1">
      <c r="A136" s="14" t="s">
        <v>96</v>
      </c>
      <c r="B136" s="8" t="s">
        <v>449</v>
      </c>
      <c r="C136" s="560">
        <f t="shared" si="4"/>
        <v>0</v>
      </c>
      <c r="D136" s="116"/>
      <c r="E136" s="116"/>
      <c r="F136" s="116"/>
    </row>
    <row r="137" spans="1:6" ht="12" customHeight="1">
      <c r="A137" s="14" t="s">
        <v>141</v>
      </c>
      <c r="B137" s="8" t="s">
        <v>450</v>
      </c>
      <c r="C137" s="560">
        <f t="shared" si="4"/>
        <v>0</v>
      </c>
      <c r="D137" s="116"/>
      <c r="E137" s="116"/>
      <c r="F137" s="116"/>
    </row>
    <row r="138" spans="1:6" ht="12" customHeight="1">
      <c r="A138" s="14" t="s">
        <v>142</v>
      </c>
      <c r="B138" s="8" t="s">
        <v>451</v>
      </c>
      <c r="C138" s="560">
        <f t="shared" si="4"/>
        <v>0</v>
      </c>
      <c r="D138" s="116"/>
      <c r="E138" s="116"/>
      <c r="F138" s="116"/>
    </row>
    <row r="139" spans="1:6" ht="12" customHeight="1" thickBot="1">
      <c r="A139" s="12" t="s">
        <v>143</v>
      </c>
      <c r="B139" s="8" t="s">
        <v>452</v>
      </c>
      <c r="C139" s="561">
        <f t="shared" si="4"/>
        <v>0</v>
      </c>
      <c r="D139" s="116"/>
      <c r="E139" s="116"/>
      <c r="F139" s="116"/>
    </row>
    <row r="140" spans="1:6" ht="12" customHeight="1" thickBot="1">
      <c r="A140" s="19" t="s">
        <v>33</v>
      </c>
      <c r="B140" s="77" t="s">
        <v>453</v>
      </c>
      <c r="C140" s="554">
        <f>SUM(C141:C144)</f>
        <v>35164932</v>
      </c>
      <c r="D140" s="435">
        <f>+D141+D142+D143+D144</f>
        <v>35164932</v>
      </c>
      <c r="E140" s="134">
        <f>+E141+E142+E143+E144</f>
        <v>0</v>
      </c>
      <c r="F140" s="134">
        <f>+F141+F142+F143+F144</f>
        <v>0</v>
      </c>
    </row>
    <row r="141" spans="1:6" ht="12" customHeight="1">
      <c r="A141" s="14" t="s">
        <v>97</v>
      </c>
      <c r="B141" s="8" t="s">
        <v>320</v>
      </c>
      <c r="C141" s="559">
        <f>SUM(D141:F141)</f>
        <v>0</v>
      </c>
      <c r="D141" s="116"/>
      <c r="E141" s="116"/>
      <c r="F141" s="116"/>
    </row>
    <row r="142" spans="1:6" ht="12" customHeight="1">
      <c r="A142" s="14" t="s">
        <v>98</v>
      </c>
      <c r="B142" s="8" t="s">
        <v>321</v>
      </c>
      <c r="C142" s="560">
        <f>SUM(D142:F142)</f>
        <v>35164932</v>
      </c>
      <c r="D142" s="116">
        <f>35164932</f>
        <v>35164932</v>
      </c>
      <c r="E142" s="116"/>
      <c r="F142" s="116"/>
    </row>
    <row r="143" spans="1:6" ht="12" customHeight="1">
      <c r="A143" s="14" t="s">
        <v>234</v>
      </c>
      <c r="B143" s="8" t="s">
        <v>454</v>
      </c>
      <c r="C143" s="560">
        <f>SUM(D143:F143)</f>
        <v>0</v>
      </c>
      <c r="D143" s="116"/>
      <c r="E143" s="116"/>
      <c r="F143" s="116"/>
    </row>
    <row r="144" spans="1:6" ht="12" customHeight="1" thickBot="1">
      <c r="A144" s="12" t="s">
        <v>235</v>
      </c>
      <c r="B144" s="6" t="s">
        <v>339</v>
      </c>
      <c r="C144" s="561">
        <f>SUM(D144:F144)</f>
        <v>0</v>
      </c>
      <c r="D144" s="116"/>
      <c r="E144" s="116"/>
      <c r="F144" s="116"/>
    </row>
    <row r="145" spans="1:6" ht="12" customHeight="1" thickBot="1">
      <c r="A145" s="19" t="s">
        <v>34</v>
      </c>
      <c r="B145" s="77" t="s">
        <v>455</v>
      </c>
      <c r="C145" s="555">
        <f>SUM(C146:C150)</f>
        <v>0</v>
      </c>
      <c r="D145" s="448">
        <f>+D146+D147+D148+D149+D150</f>
        <v>0</v>
      </c>
      <c r="E145" s="137">
        <f>+E146+E147+E148+E149+E150</f>
        <v>0</v>
      </c>
      <c r="F145" s="137">
        <f>SUM(F146:F150)</f>
        <v>0</v>
      </c>
    </row>
    <row r="146" spans="1:6" ht="12" customHeight="1">
      <c r="A146" s="14" t="s">
        <v>99</v>
      </c>
      <c r="B146" s="8" t="s">
        <v>456</v>
      </c>
      <c r="C146" s="559">
        <f aca="true" t="shared" si="5" ref="C146:C152">SUM(D146:F146)</f>
        <v>0</v>
      </c>
      <c r="D146" s="116"/>
      <c r="E146" s="116"/>
      <c r="F146" s="116"/>
    </row>
    <row r="147" spans="1:6" ht="12" customHeight="1">
      <c r="A147" s="14" t="s">
        <v>100</v>
      </c>
      <c r="B147" s="8" t="s">
        <v>457</v>
      </c>
      <c r="C147" s="560">
        <f t="shared" si="5"/>
        <v>0</v>
      </c>
      <c r="D147" s="116"/>
      <c r="E147" s="116"/>
      <c r="F147" s="116"/>
    </row>
    <row r="148" spans="1:6" ht="12" customHeight="1">
      <c r="A148" s="14" t="s">
        <v>246</v>
      </c>
      <c r="B148" s="8" t="s">
        <v>458</v>
      </c>
      <c r="C148" s="560">
        <f t="shared" si="5"/>
        <v>0</v>
      </c>
      <c r="D148" s="116"/>
      <c r="E148" s="116"/>
      <c r="F148" s="116"/>
    </row>
    <row r="149" spans="1:6" ht="12" customHeight="1">
      <c r="A149" s="14" t="s">
        <v>247</v>
      </c>
      <c r="B149" s="8" t="s">
        <v>459</v>
      </c>
      <c r="C149" s="560">
        <f t="shared" si="5"/>
        <v>0</v>
      </c>
      <c r="D149" s="116"/>
      <c r="E149" s="116"/>
      <c r="F149" s="116"/>
    </row>
    <row r="150" spans="1:6" ht="12" customHeight="1" thickBot="1">
      <c r="A150" s="14" t="s">
        <v>460</v>
      </c>
      <c r="B150" s="8" t="s">
        <v>461</v>
      </c>
      <c r="C150" s="561">
        <f t="shared" si="5"/>
        <v>0</v>
      </c>
      <c r="D150" s="117"/>
      <c r="E150" s="117"/>
      <c r="F150" s="116"/>
    </row>
    <row r="151" spans="1:6" ht="12" customHeight="1" thickBot="1">
      <c r="A151" s="19" t="s">
        <v>35</v>
      </c>
      <c r="B151" s="77" t="s">
        <v>462</v>
      </c>
      <c r="C151" s="555">
        <f t="shared" si="5"/>
        <v>0</v>
      </c>
      <c r="D151" s="448"/>
      <c r="E151" s="137"/>
      <c r="F151" s="377"/>
    </row>
    <row r="152" spans="1:6" ht="12" customHeight="1" thickBot="1">
      <c r="A152" s="19" t="s">
        <v>36</v>
      </c>
      <c r="B152" s="77" t="s">
        <v>463</v>
      </c>
      <c r="C152" s="555">
        <f t="shared" si="5"/>
        <v>0</v>
      </c>
      <c r="D152" s="448"/>
      <c r="E152" s="137"/>
      <c r="F152" s="377"/>
    </row>
    <row r="153" spans="1:8" ht="15" customHeight="1" thickBot="1">
      <c r="A153" s="19" t="s">
        <v>37</v>
      </c>
      <c r="B153" s="77" t="s">
        <v>464</v>
      </c>
      <c r="C153" s="554">
        <f>C152+C151+C145+C140+C133+C129</f>
        <v>138325932</v>
      </c>
      <c r="D153" s="451">
        <f>+D129+D133+D140+D145+D151+D152</f>
        <v>138325932</v>
      </c>
      <c r="E153" s="214">
        <f>+E129+E133+E140+E145+E151+E152</f>
        <v>0</v>
      </c>
      <c r="F153" s="214">
        <f>+F129+F133+F140+F145+F151+F152</f>
        <v>0</v>
      </c>
      <c r="G153" s="215"/>
      <c r="H153" s="215"/>
    </row>
    <row r="154" spans="1:6" s="203" customFormat="1" ht="12.75" customHeight="1" thickBot="1">
      <c r="A154" s="127" t="s">
        <v>38</v>
      </c>
      <c r="B154" s="189" t="s">
        <v>465</v>
      </c>
      <c r="C154" s="554">
        <f>C153+C128</f>
        <v>3056781969</v>
      </c>
      <c r="D154" s="451">
        <f>+D128+D153</f>
        <v>990644962</v>
      </c>
      <c r="E154" s="214">
        <f>+E128+E153</f>
        <v>225723850</v>
      </c>
      <c r="F154" s="214">
        <f>+F128+F153</f>
        <v>1397286981</v>
      </c>
    </row>
    <row r="155" ht="7.5" customHeight="1"/>
    <row r="156" spans="1:3" ht="15.75">
      <c r="A156" s="600" t="s">
        <v>322</v>
      </c>
      <c r="B156" s="600"/>
      <c r="C156" s="600"/>
    </row>
    <row r="157" spans="1:3" ht="15" customHeight="1" thickBot="1">
      <c r="A157" s="597" t="s">
        <v>130</v>
      </c>
      <c r="B157" s="597"/>
      <c r="C157" s="138" t="s">
        <v>534</v>
      </c>
    </row>
    <row r="158" spans="1:3" ht="13.5" customHeight="1" thickBot="1">
      <c r="A158" s="19">
        <v>1</v>
      </c>
      <c r="B158" s="25" t="s">
        <v>466</v>
      </c>
      <c r="C158" s="129">
        <f>+C62-C128</f>
        <v>-298773483</v>
      </c>
    </row>
    <row r="159" spans="1:3" ht="27.75" customHeight="1" thickBot="1">
      <c r="A159" s="19" t="s">
        <v>29</v>
      </c>
      <c r="B159" s="25" t="s">
        <v>467</v>
      </c>
      <c r="C159" s="129">
        <f>+C86-C153</f>
        <v>298773483</v>
      </c>
    </row>
  </sheetData>
  <sheetProtection/>
  <mergeCells count="6">
    <mergeCell ref="A157:B157"/>
    <mergeCell ref="A89:C89"/>
    <mergeCell ref="A1:C1"/>
    <mergeCell ref="A2:B2"/>
    <mergeCell ref="A90:B90"/>
    <mergeCell ref="A156:C156"/>
  </mergeCells>
  <printOptions horizontalCentered="1"/>
  <pageMargins left="0.7874015748031497" right="0.7874015748031497" top="1.4566929133858268" bottom="0.8661417322834646" header="0.7874015748031497" footer="0.5905511811023623"/>
  <pageSetup horizontalDpi="600" verticalDpi="600" orientation="portrait" paperSize="9" scale="71" r:id="rId1"/>
  <headerFooter alignWithMargins="0">
    <oddHeader>&amp;C&amp;"Times New Roman CE,Félkövér"&amp;12
Tiszavasvári Város Önkormányzata
2017. ÉVI KÖLTSÉGVETÉSÉNEK ÖSSZEVONT MÉRLEGE&amp;10
&amp;R&amp;"Times New Roman CE,Félkövér dőlt"&amp;11 1. melléklet a 12/2017.(IV.11.) önkormányzati rendelethez</oddHeader>
  </headerFooter>
  <rowBreaks count="1" manualBreakCount="1">
    <brk id="88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32">
    <tabColor rgb="FF92D050"/>
  </sheetPr>
  <dimension ref="A1:K158"/>
  <sheetViews>
    <sheetView zoomScaleSheetLayoutView="85" workbookViewId="0" topLeftCell="A128">
      <selection activeCell="B66" sqref="B66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00"/>
      <c r="B1" s="101"/>
      <c r="C1" s="114"/>
    </row>
    <row r="2" spans="1:3" s="50" customFormat="1" ht="21" customHeight="1">
      <c r="A2" s="194" t="s">
        <v>69</v>
      </c>
      <c r="B2" s="182" t="s">
        <v>167</v>
      </c>
      <c r="C2" s="184" t="s">
        <v>61</v>
      </c>
    </row>
    <row r="3" spans="1:3" s="50" customFormat="1" ht="16.5" thickBot="1">
      <c r="A3" s="102" t="s">
        <v>164</v>
      </c>
      <c r="B3" s="183" t="s">
        <v>359</v>
      </c>
      <c r="C3" s="380" t="s">
        <v>67</v>
      </c>
    </row>
    <row r="4" spans="1:3" s="51" customFormat="1" ht="15.75" customHeight="1" thickBot="1">
      <c r="A4" s="103"/>
      <c r="B4" s="103"/>
      <c r="C4" s="104" t="s">
        <v>535</v>
      </c>
    </row>
    <row r="5" spans="1:3" ht="13.5" thickBot="1">
      <c r="A5" s="195" t="s">
        <v>165</v>
      </c>
      <c r="B5" s="105" t="s">
        <v>62</v>
      </c>
      <c r="C5" s="185" t="s">
        <v>63</v>
      </c>
    </row>
    <row r="6" spans="1:3" s="45" customFormat="1" ht="12.75" customHeight="1" thickBot="1">
      <c r="A6" s="97" t="s">
        <v>414</v>
      </c>
      <c r="B6" s="98" t="s">
        <v>415</v>
      </c>
      <c r="C6" s="99" t="s">
        <v>416</v>
      </c>
    </row>
    <row r="7" spans="1:3" s="45" customFormat="1" ht="15.75" customHeight="1" thickBot="1">
      <c r="A7" s="106"/>
      <c r="B7" s="107" t="s">
        <v>64</v>
      </c>
      <c r="C7" s="186"/>
    </row>
    <row r="8" spans="1:3" s="45" customFormat="1" ht="12" customHeight="1" thickBot="1">
      <c r="A8" s="27" t="s">
        <v>28</v>
      </c>
      <c r="B8" s="20" t="s">
        <v>194</v>
      </c>
      <c r="C8" s="129">
        <f>+C9+C10+C11+C12+C13+C14</f>
        <v>1031461139</v>
      </c>
    </row>
    <row r="9" spans="1:3" s="52" customFormat="1" ht="12" customHeight="1">
      <c r="A9" s="218" t="s">
        <v>101</v>
      </c>
      <c r="B9" s="204" t="s">
        <v>195</v>
      </c>
      <c r="C9" s="230">
        <f>227512539+905743</f>
        <v>228418282</v>
      </c>
    </row>
    <row r="10" spans="1:3" s="53" customFormat="1" ht="12" customHeight="1">
      <c r="A10" s="219" t="s">
        <v>102</v>
      </c>
      <c r="B10" s="205" t="s">
        <v>196</v>
      </c>
      <c r="C10" s="133">
        <f>218107294</f>
        <v>218107294</v>
      </c>
    </row>
    <row r="11" spans="1:3" s="53" customFormat="1" ht="12" customHeight="1">
      <c r="A11" s="219" t="s">
        <v>103</v>
      </c>
      <c r="B11" s="205" t="s">
        <v>197</v>
      </c>
      <c r="C11" s="133">
        <f>121200000+67844165+177597260+4526280+11511000+24250000-35761000</f>
        <v>371167705</v>
      </c>
    </row>
    <row r="12" spans="1:3" s="53" customFormat="1" ht="12" customHeight="1">
      <c r="A12" s="219" t="s">
        <v>104</v>
      </c>
      <c r="B12" s="205" t="s">
        <v>198</v>
      </c>
      <c r="C12" s="133">
        <f>4412740+15262320+10629000-4412740</f>
        <v>25891320</v>
      </c>
    </row>
    <row r="13" spans="1:3" s="53" customFormat="1" ht="12" customHeight="1">
      <c r="A13" s="219" t="s">
        <v>125</v>
      </c>
      <c r="B13" s="205" t="s">
        <v>478</v>
      </c>
      <c r="C13" s="133">
        <f>1060845+3551000+168707597+58000+128000+13957152+413944</f>
        <v>187876538</v>
      </c>
    </row>
    <row r="14" spans="1:3" s="52" customFormat="1" ht="12" customHeight="1" thickBot="1">
      <c r="A14" s="220" t="s">
        <v>105</v>
      </c>
      <c r="B14" s="206" t="s">
        <v>418</v>
      </c>
      <c r="C14" s="130"/>
    </row>
    <row r="15" spans="1:3" s="52" customFormat="1" ht="12" customHeight="1" thickBot="1">
      <c r="A15" s="27" t="s">
        <v>29</v>
      </c>
      <c r="B15" s="124" t="s">
        <v>199</v>
      </c>
      <c r="C15" s="129">
        <f>+C16+C17+C18+C19+C20</f>
        <v>486611092</v>
      </c>
    </row>
    <row r="16" spans="1:3" s="52" customFormat="1" ht="12" customHeight="1">
      <c r="A16" s="218" t="s">
        <v>107</v>
      </c>
      <c r="B16" s="204" t="s">
        <v>200</v>
      </c>
      <c r="C16" s="131"/>
    </row>
    <row r="17" spans="1:3" s="52" customFormat="1" ht="12" customHeight="1">
      <c r="A17" s="219" t="s">
        <v>108</v>
      </c>
      <c r="B17" s="205" t="s">
        <v>201</v>
      </c>
      <c r="C17" s="130"/>
    </row>
    <row r="18" spans="1:3" s="52" customFormat="1" ht="12" customHeight="1">
      <c r="A18" s="219" t="s">
        <v>109</v>
      </c>
      <c r="B18" s="205" t="s">
        <v>352</v>
      </c>
      <c r="C18" s="130"/>
    </row>
    <row r="19" spans="1:3" s="52" customFormat="1" ht="12" customHeight="1">
      <c r="A19" s="219" t="s">
        <v>110</v>
      </c>
      <c r="B19" s="205" t="s">
        <v>353</v>
      </c>
      <c r="C19" s="130"/>
    </row>
    <row r="20" spans="1:3" s="52" customFormat="1" ht="12" customHeight="1">
      <c r="A20" s="219" t="s">
        <v>111</v>
      </c>
      <c r="B20" s="205" t="s">
        <v>202</v>
      </c>
      <c r="C20" s="133">
        <f>210000+65342000+25310845+9303887+291175856+362000+94906504</f>
        <v>486611092</v>
      </c>
    </row>
    <row r="21" spans="1:3" s="53" customFormat="1" ht="12" customHeight="1" thickBot="1">
      <c r="A21" s="220" t="s">
        <v>120</v>
      </c>
      <c r="B21" s="206" t="s">
        <v>203</v>
      </c>
      <c r="C21" s="132"/>
    </row>
    <row r="22" spans="1:3" s="53" customFormat="1" ht="12" customHeight="1" thickBot="1">
      <c r="A22" s="27" t="s">
        <v>30</v>
      </c>
      <c r="B22" s="20" t="s">
        <v>204</v>
      </c>
      <c r="C22" s="129">
        <f>+C23+C24+C25+C26+C27</f>
        <v>18976576</v>
      </c>
    </row>
    <row r="23" spans="1:3" s="53" customFormat="1" ht="12" customHeight="1">
      <c r="A23" s="218" t="s">
        <v>90</v>
      </c>
      <c r="B23" s="204" t="s">
        <v>205</v>
      </c>
      <c r="C23" s="384"/>
    </row>
    <row r="24" spans="1:3" s="52" customFormat="1" ht="12" customHeight="1">
      <c r="A24" s="219" t="s">
        <v>91</v>
      </c>
      <c r="B24" s="205" t="s">
        <v>206</v>
      </c>
      <c r="C24" s="133"/>
    </row>
    <row r="25" spans="1:3" s="53" customFormat="1" ht="12" customHeight="1">
      <c r="A25" s="219" t="s">
        <v>92</v>
      </c>
      <c r="B25" s="205" t="s">
        <v>354</v>
      </c>
      <c r="C25" s="133"/>
    </row>
    <row r="26" spans="1:3" s="53" customFormat="1" ht="12" customHeight="1">
      <c r="A26" s="219" t="s">
        <v>93</v>
      </c>
      <c r="B26" s="205" t="s">
        <v>355</v>
      </c>
      <c r="C26" s="133"/>
    </row>
    <row r="27" spans="1:3" s="53" customFormat="1" ht="12" customHeight="1">
      <c r="A27" s="219" t="s">
        <v>137</v>
      </c>
      <c r="B27" s="205" t="s">
        <v>207</v>
      </c>
      <c r="C27" s="133">
        <f>3797300+15179276</f>
        <v>18976576</v>
      </c>
    </row>
    <row r="28" spans="1:3" s="53" customFormat="1" ht="12" customHeight="1" thickBot="1">
      <c r="A28" s="220" t="s">
        <v>138</v>
      </c>
      <c r="B28" s="206" t="s">
        <v>208</v>
      </c>
      <c r="C28" s="193">
        <v>3797300</v>
      </c>
    </row>
    <row r="29" spans="1:3" s="53" customFormat="1" ht="12" customHeight="1" thickBot="1">
      <c r="A29" s="27" t="s">
        <v>139</v>
      </c>
      <c r="B29" s="20" t="s">
        <v>209</v>
      </c>
      <c r="C29" s="134">
        <f>+C30+C34+C35+C36</f>
        <v>319390000</v>
      </c>
    </row>
    <row r="30" spans="1:3" s="53" customFormat="1" ht="12" customHeight="1">
      <c r="A30" s="218" t="s">
        <v>210</v>
      </c>
      <c r="B30" s="204" t="s">
        <v>479</v>
      </c>
      <c r="C30" s="199">
        <f>SUM(C31:C33)</f>
        <v>282830000</v>
      </c>
    </row>
    <row r="31" spans="1:3" s="53" customFormat="1" ht="12" customHeight="1">
      <c r="A31" s="219" t="s">
        <v>211</v>
      </c>
      <c r="B31" s="205" t="s">
        <v>216</v>
      </c>
      <c r="C31" s="130">
        <f>8990000+70000000</f>
        <v>78990000</v>
      </c>
    </row>
    <row r="32" spans="1:3" s="53" customFormat="1" ht="12" customHeight="1">
      <c r="A32" s="219" t="s">
        <v>212</v>
      </c>
      <c r="B32" s="205" t="s">
        <v>507</v>
      </c>
      <c r="C32" s="130">
        <v>203840000</v>
      </c>
    </row>
    <row r="33" spans="1:3" s="53" customFormat="1" ht="12" customHeight="1">
      <c r="A33" s="219" t="s">
        <v>420</v>
      </c>
      <c r="B33" s="205" t="s">
        <v>504</v>
      </c>
      <c r="C33" s="133"/>
    </row>
    <row r="34" spans="1:3" s="53" customFormat="1" ht="12" customHeight="1">
      <c r="A34" s="219" t="s">
        <v>213</v>
      </c>
      <c r="B34" s="205" t="s">
        <v>218</v>
      </c>
      <c r="C34" s="130">
        <f>27000000</f>
        <v>27000000</v>
      </c>
    </row>
    <row r="35" spans="1:3" s="53" customFormat="1" ht="12" customHeight="1">
      <c r="A35" s="219" t="s">
        <v>214</v>
      </c>
      <c r="B35" s="205" t="s">
        <v>219</v>
      </c>
      <c r="C35" s="130">
        <f>4060000-4000000</f>
        <v>60000</v>
      </c>
    </row>
    <row r="36" spans="1:3" s="53" customFormat="1" ht="12" customHeight="1" thickBot="1">
      <c r="A36" s="220" t="s">
        <v>215</v>
      </c>
      <c r="B36" s="206" t="s">
        <v>220</v>
      </c>
      <c r="C36" s="193">
        <f>5500000+4000000</f>
        <v>9500000</v>
      </c>
    </row>
    <row r="37" spans="1:3" s="53" customFormat="1" ht="12" customHeight="1" thickBot="1">
      <c r="A37" s="27" t="s">
        <v>32</v>
      </c>
      <c r="B37" s="20" t="s">
        <v>422</v>
      </c>
      <c r="C37" s="129">
        <f>SUM(C38:C48)</f>
        <v>43836000</v>
      </c>
    </row>
    <row r="38" spans="1:3" s="53" customFormat="1" ht="12" customHeight="1">
      <c r="A38" s="218" t="s">
        <v>94</v>
      </c>
      <c r="B38" s="204" t="s">
        <v>223</v>
      </c>
      <c r="C38" s="230">
        <f>4000000+5000000</f>
        <v>9000000</v>
      </c>
    </row>
    <row r="39" spans="1:3" s="53" customFormat="1" ht="12" customHeight="1">
      <c r="A39" s="219" t="s">
        <v>95</v>
      </c>
      <c r="B39" s="205" t="s">
        <v>224</v>
      </c>
      <c r="C39" s="133">
        <f>100000+12004000</f>
        <v>12104000</v>
      </c>
    </row>
    <row r="40" spans="1:3" s="53" customFormat="1" ht="12" customHeight="1">
      <c r="A40" s="219" t="s">
        <v>96</v>
      </c>
      <c r="B40" s="205" t="s">
        <v>225</v>
      </c>
      <c r="C40" s="133">
        <f>8458000+947000</f>
        <v>9405000</v>
      </c>
    </row>
    <row r="41" spans="1:3" s="53" customFormat="1" ht="12" customHeight="1">
      <c r="A41" s="219" t="s">
        <v>141</v>
      </c>
      <c r="B41" s="205" t="s">
        <v>226</v>
      </c>
      <c r="C41" s="133">
        <f>430000</f>
        <v>430000</v>
      </c>
    </row>
    <row r="42" spans="1:3" s="53" customFormat="1" ht="12" customHeight="1">
      <c r="A42" s="219" t="s">
        <v>142</v>
      </c>
      <c r="B42" s="205" t="s">
        <v>227</v>
      </c>
      <c r="C42" s="133"/>
    </row>
    <row r="43" spans="1:3" s="53" customFormat="1" ht="12" customHeight="1">
      <c r="A43" s="219" t="s">
        <v>143</v>
      </c>
      <c r="B43" s="205" t="s">
        <v>228</v>
      </c>
      <c r="C43" s="133">
        <f>3242000+5853000+378000+600000+1350000+270000</f>
        <v>11693000</v>
      </c>
    </row>
    <row r="44" spans="1:3" s="53" customFormat="1" ht="12" customHeight="1">
      <c r="A44" s="219" t="s">
        <v>144</v>
      </c>
      <c r="B44" s="205" t="s">
        <v>229</v>
      </c>
      <c r="C44" s="133"/>
    </row>
    <row r="45" spans="1:3" s="53" customFormat="1" ht="12" customHeight="1">
      <c r="A45" s="219" t="s">
        <v>145</v>
      </c>
      <c r="B45" s="205" t="s">
        <v>230</v>
      </c>
      <c r="C45" s="133"/>
    </row>
    <row r="46" spans="1:3" s="53" customFormat="1" ht="12" customHeight="1">
      <c r="A46" s="219" t="s">
        <v>221</v>
      </c>
      <c r="B46" s="205" t="s">
        <v>231</v>
      </c>
      <c r="C46" s="133"/>
    </row>
    <row r="47" spans="1:3" s="53" customFormat="1" ht="12" customHeight="1">
      <c r="A47" s="220" t="s">
        <v>222</v>
      </c>
      <c r="B47" s="206" t="s">
        <v>423</v>
      </c>
      <c r="C47" s="193">
        <f>500000</f>
        <v>500000</v>
      </c>
    </row>
    <row r="48" spans="1:3" s="53" customFormat="1" ht="12" customHeight="1" thickBot="1">
      <c r="A48" s="220" t="s">
        <v>424</v>
      </c>
      <c r="B48" s="206" t="s">
        <v>232</v>
      </c>
      <c r="C48" s="193">
        <v>704000</v>
      </c>
    </row>
    <row r="49" spans="1:3" s="53" customFormat="1" ht="12" customHeight="1" thickBot="1">
      <c r="A49" s="27" t="s">
        <v>33</v>
      </c>
      <c r="B49" s="20" t="s">
        <v>233</v>
      </c>
      <c r="C49" s="129">
        <f>SUM(C50:C54)</f>
        <v>47179000</v>
      </c>
    </row>
    <row r="50" spans="1:3" s="53" customFormat="1" ht="12" customHeight="1">
      <c r="A50" s="218" t="s">
        <v>97</v>
      </c>
      <c r="B50" s="204" t="s">
        <v>237</v>
      </c>
      <c r="C50" s="230"/>
    </row>
    <row r="51" spans="1:3" s="53" customFormat="1" ht="12" customHeight="1">
      <c r="A51" s="219" t="s">
        <v>98</v>
      </c>
      <c r="B51" s="205" t="s">
        <v>238</v>
      </c>
      <c r="C51" s="133">
        <f>25179000+22000000</f>
        <v>47179000</v>
      </c>
    </row>
    <row r="52" spans="1:3" s="53" customFormat="1" ht="12" customHeight="1">
      <c r="A52" s="219" t="s">
        <v>234</v>
      </c>
      <c r="B52" s="205" t="s">
        <v>239</v>
      </c>
      <c r="C52" s="133"/>
    </row>
    <row r="53" spans="1:3" s="53" customFormat="1" ht="12" customHeight="1">
      <c r="A53" s="219" t="s">
        <v>235</v>
      </c>
      <c r="B53" s="205" t="s">
        <v>240</v>
      </c>
      <c r="C53" s="133"/>
    </row>
    <row r="54" spans="1:3" s="53" customFormat="1" ht="12" customHeight="1" thickBot="1">
      <c r="A54" s="220" t="s">
        <v>236</v>
      </c>
      <c r="B54" s="206" t="s">
        <v>241</v>
      </c>
      <c r="C54" s="193"/>
    </row>
    <row r="55" spans="1:3" s="53" customFormat="1" ht="12" customHeight="1" thickBot="1">
      <c r="A55" s="27" t="s">
        <v>146</v>
      </c>
      <c r="B55" s="20" t="s">
        <v>242</v>
      </c>
      <c r="C55" s="129">
        <f>SUM(C56:C58)</f>
        <v>4458000</v>
      </c>
    </row>
    <row r="56" spans="1:3" s="53" customFormat="1" ht="12" customHeight="1">
      <c r="A56" s="218" t="s">
        <v>99</v>
      </c>
      <c r="B56" s="204" t="s">
        <v>243</v>
      </c>
      <c r="C56" s="131"/>
    </row>
    <row r="57" spans="1:3" s="53" customFormat="1" ht="12" customHeight="1">
      <c r="A57" s="219" t="s">
        <v>100</v>
      </c>
      <c r="B57" s="205" t="s">
        <v>356</v>
      </c>
      <c r="C57" s="133">
        <v>383000</v>
      </c>
    </row>
    <row r="58" spans="1:3" s="53" customFormat="1" ht="12" customHeight="1">
      <c r="A58" s="219" t="s">
        <v>246</v>
      </c>
      <c r="B58" s="205" t="s">
        <v>244</v>
      </c>
      <c r="C58" s="133">
        <v>4075000</v>
      </c>
    </row>
    <row r="59" spans="1:3" s="53" customFormat="1" ht="12" customHeight="1" thickBot="1">
      <c r="A59" s="220" t="s">
        <v>247</v>
      </c>
      <c r="B59" s="206" t="s">
        <v>245</v>
      </c>
      <c r="C59" s="132"/>
    </row>
    <row r="60" spans="1:3" s="53" customFormat="1" ht="12" customHeight="1" thickBot="1">
      <c r="A60" s="27" t="s">
        <v>35</v>
      </c>
      <c r="B60" s="124" t="s">
        <v>248</v>
      </c>
      <c r="C60" s="129">
        <f>SUM(C61:C63)</f>
        <v>0</v>
      </c>
    </row>
    <row r="61" spans="1:3" s="53" customFormat="1" ht="12" customHeight="1">
      <c r="A61" s="218" t="s">
        <v>147</v>
      </c>
      <c r="B61" s="204" t="s">
        <v>250</v>
      </c>
      <c r="C61" s="133"/>
    </row>
    <row r="62" spans="1:3" s="53" customFormat="1" ht="12" customHeight="1">
      <c r="A62" s="219" t="s">
        <v>148</v>
      </c>
      <c r="B62" s="205" t="s">
        <v>357</v>
      </c>
      <c r="C62" s="133"/>
    </row>
    <row r="63" spans="1:3" s="53" customFormat="1" ht="12" customHeight="1">
      <c r="A63" s="219" t="s">
        <v>172</v>
      </c>
      <c r="B63" s="205" t="s">
        <v>251</v>
      </c>
      <c r="C63" s="133"/>
    </row>
    <row r="64" spans="1:3" s="53" customFormat="1" ht="12" customHeight="1" thickBot="1">
      <c r="A64" s="220" t="s">
        <v>249</v>
      </c>
      <c r="B64" s="206" t="s">
        <v>252</v>
      </c>
      <c r="C64" s="133"/>
    </row>
    <row r="65" spans="1:3" s="53" customFormat="1" ht="12" customHeight="1" thickBot="1">
      <c r="A65" s="27" t="s">
        <v>36</v>
      </c>
      <c r="B65" s="20" t="s">
        <v>253</v>
      </c>
      <c r="C65" s="134">
        <f>+C8+C15+C22+C29+C37+C49+C55+C60</f>
        <v>1951911807</v>
      </c>
    </row>
    <row r="66" spans="1:3" s="53" customFormat="1" ht="12" customHeight="1" thickBot="1">
      <c r="A66" s="221" t="s">
        <v>343</v>
      </c>
      <c r="B66" s="124" t="s">
        <v>255</v>
      </c>
      <c r="C66" s="129">
        <f>SUM(C67:C69)</f>
        <v>0</v>
      </c>
    </row>
    <row r="67" spans="1:3" s="53" customFormat="1" ht="12" customHeight="1">
      <c r="A67" s="218" t="s">
        <v>286</v>
      </c>
      <c r="B67" s="204" t="s">
        <v>256</v>
      </c>
      <c r="C67" s="133"/>
    </row>
    <row r="68" spans="1:3" s="53" customFormat="1" ht="12" customHeight="1">
      <c r="A68" s="219" t="s">
        <v>295</v>
      </c>
      <c r="B68" s="205" t="s">
        <v>257</v>
      </c>
      <c r="C68" s="133"/>
    </row>
    <row r="69" spans="1:3" s="53" customFormat="1" ht="12" customHeight="1" thickBot="1">
      <c r="A69" s="220" t="s">
        <v>296</v>
      </c>
      <c r="B69" s="207" t="s">
        <v>258</v>
      </c>
      <c r="C69" s="133"/>
    </row>
    <row r="70" spans="1:3" s="53" customFormat="1" ht="12" customHeight="1" thickBot="1">
      <c r="A70" s="221" t="s">
        <v>259</v>
      </c>
      <c r="B70" s="124" t="s">
        <v>260</v>
      </c>
      <c r="C70" s="129">
        <f>SUM(C71:C74)</f>
        <v>0</v>
      </c>
    </row>
    <row r="71" spans="1:3" s="53" customFormat="1" ht="12" customHeight="1">
      <c r="A71" s="218" t="s">
        <v>126</v>
      </c>
      <c r="B71" s="204" t="s">
        <v>261</v>
      </c>
      <c r="C71" s="133"/>
    </row>
    <row r="72" spans="1:3" s="53" customFormat="1" ht="12" customHeight="1">
      <c r="A72" s="219" t="s">
        <v>127</v>
      </c>
      <c r="B72" s="205" t="s">
        <v>262</v>
      </c>
      <c r="C72" s="133"/>
    </row>
    <row r="73" spans="1:3" s="53" customFormat="1" ht="12" customHeight="1">
      <c r="A73" s="219" t="s">
        <v>287</v>
      </c>
      <c r="B73" s="205" t="s">
        <v>263</v>
      </c>
      <c r="C73" s="133"/>
    </row>
    <row r="74" spans="1:3" s="53" customFormat="1" ht="12" customHeight="1" thickBot="1">
      <c r="A74" s="220" t="s">
        <v>288</v>
      </c>
      <c r="B74" s="206" t="s">
        <v>264</v>
      </c>
      <c r="C74" s="133"/>
    </row>
    <row r="75" spans="1:3" s="53" customFormat="1" ht="12" customHeight="1" thickBot="1">
      <c r="A75" s="221" t="s">
        <v>265</v>
      </c>
      <c r="B75" s="124" t="s">
        <v>266</v>
      </c>
      <c r="C75" s="129">
        <f>SUM(C76:C77)</f>
        <v>289331423</v>
      </c>
    </row>
    <row r="76" spans="1:3" s="53" customFormat="1" ht="12" customHeight="1">
      <c r="A76" s="218" t="s">
        <v>289</v>
      </c>
      <c r="B76" s="204" t="s">
        <v>267</v>
      </c>
      <c r="C76" s="133">
        <v>289331423</v>
      </c>
    </row>
    <row r="77" spans="1:3" s="53" customFormat="1" ht="12" customHeight="1" thickBot="1">
      <c r="A77" s="220" t="s">
        <v>290</v>
      </c>
      <c r="B77" s="206" t="s">
        <v>268</v>
      </c>
      <c r="C77" s="133"/>
    </row>
    <row r="78" spans="1:3" s="52" customFormat="1" ht="12" customHeight="1" thickBot="1">
      <c r="A78" s="221" t="s">
        <v>269</v>
      </c>
      <c r="B78" s="124" t="s">
        <v>270</v>
      </c>
      <c r="C78" s="129">
        <f>SUM(C79:C81)</f>
        <v>0</v>
      </c>
    </row>
    <row r="79" spans="1:3" s="53" customFormat="1" ht="12" customHeight="1">
      <c r="A79" s="218" t="s">
        <v>291</v>
      </c>
      <c r="B79" s="204" t="s">
        <v>271</v>
      </c>
      <c r="C79" s="133"/>
    </row>
    <row r="80" spans="1:3" s="53" customFormat="1" ht="12" customHeight="1">
      <c r="A80" s="219" t="s">
        <v>292</v>
      </c>
      <c r="B80" s="205" t="s">
        <v>272</v>
      </c>
      <c r="C80" s="133"/>
    </row>
    <row r="81" spans="1:3" s="53" customFormat="1" ht="12" customHeight="1" thickBot="1">
      <c r="A81" s="220" t="s">
        <v>293</v>
      </c>
      <c r="B81" s="206" t="s">
        <v>273</v>
      </c>
      <c r="C81" s="133"/>
    </row>
    <row r="82" spans="1:3" s="53" customFormat="1" ht="12" customHeight="1" thickBot="1">
      <c r="A82" s="221" t="s">
        <v>274</v>
      </c>
      <c r="B82" s="124" t="s">
        <v>294</v>
      </c>
      <c r="C82" s="129">
        <f>SUM(C83:C86)</f>
        <v>0</v>
      </c>
    </row>
    <row r="83" spans="1:3" s="53" customFormat="1" ht="12" customHeight="1">
      <c r="A83" s="222" t="s">
        <v>275</v>
      </c>
      <c r="B83" s="204" t="s">
        <v>276</v>
      </c>
      <c r="C83" s="133"/>
    </row>
    <row r="84" spans="1:3" s="53" customFormat="1" ht="12" customHeight="1">
      <c r="A84" s="223" t="s">
        <v>277</v>
      </c>
      <c r="B84" s="205" t="s">
        <v>278</v>
      </c>
      <c r="C84" s="133"/>
    </row>
    <row r="85" spans="1:3" s="53" customFormat="1" ht="12" customHeight="1">
      <c r="A85" s="223" t="s">
        <v>279</v>
      </c>
      <c r="B85" s="205" t="s">
        <v>280</v>
      </c>
      <c r="C85" s="133"/>
    </row>
    <row r="86" spans="1:3" s="52" customFormat="1" ht="12" customHeight="1" thickBot="1">
      <c r="A86" s="224" t="s">
        <v>281</v>
      </c>
      <c r="B86" s="206" t="s">
        <v>282</v>
      </c>
      <c r="C86" s="133"/>
    </row>
    <row r="87" spans="1:3" s="52" customFormat="1" ht="12" customHeight="1" thickBot="1">
      <c r="A87" s="221" t="s">
        <v>283</v>
      </c>
      <c r="B87" s="124" t="s">
        <v>427</v>
      </c>
      <c r="C87" s="231"/>
    </row>
    <row r="88" spans="1:3" s="52" customFormat="1" ht="12" customHeight="1" thickBot="1">
      <c r="A88" s="221" t="s">
        <v>480</v>
      </c>
      <c r="B88" s="124" t="s">
        <v>284</v>
      </c>
      <c r="C88" s="231"/>
    </row>
    <row r="89" spans="1:3" s="52" customFormat="1" ht="12" customHeight="1" thickBot="1">
      <c r="A89" s="221" t="s">
        <v>481</v>
      </c>
      <c r="B89" s="211" t="s">
        <v>428</v>
      </c>
      <c r="C89" s="134">
        <f>+C66+C70+C75+C78+C82+C88+C87</f>
        <v>289331423</v>
      </c>
    </row>
    <row r="90" spans="1:3" s="52" customFormat="1" ht="12" customHeight="1" thickBot="1">
      <c r="A90" s="225" t="s">
        <v>482</v>
      </c>
      <c r="B90" s="212" t="s">
        <v>483</v>
      </c>
      <c r="C90" s="134">
        <f>+C65+C89</f>
        <v>2241243230</v>
      </c>
    </row>
    <row r="91" spans="1:3" s="53" customFormat="1" ht="15" customHeight="1" thickBot="1">
      <c r="A91" s="108"/>
      <c r="B91" s="109"/>
      <c r="C91" s="187"/>
    </row>
    <row r="92" spans="1:3" s="45" customFormat="1" ht="16.5" customHeight="1" thickBot="1">
      <c r="A92" s="110"/>
      <c r="B92" s="111" t="s">
        <v>65</v>
      </c>
      <c r="C92" s="188"/>
    </row>
    <row r="93" spans="1:3" s="54" customFormat="1" ht="12" customHeight="1" thickBot="1">
      <c r="A93" s="196" t="s">
        <v>28</v>
      </c>
      <c r="B93" s="26" t="s">
        <v>494</v>
      </c>
      <c r="C93" s="128">
        <f>+C94+C95+C96+C97+C98+C111</f>
        <v>1032684083</v>
      </c>
    </row>
    <row r="94" spans="1:3" ht="12" customHeight="1">
      <c r="A94" s="226" t="s">
        <v>101</v>
      </c>
      <c r="B94" s="9" t="s">
        <v>58</v>
      </c>
      <c r="C94" s="404">
        <f>25364000+1932000+165142000+48000+105000+8381882+232903371+281000+326126+85501355</f>
        <v>519984734</v>
      </c>
    </row>
    <row r="95" spans="1:3" ht="12" customHeight="1">
      <c r="A95" s="219" t="s">
        <v>102</v>
      </c>
      <c r="B95" s="7" t="s">
        <v>149</v>
      </c>
      <c r="C95" s="133">
        <f>5239000+425000+14000+19299000+10000+23000+922005+25618911+31000+35874+9405149</f>
        <v>61022939</v>
      </c>
    </row>
    <row r="96" spans="1:3" ht="12" customHeight="1">
      <c r="A96" s="219" t="s">
        <v>103</v>
      </c>
      <c r="B96" s="7" t="s">
        <v>124</v>
      </c>
      <c r="C96" s="193">
        <f>11475000+835000+2092900+774087+8715000+1817000+17736000+735000+300000+8485000+34925000+40773000+3429000+576000+3351000+16980000+46750042+1200000+4573000+1350000+36794904+20000+812000+400000+1982000+270000+3939600-8488680</f>
        <v>242601853</v>
      </c>
    </row>
    <row r="97" spans="1:3" ht="12" customHeight="1">
      <c r="A97" s="219" t="s">
        <v>104</v>
      </c>
      <c r="B97" s="10" t="s">
        <v>150</v>
      </c>
      <c r="C97" s="193">
        <f>70980000</f>
        <v>70980000</v>
      </c>
    </row>
    <row r="98" spans="1:3" ht="12" customHeight="1">
      <c r="A98" s="219" t="s">
        <v>115</v>
      </c>
      <c r="B98" s="18" t="s">
        <v>151</v>
      </c>
      <c r="C98" s="193">
        <f>SUM(C99:C110)</f>
        <v>34666500</v>
      </c>
    </row>
    <row r="99" spans="1:3" ht="12" customHeight="1">
      <c r="A99" s="219" t="s">
        <v>105</v>
      </c>
      <c r="B99" s="7" t="s">
        <v>484</v>
      </c>
      <c r="C99" s="193">
        <f>1500</f>
        <v>1500</v>
      </c>
    </row>
    <row r="100" spans="1:3" ht="12" customHeight="1">
      <c r="A100" s="219" t="s">
        <v>106</v>
      </c>
      <c r="B100" s="80" t="s">
        <v>432</v>
      </c>
      <c r="C100" s="193"/>
    </row>
    <row r="101" spans="1:3" ht="12" customHeight="1">
      <c r="A101" s="219" t="s">
        <v>116</v>
      </c>
      <c r="B101" s="80" t="s">
        <v>433</v>
      </c>
      <c r="C101" s="193"/>
    </row>
    <row r="102" spans="1:3" ht="12" customHeight="1">
      <c r="A102" s="219" t="s">
        <v>117</v>
      </c>
      <c r="B102" s="80" t="s">
        <v>300</v>
      </c>
      <c r="C102" s="193"/>
    </row>
    <row r="103" spans="1:3" ht="12" customHeight="1">
      <c r="A103" s="219" t="s">
        <v>118</v>
      </c>
      <c r="B103" s="81" t="s">
        <v>301</v>
      </c>
      <c r="C103" s="193"/>
    </row>
    <row r="104" spans="1:3" ht="12" customHeight="1">
      <c r="A104" s="219" t="s">
        <v>119</v>
      </c>
      <c r="B104" s="81" t="s">
        <v>302</v>
      </c>
      <c r="C104" s="193"/>
    </row>
    <row r="105" spans="1:3" ht="12" customHeight="1">
      <c r="A105" s="219" t="s">
        <v>121</v>
      </c>
      <c r="B105" s="80" t="s">
        <v>303</v>
      </c>
      <c r="C105" s="193"/>
    </row>
    <row r="106" spans="1:3" ht="12" customHeight="1">
      <c r="A106" s="219" t="s">
        <v>152</v>
      </c>
      <c r="B106" s="80" t="s">
        <v>304</v>
      </c>
      <c r="C106" s="383"/>
    </row>
    <row r="107" spans="1:3" ht="12" customHeight="1">
      <c r="A107" s="219" t="s">
        <v>298</v>
      </c>
      <c r="B107" s="81" t="s">
        <v>305</v>
      </c>
      <c r="C107" s="193"/>
    </row>
    <row r="108" spans="1:3" ht="12" customHeight="1">
      <c r="A108" s="227" t="s">
        <v>299</v>
      </c>
      <c r="B108" s="82" t="s">
        <v>306</v>
      </c>
      <c r="C108" s="193"/>
    </row>
    <row r="109" spans="1:3" ht="12" customHeight="1">
      <c r="A109" s="219" t="s">
        <v>434</v>
      </c>
      <c r="B109" s="82" t="s">
        <v>307</v>
      </c>
      <c r="C109" s="193"/>
    </row>
    <row r="110" spans="1:3" ht="12" customHeight="1">
      <c r="A110" s="219" t="s">
        <v>435</v>
      </c>
      <c r="B110" s="81" t="s">
        <v>308</v>
      </c>
      <c r="C110" s="133">
        <f>536000+1500000+500000+4000000+200000+189000+7562000+16678000+3500000</f>
        <v>34665000</v>
      </c>
    </row>
    <row r="111" spans="1:3" ht="12" customHeight="1">
      <c r="A111" s="219" t="s">
        <v>436</v>
      </c>
      <c r="B111" s="10" t="s">
        <v>59</v>
      </c>
      <c r="C111" s="133">
        <f>SUM(C112:C113)</f>
        <v>103428057</v>
      </c>
    </row>
    <row r="112" spans="1:3" ht="12" customHeight="1">
      <c r="A112" s="220" t="s">
        <v>437</v>
      </c>
      <c r="B112" s="7" t="s">
        <v>485</v>
      </c>
      <c r="C112" s="193">
        <f>20000000-9172313</f>
        <v>10827687</v>
      </c>
    </row>
    <row r="113" spans="1:3" ht="12" customHeight="1" thickBot="1">
      <c r="A113" s="228" t="s">
        <v>439</v>
      </c>
      <c r="B113" s="83" t="s">
        <v>486</v>
      </c>
      <c r="C113" s="415">
        <f>111113300-8373330-1600000-8539600</f>
        <v>92600370</v>
      </c>
    </row>
    <row r="114" spans="1:3" ht="12" customHeight="1" thickBot="1">
      <c r="A114" s="27" t="s">
        <v>29</v>
      </c>
      <c r="B114" s="25" t="s">
        <v>309</v>
      </c>
      <c r="C114" s="129">
        <f>+C115+C117+C119</f>
        <v>159586654</v>
      </c>
    </row>
    <row r="115" spans="1:3" ht="12" customHeight="1">
      <c r="A115" s="218" t="s">
        <v>107</v>
      </c>
      <c r="B115" s="7" t="s">
        <v>171</v>
      </c>
      <c r="C115" s="230">
        <f>6621000+787402+10624171+3081125+529000+1654000+447000+2237000+6604000+204000+15179276+979170</f>
        <v>48947144</v>
      </c>
    </row>
    <row r="116" spans="1:3" ht="12" customHeight="1">
      <c r="A116" s="218" t="s">
        <v>108</v>
      </c>
      <c r="B116" s="11" t="s">
        <v>313</v>
      </c>
      <c r="C116" s="230">
        <v>14492698</v>
      </c>
    </row>
    <row r="117" spans="1:3" ht="12" customHeight="1">
      <c r="A117" s="218" t="s">
        <v>109</v>
      </c>
      <c r="B117" s="11" t="s">
        <v>153</v>
      </c>
      <c r="C117" s="133">
        <f>53340000+1513000+2996000+809000+7509510</f>
        <v>66167510</v>
      </c>
    </row>
    <row r="118" spans="1:3" ht="12" customHeight="1">
      <c r="A118" s="218" t="s">
        <v>110</v>
      </c>
      <c r="B118" s="11" t="s">
        <v>314</v>
      </c>
      <c r="C118" s="385">
        <v>53340000</v>
      </c>
    </row>
    <row r="119" spans="1:3" ht="12" customHeight="1">
      <c r="A119" s="218" t="s">
        <v>111</v>
      </c>
      <c r="B119" s="126" t="s">
        <v>173</v>
      </c>
      <c r="C119" s="193">
        <f>SUM(C120:C127)</f>
        <v>44472000</v>
      </c>
    </row>
    <row r="120" spans="1:3" ht="12" customHeight="1">
      <c r="A120" s="218" t="s">
        <v>120</v>
      </c>
      <c r="B120" s="125" t="s">
        <v>358</v>
      </c>
      <c r="C120" s="116"/>
    </row>
    <row r="121" spans="1:3" ht="12" customHeight="1">
      <c r="A121" s="218" t="s">
        <v>122</v>
      </c>
      <c r="B121" s="200" t="s">
        <v>319</v>
      </c>
      <c r="C121" s="116"/>
    </row>
    <row r="122" spans="1:3" ht="12" customHeight="1">
      <c r="A122" s="218" t="s">
        <v>154</v>
      </c>
      <c r="B122" s="81" t="s">
        <v>302</v>
      </c>
      <c r="C122" s="116"/>
    </row>
    <row r="123" spans="1:3" ht="12" customHeight="1">
      <c r="A123" s="218" t="s">
        <v>155</v>
      </c>
      <c r="B123" s="81" t="s">
        <v>318</v>
      </c>
      <c r="C123" s="116"/>
    </row>
    <row r="124" spans="1:3" ht="12" customHeight="1">
      <c r="A124" s="218" t="s">
        <v>156</v>
      </c>
      <c r="B124" s="81" t="s">
        <v>317</v>
      </c>
      <c r="C124" s="116"/>
    </row>
    <row r="125" spans="1:3" ht="12" customHeight="1">
      <c r="A125" s="218" t="s">
        <v>310</v>
      </c>
      <c r="B125" s="81" t="s">
        <v>305</v>
      </c>
      <c r="C125" s="116"/>
    </row>
    <row r="126" spans="1:3" ht="12" customHeight="1">
      <c r="A126" s="218" t="s">
        <v>311</v>
      </c>
      <c r="B126" s="81" t="s">
        <v>316</v>
      </c>
      <c r="C126" s="116"/>
    </row>
    <row r="127" spans="1:3" ht="12" customHeight="1" thickBot="1">
      <c r="A127" s="227" t="s">
        <v>312</v>
      </c>
      <c r="B127" s="81" t="s">
        <v>315</v>
      </c>
      <c r="C127" s="117">
        <f>42072000+2400000</f>
        <v>44472000</v>
      </c>
    </row>
    <row r="128" spans="1:6" ht="12" customHeight="1" thickBot="1">
      <c r="A128" s="27" t="s">
        <v>30</v>
      </c>
      <c r="B128" s="77" t="s">
        <v>441</v>
      </c>
      <c r="C128" s="129">
        <f>+C93+C114</f>
        <v>1192270737</v>
      </c>
      <c r="F128" s="403"/>
    </row>
    <row r="129" spans="1:3" ht="12" customHeight="1" thickBot="1">
      <c r="A129" s="27" t="s">
        <v>31</v>
      </c>
      <c r="B129" s="77" t="s">
        <v>442</v>
      </c>
      <c r="C129" s="129">
        <f>+C130+C131+C132</f>
        <v>0</v>
      </c>
    </row>
    <row r="130" spans="1:3" s="54" customFormat="1" ht="12" customHeight="1">
      <c r="A130" s="218" t="s">
        <v>210</v>
      </c>
      <c r="B130" s="8" t="s">
        <v>487</v>
      </c>
      <c r="C130" s="385"/>
    </row>
    <row r="131" spans="1:3" ht="12" customHeight="1">
      <c r="A131" s="218" t="s">
        <v>213</v>
      </c>
      <c r="B131" s="8" t="s">
        <v>444</v>
      </c>
      <c r="C131" s="116"/>
    </row>
    <row r="132" spans="1:3" ht="12" customHeight="1" thickBot="1">
      <c r="A132" s="227" t="s">
        <v>214</v>
      </c>
      <c r="B132" s="6" t="s">
        <v>488</v>
      </c>
      <c r="C132" s="116"/>
    </row>
    <row r="133" spans="1:3" ht="12" customHeight="1" thickBot="1">
      <c r="A133" s="27" t="s">
        <v>32</v>
      </c>
      <c r="B133" s="77" t="s">
        <v>446</v>
      </c>
      <c r="C133" s="129">
        <f>+C134+C135+C136+C137+C138+C139</f>
        <v>0</v>
      </c>
    </row>
    <row r="134" spans="1:3" ht="12" customHeight="1">
      <c r="A134" s="218" t="s">
        <v>94</v>
      </c>
      <c r="B134" s="8" t="s">
        <v>447</v>
      </c>
      <c r="C134" s="116"/>
    </row>
    <row r="135" spans="1:3" ht="12" customHeight="1">
      <c r="A135" s="218" t="s">
        <v>95</v>
      </c>
      <c r="B135" s="8" t="s">
        <v>448</v>
      </c>
      <c r="C135" s="116"/>
    </row>
    <row r="136" spans="1:3" ht="12" customHeight="1">
      <c r="A136" s="218" t="s">
        <v>96</v>
      </c>
      <c r="B136" s="8" t="s">
        <v>449</v>
      </c>
      <c r="C136" s="116"/>
    </row>
    <row r="137" spans="1:3" ht="12" customHeight="1">
      <c r="A137" s="218" t="s">
        <v>141</v>
      </c>
      <c r="B137" s="8" t="s">
        <v>489</v>
      </c>
      <c r="C137" s="116"/>
    </row>
    <row r="138" spans="1:3" ht="12" customHeight="1">
      <c r="A138" s="218" t="s">
        <v>142</v>
      </c>
      <c r="B138" s="8" t="s">
        <v>451</v>
      </c>
      <c r="C138" s="116"/>
    </row>
    <row r="139" spans="1:3" s="54" customFormat="1" ht="12" customHeight="1" thickBot="1">
      <c r="A139" s="227" t="s">
        <v>143</v>
      </c>
      <c r="B139" s="6" t="s">
        <v>452</v>
      </c>
      <c r="C139" s="116"/>
    </row>
    <row r="140" spans="1:11" ht="12" customHeight="1" thickBot="1">
      <c r="A140" s="27" t="s">
        <v>33</v>
      </c>
      <c r="B140" s="77" t="s">
        <v>490</v>
      </c>
      <c r="C140" s="134">
        <f>+C141+C142+C144+C145+C143</f>
        <v>35164932</v>
      </c>
      <c r="K140" s="115"/>
    </row>
    <row r="141" spans="1:3" ht="12.75">
      <c r="A141" s="218" t="s">
        <v>97</v>
      </c>
      <c r="B141" s="8" t="s">
        <v>320</v>
      </c>
      <c r="C141" s="116"/>
    </row>
    <row r="142" spans="1:3" ht="12" customHeight="1">
      <c r="A142" s="218" t="s">
        <v>98</v>
      </c>
      <c r="B142" s="8" t="s">
        <v>321</v>
      </c>
      <c r="C142" s="116">
        <v>35164932</v>
      </c>
    </row>
    <row r="143" spans="1:3" s="54" customFormat="1" ht="12" customHeight="1">
      <c r="A143" s="218" t="s">
        <v>234</v>
      </c>
      <c r="B143" s="8" t="s">
        <v>491</v>
      </c>
      <c r="C143" s="116"/>
    </row>
    <row r="144" spans="1:3" s="54" customFormat="1" ht="12" customHeight="1">
      <c r="A144" s="218" t="s">
        <v>235</v>
      </c>
      <c r="B144" s="8" t="s">
        <v>454</v>
      </c>
      <c r="C144" s="116"/>
    </row>
    <row r="145" spans="1:3" s="54" customFormat="1" ht="12" customHeight="1" thickBot="1">
      <c r="A145" s="227" t="s">
        <v>236</v>
      </c>
      <c r="B145" s="6" t="s">
        <v>339</v>
      </c>
      <c r="C145" s="116"/>
    </row>
    <row r="146" spans="1:3" s="54" customFormat="1" ht="12" customHeight="1" thickBot="1">
      <c r="A146" s="27" t="s">
        <v>34</v>
      </c>
      <c r="B146" s="77" t="s">
        <v>455</v>
      </c>
      <c r="C146" s="137">
        <f>+C147+C148+C149+C150+C151</f>
        <v>0</v>
      </c>
    </row>
    <row r="147" spans="1:3" s="54" customFormat="1" ht="12" customHeight="1">
      <c r="A147" s="218" t="s">
        <v>99</v>
      </c>
      <c r="B147" s="8" t="s">
        <v>456</v>
      </c>
      <c r="C147" s="116"/>
    </row>
    <row r="148" spans="1:3" s="54" customFormat="1" ht="12" customHeight="1">
      <c r="A148" s="218" t="s">
        <v>100</v>
      </c>
      <c r="B148" s="8" t="s">
        <v>457</v>
      </c>
      <c r="C148" s="116"/>
    </row>
    <row r="149" spans="1:3" s="54" customFormat="1" ht="12" customHeight="1">
      <c r="A149" s="218" t="s">
        <v>246</v>
      </c>
      <c r="B149" s="8" t="s">
        <v>458</v>
      </c>
      <c r="C149" s="116"/>
    </row>
    <row r="150" spans="1:3" ht="12.75" customHeight="1">
      <c r="A150" s="218" t="s">
        <v>247</v>
      </c>
      <c r="B150" s="8" t="s">
        <v>492</v>
      </c>
      <c r="C150" s="116"/>
    </row>
    <row r="151" spans="1:3" ht="12.75" customHeight="1" thickBot="1">
      <c r="A151" s="227" t="s">
        <v>460</v>
      </c>
      <c r="B151" s="6" t="s">
        <v>461</v>
      </c>
      <c r="C151" s="117"/>
    </row>
    <row r="152" spans="1:3" ht="12.75" customHeight="1" thickBot="1">
      <c r="A152" s="381" t="s">
        <v>35</v>
      </c>
      <c r="B152" s="77" t="s">
        <v>462</v>
      </c>
      <c r="C152" s="137"/>
    </row>
    <row r="153" spans="1:3" ht="12" customHeight="1" thickBot="1">
      <c r="A153" s="381" t="s">
        <v>36</v>
      </c>
      <c r="B153" s="77" t="s">
        <v>463</v>
      </c>
      <c r="C153" s="137"/>
    </row>
    <row r="154" spans="1:3" ht="15" customHeight="1" thickBot="1">
      <c r="A154" s="27" t="s">
        <v>37</v>
      </c>
      <c r="B154" s="77" t="s">
        <v>464</v>
      </c>
      <c r="C154" s="214">
        <f>+C129+C133+C140+C146+C152+C153</f>
        <v>35164932</v>
      </c>
    </row>
    <row r="155" spans="1:3" ht="13.5" thickBot="1">
      <c r="A155" s="229" t="s">
        <v>38</v>
      </c>
      <c r="B155" s="189" t="s">
        <v>465</v>
      </c>
      <c r="C155" s="214">
        <f>+C128+C154</f>
        <v>1227435669</v>
      </c>
    </row>
    <row r="156" ht="15" customHeight="1" thickBot="1"/>
    <row r="157" spans="1:3" ht="14.25" customHeight="1" thickBot="1">
      <c r="A157" s="112" t="s">
        <v>493</v>
      </c>
      <c r="B157" s="113"/>
      <c r="C157" s="76">
        <v>3</v>
      </c>
    </row>
    <row r="158" spans="1:3" ht="13.5" thickBot="1">
      <c r="A158" s="112" t="s">
        <v>166</v>
      </c>
      <c r="B158" s="113"/>
      <c r="C158" s="7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12/2017.(IV.11.) önkormányzati rendelethez</oddHeader>
  </headerFooter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4">
    <tabColor rgb="FF92D050"/>
  </sheetPr>
  <dimension ref="A1:K158"/>
  <sheetViews>
    <sheetView zoomScaleSheetLayoutView="85" workbookViewId="0" topLeftCell="A1">
      <selection activeCell="C99" sqref="C99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00"/>
      <c r="B1" s="101"/>
      <c r="C1" s="114"/>
    </row>
    <row r="2" spans="1:3" s="50" customFormat="1" ht="21" customHeight="1">
      <c r="A2" s="194" t="s">
        <v>69</v>
      </c>
      <c r="B2" s="182" t="s">
        <v>167</v>
      </c>
      <c r="C2" s="184" t="s">
        <v>61</v>
      </c>
    </row>
    <row r="3" spans="1:3" s="50" customFormat="1" ht="16.5" thickBot="1">
      <c r="A3" s="102" t="s">
        <v>164</v>
      </c>
      <c r="B3" s="183" t="s">
        <v>360</v>
      </c>
      <c r="C3" s="380" t="s">
        <v>68</v>
      </c>
    </row>
    <row r="4" spans="1:3" s="51" customFormat="1" ht="15.75" customHeight="1" thickBot="1">
      <c r="A4" s="103"/>
      <c r="B4" s="103"/>
      <c r="C4" s="104" t="s">
        <v>535</v>
      </c>
    </row>
    <row r="5" spans="1:3" ht="13.5" thickBot="1">
      <c r="A5" s="195" t="s">
        <v>165</v>
      </c>
      <c r="B5" s="105" t="s">
        <v>62</v>
      </c>
      <c r="C5" s="185" t="s">
        <v>63</v>
      </c>
    </row>
    <row r="6" spans="1:3" s="45" customFormat="1" ht="12.75" customHeight="1" thickBot="1">
      <c r="A6" s="97" t="s">
        <v>414</v>
      </c>
      <c r="B6" s="98" t="s">
        <v>415</v>
      </c>
      <c r="C6" s="99" t="s">
        <v>416</v>
      </c>
    </row>
    <row r="7" spans="1:3" s="45" customFormat="1" ht="15.75" customHeight="1" thickBot="1">
      <c r="A7" s="106"/>
      <c r="B7" s="107" t="s">
        <v>64</v>
      </c>
      <c r="C7" s="186"/>
    </row>
    <row r="8" spans="1:3" s="45" customFormat="1" ht="12" customHeight="1" thickBot="1">
      <c r="A8" s="27" t="s">
        <v>28</v>
      </c>
      <c r="B8" s="20" t="s">
        <v>194</v>
      </c>
      <c r="C8" s="129">
        <f>+C9+C10+C11+C12+C13+C14</f>
        <v>143500069</v>
      </c>
    </row>
    <row r="9" spans="1:3" s="52" customFormat="1" ht="12" customHeight="1">
      <c r="A9" s="218" t="s">
        <v>101</v>
      </c>
      <c r="B9" s="204" t="s">
        <v>195</v>
      </c>
      <c r="C9" s="131"/>
    </row>
    <row r="10" spans="1:3" s="53" customFormat="1" ht="12" customHeight="1">
      <c r="A10" s="219" t="s">
        <v>102</v>
      </c>
      <c r="B10" s="205" t="s">
        <v>196</v>
      </c>
      <c r="C10" s="130"/>
    </row>
    <row r="11" spans="1:3" s="53" customFormat="1" ht="12" customHeight="1">
      <c r="A11" s="219" t="s">
        <v>103</v>
      </c>
      <c r="B11" s="205" t="s">
        <v>197</v>
      </c>
      <c r="C11" s="130">
        <f>118423160+15562200</f>
        <v>133985360</v>
      </c>
    </row>
    <row r="12" spans="1:3" s="53" customFormat="1" ht="12" customHeight="1">
      <c r="A12" s="219" t="s">
        <v>104</v>
      </c>
      <c r="B12" s="205" t="s">
        <v>198</v>
      </c>
      <c r="C12" s="130"/>
    </row>
    <row r="13" spans="1:3" s="53" customFormat="1" ht="12" customHeight="1">
      <c r="A13" s="219" t="s">
        <v>125</v>
      </c>
      <c r="B13" s="205" t="s">
        <v>478</v>
      </c>
      <c r="C13" s="133">
        <f>9514709</f>
        <v>9514709</v>
      </c>
    </row>
    <row r="14" spans="1:3" s="52" customFormat="1" ht="12" customHeight="1" thickBot="1">
      <c r="A14" s="220" t="s">
        <v>105</v>
      </c>
      <c r="B14" s="206" t="s">
        <v>418</v>
      </c>
      <c r="C14" s="130"/>
    </row>
    <row r="15" spans="1:3" s="52" customFormat="1" ht="12" customHeight="1" thickBot="1">
      <c r="A15" s="27" t="s">
        <v>29</v>
      </c>
      <c r="B15" s="124" t="s">
        <v>199</v>
      </c>
      <c r="C15" s="129">
        <f>+C16+C17+C18+C19+C20</f>
        <v>112731000</v>
      </c>
    </row>
    <row r="16" spans="1:3" s="52" customFormat="1" ht="12" customHeight="1">
      <c r="A16" s="218" t="s">
        <v>107</v>
      </c>
      <c r="B16" s="204" t="s">
        <v>200</v>
      </c>
      <c r="C16" s="131"/>
    </row>
    <row r="17" spans="1:3" s="52" customFormat="1" ht="12" customHeight="1">
      <c r="A17" s="219" t="s">
        <v>108</v>
      </c>
      <c r="B17" s="205" t="s">
        <v>201</v>
      </c>
      <c r="C17" s="130"/>
    </row>
    <row r="18" spans="1:3" s="52" customFormat="1" ht="12" customHeight="1">
      <c r="A18" s="219" t="s">
        <v>109</v>
      </c>
      <c r="B18" s="205" t="s">
        <v>352</v>
      </c>
      <c r="C18" s="130"/>
    </row>
    <row r="19" spans="1:3" s="52" customFormat="1" ht="12" customHeight="1">
      <c r="A19" s="219" t="s">
        <v>110</v>
      </c>
      <c r="B19" s="205" t="s">
        <v>353</v>
      </c>
      <c r="C19" s="130"/>
    </row>
    <row r="20" spans="1:3" s="52" customFormat="1" ht="12" customHeight="1">
      <c r="A20" s="219" t="s">
        <v>111</v>
      </c>
      <c r="B20" s="205" t="s">
        <v>202</v>
      </c>
      <c r="C20" s="133">
        <f>2285000+110446000</f>
        <v>112731000</v>
      </c>
    </row>
    <row r="21" spans="1:3" s="53" customFormat="1" ht="12" customHeight="1" thickBot="1">
      <c r="A21" s="220" t="s">
        <v>120</v>
      </c>
      <c r="B21" s="206" t="s">
        <v>203</v>
      </c>
      <c r="C21" s="193"/>
    </row>
    <row r="22" spans="1:3" s="53" customFormat="1" ht="12" customHeight="1" thickBot="1">
      <c r="A22" s="27" t="s">
        <v>30</v>
      </c>
      <c r="B22" s="20" t="s">
        <v>204</v>
      </c>
      <c r="C22" s="129">
        <f>+C23+C24+C25+C26+C27</f>
        <v>0</v>
      </c>
    </row>
    <row r="23" spans="1:3" s="53" customFormat="1" ht="12" customHeight="1">
      <c r="A23" s="218" t="s">
        <v>90</v>
      </c>
      <c r="B23" s="204" t="s">
        <v>205</v>
      </c>
      <c r="C23" s="131"/>
    </row>
    <row r="24" spans="1:3" s="52" customFormat="1" ht="12" customHeight="1">
      <c r="A24" s="219" t="s">
        <v>91</v>
      </c>
      <c r="B24" s="205" t="s">
        <v>206</v>
      </c>
      <c r="C24" s="130"/>
    </row>
    <row r="25" spans="1:3" s="53" customFormat="1" ht="12" customHeight="1">
      <c r="A25" s="219" t="s">
        <v>92</v>
      </c>
      <c r="B25" s="205" t="s">
        <v>354</v>
      </c>
      <c r="C25" s="130"/>
    </row>
    <row r="26" spans="1:3" s="53" customFormat="1" ht="12" customHeight="1">
      <c r="A26" s="219" t="s">
        <v>93</v>
      </c>
      <c r="B26" s="205" t="s">
        <v>355</v>
      </c>
      <c r="C26" s="130"/>
    </row>
    <row r="27" spans="1:3" s="53" customFormat="1" ht="12" customHeight="1">
      <c r="A27" s="219" t="s">
        <v>137</v>
      </c>
      <c r="B27" s="205" t="s">
        <v>207</v>
      </c>
      <c r="C27" s="133"/>
    </row>
    <row r="28" spans="1:3" s="53" customFormat="1" ht="12" customHeight="1" thickBot="1">
      <c r="A28" s="220" t="s">
        <v>138</v>
      </c>
      <c r="B28" s="206" t="s">
        <v>208</v>
      </c>
      <c r="C28" s="193"/>
    </row>
    <row r="29" spans="1:3" s="53" customFormat="1" ht="12" customHeight="1" thickBot="1">
      <c r="A29" s="27" t="s">
        <v>139</v>
      </c>
      <c r="B29" s="20" t="s">
        <v>209</v>
      </c>
      <c r="C29" s="134">
        <f>+C30+C34+C35+C36</f>
        <v>0</v>
      </c>
    </row>
    <row r="30" spans="1:3" s="53" customFormat="1" ht="12" customHeight="1">
      <c r="A30" s="218" t="s">
        <v>210</v>
      </c>
      <c r="B30" s="204" t="s">
        <v>479</v>
      </c>
      <c r="C30" s="199">
        <f>+C31+C32+C33</f>
        <v>0</v>
      </c>
    </row>
    <row r="31" spans="1:3" s="53" customFormat="1" ht="12" customHeight="1">
      <c r="A31" s="219" t="s">
        <v>211</v>
      </c>
      <c r="B31" s="205" t="s">
        <v>216</v>
      </c>
      <c r="C31" s="130"/>
    </row>
    <row r="32" spans="1:3" s="53" customFormat="1" ht="12" customHeight="1">
      <c r="A32" s="219" t="s">
        <v>212</v>
      </c>
      <c r="B32" s="205" t="s">
        <v>217</v>
      </c>
      <c r="C32" s="130"/>
    </row>
    <row r="33" spans="1:3" s="53" customFormat="1" ht="12" customHeight="1">
      <c r="A33" s="219" t="s">
        <v>420</v>
      </c>
      <c r="B33" s="368" t="s">
        <v>421</v>
      </c>
      <c r="C33" s="130"/>
    </row>
    <row r="34" spans="1:3" s="53" customFormat="1" ht="12" customHeight="1">
      <c r="A34" s="219" t="s">
        <v>213</v>
      </c>
      <c r="B34" s="205" t="s">
        <v>218</v>
      </c>
      <c r="C34" s="130"/>
    </row>
    <row r="35" spans="1:3" s="53" customFormat="1" ht="12" customHeight="1">
      <c r="A35" s="219" t="s">
        <v>214</v>
      </c>
      <c r="B35" s="205" t="s">
        <v>219</v>
      </c>
      <c r="C35" s="130"/>
    </row>
    <row r="36" spans="1:3" s="53" customFormat="1" ht="12" customHeight="1" thickBot="1">
      <c r="A36" s="220" t="s">
        <v>215</v>
      </c>
      <c r="B36" s="206" t="s">
        <v>220</v>
      </c>
      <c r="C36" s="132"/>
    </row>
    <row r="37" spans="1:3" s="53" customFormat="1" ht="12" customHeight="1" thickBot="1">
      <c r="A37" s="27" t="s">
        <v>32</v>
      </c>
      <c r="B37" s="20" t="s">
        <v>422</v>
      </c>
      <c r="C37" s="129">
        <f>SUM(C38:C48)</f>
        <v>5234000</v>
      </c>
    </row>
    <row r="38" spans="1:3" s="53" customFormat="1" ht="12" customHeight="1">
      <c r="A38" s="218" t="s">
        <v>94</v>
      </c>
      <c r="B38" s="204" t="s">
        <v>223</v>
      </c>
      <c r="C38" s="131">
        <v>3937000</v>
      </c>
    </row>
    <row r="39" spans="1:3" s="53" customFormat="1" ht="12" customHeight="1">
      <c r="A39" s="219" t="s">
        <v>95</v>
      </c>
      <c r="B39" s="205" t="s">
        <v>224</v>
      </c>
      <c r="C39" s="133">
        <f>160000</f>
        <v>160000</v>
      </c>
    </row>
    <row r="40" spans="1:3" s="53" customFormat="1" ht="12" customHeight="1">
      <c r="A40" s="219" t="s">
        <v>96</v>
      </c>
      <c r="B40" s="205" t="s">
        <v>225</v>
      </c>
      <c r="C40" s="133"/>
    </row>
    <row r="41" spans="1:3" s="53" customFormat="1" ht="12" customHeight="1">
      <c r="A41" s="219" t="s">
        <v>141</v>
      </c>
      <c r="B41" s="205" t="s">
        <v>226</v>
      </c>
      <c r="C41" s="130"/>
    </row>
    <row r="42" spans="1:3" s="53" customFormat="1" ht="12" customHeight="1">
      <c r="A42" s="219" t="s">
        <v>142</v>
      </c>
      <c r="B42" s="205" t="s">
        <v>227</v>
      </c>
      <c r="C42" s="130"/>
    </row>
    <row r="43" spans="1:3" s="53" customFormat="1" ht="12" customHeight="1">
      <c r="A43" s="219" t="s">
        <v>143</v>
      </c>
      <c r="B43" s="205" t="s">
        <v>228</v>
      </c>
      <c r="C43" s="130">
        <f>1063000+44000</f>
        <v>1107000</v>
      </c>
    </row>
    <row r="44" spans="1:3" s="53" customFormat="1" ht="12" customHeight="1">
      <c r="A44" s="219" t="s">
        <v>144</v>
      </c>
      <c r="B44" s="205" t="s">
        <v>229</v>
      </c>
      <c r="C44" s="130"/>
    </row>
    <row r="45" spans="1:3" s="53" customFormat="1" ht="12" customHeight="1">
      <c r="A45" s="219" t="s">
        <v>145</v>
      </c>
      <c r="B45" s="205" t="s">
        <v>230</v>
      </c>
      <c r="C45" s="130">
        <v>30000</v>
      </c>
    </row>
    <row r="46" spans="1:3" s="53" customFormat="1" ht="12" customHeight="1">
      <c r="A46" s="219" t="s">
        <v>221</v>
      </c>
      <c r="B46" s="205" t="s">
        <v>231</v>
      </c>
      <c r="C46" s="133"/>
    </row>
    <row r="47" spans="1:3" s="53" customFormat="1" ht="12" customHeight="1">
      <c r="A47" s="220" t="s">
        <v>222</v>
      </c>
      <c r="B47" s="206" t="s">
        <v>423</v>
      </c>
      <c r="C47" s="193"/>
    </row>
    <row r="48" spans="1:3" s="53" customFormat="1" ht="12" customHeight="1" thickBot="1">
      <c r="A48" s="220" t="s">
        <v>424</v>
      </c>
      <c r="B48" s="206" t="s">
        <v>232</v>
      </c>
      <c r="C48" s="193"/>
    </row>
    <row r="49" spans="1:3" s="53" customFormat="1" ht="12" customHeight="1" thickBot="1">
      <c r="A49" s="27" t="s">
        <v>33</v>
      </c>
      <c r="B49" s="20" t="s">
        <v>233</v>
      </c>
      <c r="C49" s="129">
        <f>SUM(C50:C54)</f>
        <v>0</v>
      </c>
    </row>
    <row r="50" spans="1:3" s="53" customFormat="1" ht="12" customHeight="1">
      <c r="A50" s="218" t="s">
        <v>97</v>
      </c>
      <c r="B50" s="204" t="s">
        <v>237</v>
      </c>
      <c r="C50" s="230"/>
    </row>
    <row r="51" spans="1:3" s="53" customFormat="1" ht="12" customHeight="1">
      <c r="A51" s="219" t="s">
        <v>98</v>
      </c>
      <c r="B51" s="205" t="s">
        <v>238</v>
      </c>
      <c r="C51" s="133"/>
    </row>
    <row r="52" spans="1:3" s="53" customFormat="1" ht="12" customHeight="1">
      <c r="A52" s="219" t="s">
        <v>234</v>
      </c>
      <c r="B52" s="205" t="s">
        <v>239</v>
      </c>
      <c r="C52" s="133"/>
    </row>
    <row r="53" spans="1:3" s="53" customFormat="1" ht="12" customHeight="1">
      <c r="A53" s="219" t="s">
        <v>235</v>
      </c>
      <c r="B53" s="205" t="s">
        <v>240</v>
      </c>
      <c r="C53" s="133"/>
    </row>
    <row r="54" spans="1:3" s="53" customFormat="1" ht="12" customHeight="1" thickBot="1">
      <c r="A54" s="220" t="s">
        <v>236</v>
      </c>
      <c r="B54" s="206" t="s">
        <v>241</v>
      </c>
      <c r="C54" s="193"/>
    </row>
    <row r="55" spans="1:3" s="53" customFormat="1" ht="12" customHeight="1" thickBot="1">
      <c r="A55" s="27" t="s">
        <v>146</v>
      </c>
      <c r="B55" s="20" t="s">
        <v>242</v>
      </c>
      <c r="C55" s="129">
        <f>SUM(C56:C58)</f>
        <v>1566000</v>
      </c>
    </row>
    <row r="56" spans="1:3" s="53" customFormat="1" ht="12" customHeight="1">
      <c r="A56" s="218" t="s">
        <v>99</v>
      </c>
      <c r="B56" s="204" t="s">
        <v>243</v>
      </c>
      <c r="C56" s="131"/>
    </row>
    <row r="57" spans="1:3" s="53" customFormat="1" ht="12" customHeight="1">
      <c r="A57" s="219" t="s">
        <v>100</v>
      </c>
      <c r="B57" s="205" t="s">
        <v>356</v>
      </c>
      <c r="C57" s="133">
        <v>1566000</v>
      </c>
    </row>
    <row r="58" spans="1:3" s="53" customFormat="1" ht="12" customHeight="1">
      <c r="A58" s="219" t="s">
        <v>246</v>
      </c>
      <c r="B58" s="205" t="s">
        <v>244</v>
      </c>
      <c r="C58" s="133"/>
    </row>
    <row r="59" spans="1:3" s="53" customFormat="1" ht="12" customHeight="1" thickBot="1">
      <c r="A59" s="220" t="s">
        <v>247</v>
      </c>
      <c r="B59" s="206" t="s">
        <v>245</v>
      </c>
      <c r="C59" s="132"/>
    </row>
    <row r="60" spans="1:3" s="53" customFormat="1" ht="12" customHeight="1" thickBot="1">
      <c r="A60" s="27" t="s">
        <v>35</v>
      </c>
      <c r="B60" s="124" t="s">
        <v>248</v>
      </c>
      <c r="C60" s="129">
        <f>SUM(C61:C63)</f>
        <v>0</v>
      </c>
    </row>
    <row r="61" spans="1:3" s="53" customFormat="1" ht="12" customHeight="1">
      <c r="A61" s="218" t="s">
        <v>147</v>
      </c>
      <c r="B61" s="204" t="s">
        <v>250</v>
      </c>
      <c r="C61" s="133"/>
    </row>
    <row r="62" spans="1:3" s="53" customFormat="1" ht="12" customHeight="1">
      <c r="A62" s="219" t="s">
        <v>148</v>
      </c>
      <c r="B62" s="205" t="s">
        <v>357</v>
      </c>
      <c r="C62" s="133"/>
    </row>
    <row r="63" spans="1:3" s="53" customFormat="1" ht="12" customHeight="1">
      <c r="A63" s="219" t="s">
        <v>172</v>
      </c>
      <c r="B63" s="205" t="s">
        <v>251</v>
      </c>
      <c r="C63" s="133"/>
    </row>
    <row r="64" spans="1:3" s="53" customFormat="1" ht="12" customHeight="1" thickBot="1">
      <c r="A64" s="220" t="s">
        <v>249</v>
      </c>
      <c r="B64" s="206" t="s">
        <v>252</v>
      </c>
      <c r="C64" s="133"/>
    </row>
    <row r="65" spans="1:3" s="53" customFormat="1" ht="12" customHeight="1" thickBot="1">
      <c r="A65" s="27" t="s">
        <v>36</v>
      </c>
      <c r="B65" s="20" t="s">
        <v>253</v>
      </c>
      <c r="C65" s="134">
        <f>+C8+C15+C22+C29+C37+C49+C55+C60</f>
        <v>263031069</v>
      </c>
    </row>
    <row r="66" spans="1:3" s="53" customFormat="1" ht="12" customHeight="1" thickBot="1">
      <c r="A66" s="221" t="s">
        <v>343</v>
      </c>
      <c r="B66" s="124" t="s">
        <v>255</v>
      </c>
      <c r="C66" s="129">
        <f>SUM(C67:C69)</f>
        <v>144100000</v>
      </c>
    </row>
    <row r="67" spans="1:3" s="53" customFormat="1" ht="12" customHeight="1">
      <c r="A67" s="218" t="s">
        <v>286</v>
      </c>
      <c r="B67" s="204" t="s">
        <v>256</v>
      </c>
      <c r="C67" s="390">
        <v>44100000</v>
      </c>
    </row>
    <row r="68" spans="1:3" s="53" customFormat="1" ht="12" customHeight="1">
      <c r="A68" s="219" t="s">
        <v>295</v>
      </c>
      <c r="B68" s="205" t="s">
        <v>257</v>
      </c>
      <c r="C68" s="133">
        <v>100000000</v>
      </c>
    </row>
    <row r="69" spans="1:3" s="53" customFormat="1" ht="12" customHeight="1" thickBot="1">
      <c r="A69" s="220" t="s">
        <v>296</v>
      </c>
      <c r="B69" s="207" t="s">
        <v>258</v>
      </c>
      <c r="C69" s="133"/>
    </row>
    <row r="70" spans="1:3" s="53" customFormat="1" ht="12" customHeight="1" thickBot="1">
      <c r="A70" s="221" t="s">
        <v>259</v>
      </c>
      <c r="B70" s="124" t="s">
        <v>260</v>
      </c>
      <c r="C70" s="129">
        <f>SUM(C71:C74)</f>
        <v>0</v>
      </c>
    </row>
    <row r="71" spans="1:3" s="53" customFormat="1" ht="12" customHeight="1">
      <c r="A71" s="218" t="s">
        <v>126</v>
      </c>
      <c r="B71" s="204" t="s">
        <v>261</v>
      </c>
      <c r="C71" s="133"/>
    </row>
    <row r="72" spans="1:3" s="53" customFormat="1" ht="12" customHeight="1">
      <c r="A72" s="219" t="s">
        <v>127</v>
      </c>
      <c r="B72" s="205" t="s">
        <v>262</v>
      </c>
      <c r="C72" s="133"/>
    </row>
    <row r="73" spans="1:3" s="53" customFormat="1" ht="12" customHeight="1">
      <c r="A73" s="219" t="s">
        <v>287</v>
      </c>
      <c r="B73" s="205" t="s">
        <v>263</v>
      </c>
      <c r="C73" s="133"/>
    </row>
    <row r="74" spans="1:3" s="53" customFormat="1" ht="12" customHeight="1" thickBot="1">
      <c r="A74" s="220" t="s">
        <v>288</v>
      </c>
      <c r="B74" s="206" t="s">
        <v>264</v>
      </c>
      <c r="C74" s="133"/>
    </row>
    <row r="75" spans="1:3" s="53" customFormat="1" ht="12" customHeight="1" thickBot="1">
      <c r="A75" s="221" t="s">
        <v>265</v>
      </c>
      <c r="B75" s="124" t="s">
        <v>266</v>
      </c>
      <c r="C75" s="129">
        <f>SUM(C76:C77)</f>
        <v>0</v>
      </c>
    </row>
    <row r="76" spans="1:3" s="53" customFormat="1" ht="12" customHeight="1">
      <c r="A76" s="218" t="s">
        <v>289</v>
      </c>
      <c r="B76" s="204" t="s">
        <v>267</v>
      </c>
      <c r="C76" s="133"/>
    </row>
    <row r="77" spans="1:3" s="53" customFormat="1" ht="12" customHeight="1" thickBot="1">
      <c r="A77" s="220" t="s">
        <v>290</v>
      </c>
      <c r="B77" s="206" t="s">
        <v>268</v>
      </c>
      <c r="C77" s="133"/>
    </row>
    <row r="78" spans="1:3" s="52" customFormat="1" ht="12" customHeight="1" thickBot="1">
      <c r="A78" s="221" t="s">
        <v>269</v>
      </c>
      <c r="B78" s="124" t="s">
        <v>270</v>
      </c>
      <c r="C78" s="129">
        <f>SUM(C79:C81)</f>
        <v>0</v>
      </c>
    </row>
    <row r="79" spans="1:3" s="53" customFormat="1" ht="12" customHeight="1">
      <c r="A79" s="218" t="s">
        <v>291</v>
      </c>
      <c r="B79" s="204" t="s">
        <v>271</v>
      </c>
      <c r="C79" s="133"/>
    </row>
    <row r="80" spans="1:3" s="53" customFormat="1" ht="12" customHeight="1">
      <c r="A80" s="219" t="s">
        <v>292</v>
      </c>
      <c r="B80" s="205" t="s">
        <v>272</v>
      </c>
      <c r="C80" s="133"/>
    </row>
    <row r="81" spans="1:3" s="53" customFormat="1" ht="12" customHeight="1" thickBot="1">
      <c r="A81" s="220" t="s">
        <v>293</v>
      </c>
      <c r="B81" s="206" t="s">
        <v>273</v>
      </c>
      <c r="C81" s="133"/>
    </row>
    <row r="82" spans="1:3" s="53" customFormat="1" ht="12" customHeight="1" thickBot="1">
      <c r="A82" s="221" t="s">
        <v>274</v>
      </c>
      <c r="B82" s="124" t="s">
        <v>294</v>
      </c>
      <c r="C82" s="129">
        <f>SUM(C83:C86)</f>
        <v>0</v>
      </c>
    </row>
    <row r="83" spans="1:3" s="53" customFormat="1" ht="12" customHeight="1">
      <c r="A83" s="222" t="s">
        <v>275</v>
      </c>
      <c r="B83" s="204" t="s">
        <v>276</v>
      </c>
      <c r="C83" s="133"/>
    </row>
    <row r="84" spans="1:3" s="53" customFormat="1" ht="12" customHeight="1">
      <c r="A84" s="223" t="s">
        <v>277</v>
      </c>
      <c r="B84" s="205" t="s">
        <v>278</v>
      </c>
      <c r="C84" s="133"/>
    </row>
    <row r="85" spans="1:3" s="53" customFormat="1" ht="12" customHeight="1">
      <c r="A85" s="223" t="s">
        <v>279</v>
      </c>
      <c r="B85" s="205" t="s">
        <v>280</v>
      </c>
      <c r="C85" s="133"/>
    </row>
    <row r="86" spans="1:3" s="52" customFormat="1" ht="12" customHeight="1" thickBot="1">
      <c r="A86" s="224" t="s">
        <v>281</v>
      </c>
      <c r="B86" s="206" t="s">
        <v>282</v>
      </c>
      <c r="C86" s="133"/>
    </row>
    <row r="87" spans="1:3" s="52" customFormat="1" ht="12" customHeight="1" thickBot="1">
      <c r="A87" s="221" t="s">
        <v>283</v>
      </c>
      <c r="B87" s="124" t="s">
        <v>427</v>
      </c>
      <c r="C87" s="231"/>
    </row>
    <row r="88" spans="1:3" s="52" customFormat="1" ht="12" customHeight="1" thickBot="1">
      <c r="A88" s="221" t="s">
        <v>480</v>
      </c>
      <c r="B88" s="124" t="s">
        <v>284</v>
      </c>
      <c r="C88" s="231"/>
    </row>
    <row r="89" spans="1:3" s="52" customFormat="1" ht="12" customHeight="1" thickBot="1">
      <c r="A89" s="221" t="s">
        <v>481</v>
      </c>
      <c r="B89" s="211" t="s">
        <v>428</v>
      </c>
      <c r="C89" s="134">
        <f>+C66+C70+C75+C78+C82+C88+C87</f>
        <v>144100000</v>
      </c>
    </row>
    <row r="90" spans="1:3" s="52" customFormat="1" ht="12" customHeight="1" thickBot="1">
      <c r="A90" s="225" t="s">
        <v>482</v>
      </c>
      <c r="B90" s="212" t="s">
        <v>483</v>
      </c>
      <c r="C90" s="134">
        <f>+C65+C89</f>
        <v>407131069</v>
      </c>
    </row>
    <row r="91" spans="1:3" s="53" customFormat="1" ht="15" customHeight="1" thickBot="1">
      <c r="A91" s="108"/>
      <c r="B91" s="109"/>
      <c r="C91" s="187"/>
    </row>
    <row r="92" spans="1:3" s="45" customFormat="1" ht="16.5" customHeight="1" thickBot="1">
      <c r="A92" s="110"/>
      <c r="B92" s="111" t="s">
        <v>65</v>
      </c>
      <c r="C92" s="188"/>
    </row>
    <row r="93" spans="1:3" s="54" customFormat="1" ht="12" customHeight="1" thickBot="1">
      <c r="A93" s="196" t="s">
        <v>28</v>
      </c>
      <c r="B93" s="26" t="s">
        <v>494</v>
      </c>
      <c r="C93" s="128">
        <f>+C94+C95+C96+C97+C98+C111</f>
        <v>66117601</v>
      </c>
    </row>
    <row r="94" spans="1:3" ht="12" customHeight="1">
      <c r="A94" s="226" t="s">
        <v>101</v>
      </c>
      <c r="B94" s="9" t="s">
        <v>58</v>
      </c>
      <c r="C94" s="404">
        <f>310000+175000+172000+24000+3882000+3749000-282000+589000+24000</f>
        <v>8643000</v>
      </c>
    </row>
    <row r="95" spans="1:3" ht="12" customHeight="1">
      <c r="A95" s="219" t="s">
        <v>102</v>
      </c>
      <c r="B95" s="7" t="s">
        <v>149</v>
      </c>
      <c r="C95" s="133">
        <f>62000+33000+48000+808000+1652000-63900+117000+10800</f>
        <v>2666900</v>
      </c>
    </row>
    <row r="96" spans="1:3" ht="12" customHeight="1">
      <c r="A96" s="219" t="s">
        <v>103</v>
      </c>
      <c r="B96" s="7" t="s">
        <v>124</v>
      </c>
      <c r="C96" s="193">
        <f>4801000+800001+376000+120000+386000+50000+18800+32000+22000+11212000+1682000+295900+401000+411000+1600000+26600000</f>
        <v>48807701</v>
      </c>
    </row>
    <row r="97" spans="1:3" ht="12" customHeight="1">
      <c r="A97" s="219" t="s">
        <v>104</v>
      </c>
      <c r="B97" s="10" t="s">
        <v>150</v>
      </c>
      <c r="C97" s="193"/>
    </row>
    <row r="98" spans="1:3" ht="12" customHeight="1">
      <c r="A98" s="219" t="s">
        <v>115</v>
      </c>
      <c r="B98" s="18" t="s">
        <v>151</v>
      </c>
      <c r="C98" s="193">
        <f>SUM(C99:C110)</f>
        <v>6000000</v>
      </c>
    </row>
    <row r="99" spans="1:3" ht="12" customHeight="1">
      <c r="A99" s="219" t="s">
        <v>105</v>
      </c>
      <c r="B99" s="7" t="s">
        <v>484</v>
      </c>
      <c r="C99" s="193"/>
    </row>
    <row r="100" spans="1:3" ht="12" customHeight="1">
      <c r="A100" s="219" t="s">
        <v>106</v>
      </c>
      <c r="B100" s="80" t="s">
        <v>432</v>
      </c>
      <c r="C100" s="193"/>
    </row>
    <row r="101" spans="1:3" ht="12" customHeight="1">
      <c r="A101" s="219" t="s">
        <v>116</v>
      </c>
      <c r="B101" s="80" t="s">
        <v>433</v>
      </c>
      <c r="C101" s="193"/>
    </row>
    <row r="102" spans="1:3" ht="12" customHeight="1">
      <c r="A102" s="219" t="s">
        <v>117</v>
      </c>
      <c r="B102" s="80" t="s">
        <v>300</v>
      </c>
      <c r="C102" s="193"/>
    </row>
    <row r="103" spans="1:3" ht="12" customHeight="1">
      <c r="A103" s="219" t="s">
        <v>118</v>
      </c>
      <c r="B103" s="81" t="s">
        <v>301</v>
      </c>
      <c r="C103" s="193"/>
    </row>
    <row r="104" spans="1:3" ht="12" customHeight="1">
      <c r="A104" s="219" t="s">
        <v>119</v>
      </c>
      <c r="B104" s="81" t="s">
        <v>302</v>
      </c>
      <c r="C104" s="193"/>
    </row>
    <row r="105" spans="1:3" ht="12" customHeight="1">
      <c r="A105" s="219" t="s">
        <v>121</v>
      </c>
      <c r="B105" s="80" t="s">
        <v>303</v>
      </c>
      <c r="C105" s="193"/>
    </row>
    <row r="106" spans="1:3" ht="12" customHeight="1">
      <c r="A106" s="219" t="s">
        <v>152</v>
      </c>
      <c r="B106" s="80" t="s">
        <v>304</v>
      </c>
      <c r="C106" s="193"/>
    </row>
    <row r="107" spans="1:3" ht="12" customHeight="1">
      <c r="A107" s="219" t="s">
        <v>298</v>
      </c>
      <c r="B107" s="81" t="s">
        <v>305</v>
      </c>
      <c r="C107" s="193"/>
    </row>
    <row r="108" spans="1:3" ht="12" customHeight="1">
      <c r="A108" s="227" t="s">
        <v>299</v>
      </c>
      <c r="B108" s="82" t="s">
        <v>306</v>
      </c>
      <c r="C108" s="193"/>
    </row>
    <row r="109" spans="1:3" ht="12" customHeight="1">
      <c r="A109" s="219" t="s">
        <v>434</v>
      </c>
      <c r="B109" s="82" t="s">
        <v>307</v>
      </c>
      <c r="C109" s="193"/>
    </row>
    <row r="110" spans="1:3" ht="12" customHeight="1">
      <c r="A110" s="219" t="s">
        <v>435</v>
      </c>
      <c r="B110" s="81" t="s">
        <v>308</v>
      </c>
      <c r="C110" s="133">
        <f>5000000+800000+150000+50000</f>
        <v>6000000</v>
      </c>
    </row>
    <row r="111" spans="1:3" ht="12" customHeight="1">
      <c r="A111" s="219" t="s">
        <v>436</v>
      </c>
      <c r="B111" s="10" t="s">
        <v>59</v>
      </c>
      <c r="C111" s="130"/>
    </row>
    <row r="112" spans="1:3" ht="12" customHeight="1">
      <c r="A112" s="220" t="s">
        <v>437</v>
      </c>
      <c r="B112" s="7" t="s">
        <v>485</v>
      </c>
      <c r="C112" s="132"/>
    </row>
    <row r="113" spans="1:3" ht="12" customHeight="1" thickBot="1">
      <c r="A113" s="228" t="s">
        <v>439</v>
      </c>
      <c r="B113" s="83" t="s">
        <v>486</v>
      </c>
      <c r="C113" s="136"/>
    </row>
    <row r="114" spans="1:3" ht="12" customHeight="1" thickBot="1">
      <c r="A114" s="27" t="s">
        <v>29</v>
      </c>
      <c r="B114" s="25" t="s">
        <v>309</v>
      </c>
      <c r="C114" s="129">
        <f>+C115+C117+C119</f>
        <v>24654202</v>
      </c>
    </row>
    <row r="115" spans="1:3" ht="12" customHeight="1">
      <c r="A115" s="218" t="s">
        <v>107</v>
      </c>
      <c r="B115" s="7" t="s">
        <v>171</v>
      </c>
      <c r="C115" s="230">
        <f>2963001+300001+90200+301000</f>
        <v>3654202</v>
      </c>
    </row>
    <row r="116" spans="1:3" ht="12" customHeight="1">
      <c r="A116" s="218" t="s">
        <v>108</v>
      </c>
      <c r="B116" s="11" t="s">
        <v>313</v>
      </c>
      <c r="C116" s="230"/>
    </row>
    <row r="117" spans="1:3" ht="12" customHeight="1">
      <c r="A117" s="218" t="s">
        <v>109</v>
      </c>
      <c r="B117" s="11" t="s">
        <v>153</v>
      </c>
      <c r="C117" s="130">
        <f>21000000</f>
        <v>21000000</v>
      </c>
    </row>
    <row r="118" spans="1:3" ht="12" customHeight="1">
      <c r="A118" s="218" t="s">
        <v>110</v>
      </c>
      <c r="B118" s="11" t="s">
        <v>314</v>
      </c>
      <c r="C118" s="116"/>
    </row>
    <row r="119" spans="1:3" ht="12" customHeight="1">
      <c r="A119" s="218" t="s">
        <v>111</v>
      </c>
      <c r="B119" s="126" t="s">
        <v>173</v>
      </c>
      <c r="C119" s="398">
        <f>SUM(C120:C127)</f>
        <v>0</v>
      </c>
    </row>
    <row r="120" spans="1:3" ht="12" customHeight="1">
      <c r="A120" s="218" t="s">
        <v>120</v>
      </c>
      <c r="B120" s="125" t="s">
        <v>358</v>
      </c>
      <c r="C120" s="398"/>
    </row>
    <row r="121" spans="1:3" ht="12" customHeight="1">
      <c r="A121" s="218" t="s">
        <v>122</v>
      </c>
      <c r="B121" s="200" t="s">
        <v>319</v>
      </c>
      <c r="C121" s="398"/>
    </row>
    <row r="122" spans="1:3" ht="12" customHeight="1">
      <c r="A122" s="218" t="s">
        <v>154</v>
      </c>
      <c r="B122" s="81" t="s">
        <v>302</v>
      </c>
      <c r="C122" s="398"/>
    </row>
    <row r="123" spans="1:3" ht="12" customHeight="1">
      <c r="A123" s="218" t="s">
        <v>155</v>
      </c>
      <c r="B123" s="81" t="s">
        <v>318</v>
      </c>
      <c r="C123" s="398"/>
    </row>
    <row r="124" spans="1:3" ht="12" customHeight="1">
      <c r="A124" s="218" t="s">
        <v>156</v>
      </c>
      <c r="B124" s="81" t="s">
        <v>317</v>
      </c>
      <c r="C124" s="398"/>
    </row>
    <row r="125" spans="1:3" ht="12" customHeight="1">
      <c r="A125" s="218" t="s">
        <v>310</v>
      </c>
      <c r="B125" s="81" t="s">
        <v>305</v>
      </c>
      <c r="C125" s="398"/>
    </row>
    <row r="126" spans="1:3" ht="12" customHeight="1">
      <c r="A126" s="218" t="s">
        <v>311</v>
      </c>
      <c r="B126" s="81" t="s">
        <v>316</v>
      </c>
      <c r="C126" s="398"/>
    </row>
    <row r="127" spans="1:3" ht="12" customHeight="1" thickBot="1">
      <c r="A127" s="227" t="s">
        <v>312</v>
      </c>
      <c r="B127" s="81" t="s">
        <v>315</v>
      </c>
      <c r="C127" s="399"/>
    </row>
    <row r="128" spans="1:3" ht="12" customHeight="1" thickBot="1">
      <c r="A128" s="27" t="s">
        <v>30</v>
      </c>
      <c r="B128" s="77" t="s">
        <v>441</v>
      </c>
      <c r="C128" s="129">
        <f>+C93+C114</f>
        <v>90771803</v>
      </c>
    </row>
    <row r="129" spans="1:3" ht="12" customHeight="1" thickBot="1">
      <c r="A129" s="27" t="s">
        <v>31</v>
      </c>
      <c r="B129" s="77" t="s">
        <v>442</v>
      </c>
      <c r="C129" s="129">
        <f>+C130+C131+C132</f>
        <v>103161000</v>
      </c>
    </row>
    <row r="130" spans="1:3" s="54" customFormat="1" ht="12" customHeight="1">
      <c r="A130" s="218" t="s">
        <v>210</v>
      </c>
      <c r="B130" s="8" t="s">
        <v>487</v>
      </c>
      <c r="C130" s="385">
        <v>3161000</v>
      </c>
    </row>
    <row r="131" spans="1:3" ht="12" customHeight="1">
      <c r="A131" s="218" t="s">
        <v>213</v>
      </c>
      <c r="B131" s="8" t="s">
        <v>444</v>
      </c>
      <c r="C131" s="116">
        <v>100000000</v>
      </c>
    </row>
    <row r="132" spans="1:3" ht="12" customHeight="1" thickBot="1">
      <c r="A132" s="227" t="s">
        <v>214</v>
      </c>
      <c r="B132" s="6" t="s">
        <v>488</v>
      </c>
      <c r="C132" s="116"/>
    </row>
    <row r="133" spans="1:3" ht="12" customHeight="1" thickBot="1">
      <c r="A133" s="27" t="s">
        <v>32</v>
      </c>
      <c r="B133" s="77" t="s">
        <v>446</v>
      </c>
      <c r="C133" s="129">
        <f>+C134+C135+C136+C137+C138+C139</f>
        <v>0</v>
      </c>
    </row>
    <row r="134" spans="1:3" ht="12" customHeight="1">
      <c r="A134" s="218" t="s">
        <v>94</v>
      </c>
      <c r="B134" s="8" t="s">
        <v>447</v>
      </c>
      <c r="C134" s="116"/>
    </row>
    <row r="135" spans="1:3" ht="12" customHeight="1">
      <c r="A135" s="218" t="s">
        <v>95</v>
      </c>
      <c r="B135" s="8" t="s">
        <v>448</v>
      </c>
      <c r="C135" s="116"/>
    </row>
    <row r="136" spans="1:3" ht="12" customHeight="1">
      <c r="A136" s="218" t="s">
        <v>96</v>
      </c>
      <c r="B136" s="8" t="s">
        <v>449</v>
      </c>
      <c r="C136" s="116"/>
    </row>
    <row r="137" spans="1:3" ht="12" customHeight="1">
      <c r="A137" s="218" t="s">
        <v>141</v>
      </c>
      <c r="B137" s="8" t="s">
        <v>489</v>
      </c>
      <c r="C137" s="116"/>
    </row>
    <row r="138" spans="1:3" ht="12" customHeight="1">
      <c r="A138" s="218" t="s">
        <v>142</v>
      </c>
      <c r="B138" s="8" t="s">
        <v>451</v>
      </c>
      <c r="C138" s="116"/>
    </row>
    <row r="139" spans="1:3" s="54" customFormat="1" ht="12" customHeight="1" thickBot="1">
      <c r="A139" s="227" t="s">
        <v>143</v>
      </c>
      <c r="B139" s="6" t="s">
        <v>452</v>
      </c>
      <c r="C139" s="116"/>
    </row>
    <row r="140" spans="1:11" ht="12" customHeight="1" thickBot="1">
      <c r="A140" s="27" t="s">
        <v>33</v>
      </c>
      <c r="B140" s="77" t="s">
        <v>490</v>
      </c>
      <c r="C140" s="134">
        <f>+C141+C142+C144+C145+C143</f>
        <v>0</v>
      </c>
      <c r="K140" s="115"/>
    </row>
    <row r="141" spans="1:3" ht="12.75">
      <c r="A141" s="218" t="s">
        <v>97</v>
      </c>
      <c r="B141" s="8" t="s">
        <v>320</v>
      </c>
      <c r="C141" s="116"/>
    </row>
    <row r="142" spans="1:3" ht="12" customHeight="1">
      <c r="A142" s="218" t="s">
        <v>98</v>
      </c>
      <c r="B142" s="8" t="s">
        <v>321</v>
      </c>
      <c r="C142" s="116"/>
    </row>
    <row r="143" spans="1:3" s="54" customFormat="1" ht="12" customHeight="1">
      <c r="A143" s="218" t="s">
        <v>234</v>
      </c>
      <c r="B143" s="8" t="s">
        <v>491</v>
      </c>
      <c r="C143" s="116"/>
    </row>
    <row r="144" spans="1:3" s="54" customFormat="1" ht="12" customHeight="1">
      <c r="A144" s="218" t="s">
        <v>235</v>
      </c>
      <c r="B144" s="8" t="s">
        <v>454</v>
      </c>
      <c r="C144" s="116"/>
    </row>
    <row r="145" spans="1:3" s="54" customFormat="1" ht="12" customHeight="1" thickBot="1">
      <c r="A145" s="227" t="s">
        <v>236</v>
      </c>
      <c r="B145" s="6" t="s">
        <v>339</v>
      </c>
      <c r="C145" s="116"/>
    </row>
    <row r="146" spans="1:3" s="54" customFormat="1" ht="12" customHeight="1" thickBot="1">
      <c r="A146" s="27" t="s">
        <v>34</v>
      </c>
      <c r="B146" s="77" t="s">
        <v>455</v>
      </c>
      <c r="C146" s="137">
        <f>+C147+C148+C149+C150+C151</f>
        <v>0</v>
      </c>
    </row>
    <row r="147" spans="1:3" s="54" customFormat="1" ht="12" customHeight="1">
      <c r="A147" s="218" t="s">
        <v>99</v>
      </c>
      <c r="B147" s="8" t="s">
        <v>456</v>
      </c>
      <c r="C147" s="116"/>
    </row>
    <row r="148" spans="1:3" s="54" customFormat="1" ht="12" customHeight="1">
      <c r="A148" s="218" t="s">
        <v>100</v>
      </c>
      <c r="B148" s="8" t="s">
        <v>457</v>
      </c>
      <c r="C148" s="116"/>
    </row>
    <row r="149" spans="1:3" s="54" customFormat="1" ht="12" customHeight="1">
      <c r="A149" s="218" t="s">
        <v>246</v>
      </c>
      <c r="B149" s="8" t="s">
        <v>458</v>
      </c>
      <c r="C149" s="116"/>
    </row>
    <row r="150" spans="1:3" ht="12.75" customHeight="1">
      <c r="A150" s="218" t="s">
        <v>247</v>
      </c>
      <c r="B150" s="8" t="s">
        <v>492</v>
      </c>
      <c r="C150" s="116"/>
    </row>
    <row r="151" spans="1:3" ht="12.75" customHeight="1" thickBot="1">
      <c r="A151" s="227" t="s">
        <v>460</v>
      </c>
      <c r="B151" s="6" t="s">
        <v>461</v>
      </c>
      <c r="C151" s="117"/>
    </row>
    <row r="152" spans="1:3" ht="12.75" customHeight="1" thickBot="1">
      <c r="A152" s="381" t="s">
        <v>35</v>
      </c>
      <c r="B152" s="77" t="s">
        <v>462</v>
      </c>
      <c r="C152" s="137"/>
    </row>
    <row r="153" spans="1:3" ht="12" customHeight="1" thickBot="1">
      <c r="A153" s="381" t="s">
        <v>36</v>
      </c>
      <c r="B153" s="77" t="s">
        <v>463</v>
      </c>
      <c r="C153" s="137"/>
    </row>
    <row r="154" spans="1:3" ht="15" customHeight="1" thickBot="1">
      <c r="A154" s="27" t="s">
        <v>37</v>
      </c>
      <c r="B154" s="77" t="s">
        <v>464</v>
      </c>
      <c r="C154" s="214">
        <f>+C129+C133+C140+C146+C152+C153</f>
        <v>103161000</v>
      </c>
    </row>
    <row r="155" spans="1:3" ht="13.5" thickBot="1">
      <c r="A155" s="229" t="s">
        <v>38</v>
      </c>
      <c r="B155" s="189" t="s">
        <v>465</v>
      </c>
      <c r="C155" s="214">
        <f>+C128+C154</f>
        <v>193932803</v>
      </c>
    </row>
    <row r="156" ht="15" customHeight="1" thickBot="1"/>
    <row r="157" spans="1:3" ht="14.25" customHeight="1" thickBot="1">
      <c r="A157" s="112" t="s">
        <v>493</v>
      </c>
      <c r="B157" s="113"/>
      <c r="C157" s="76"/>
    </row>
    <row r="158" spans="1:3" ht="13.5" thickBot="1">
      <c r="A158" s="112" t="s">
        <v>166</v>
      </c>
      <c r="B158" s="113"/>
      <c r="C158" s="7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12/2017.(IV.11.) önkormányzati rendelethez</oddHeader>
  </headerFooter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33">
    <pageSetUpPr fitToPage="1"/>
  </sheetPr>
  <dimension ref="A1:F32"/>
  <sheetViews>
    <sheetView workbookViewId="0" topLeftCell="A10">
      <selection activeCell="F26" sqref="F26"/>
    </sheetView>
  </sheetViews>
  <sheetFormatPr defaultColWidth="10.625" defaultRowHeight="12.75"/>
  <cols>
    <col min="1" max="1" width="10.00390625" style="240" customWidth="1"/>
    <col min="2" max="2" width="37.375" style="240" customWidth="1"/>
    <col min="3" max="3" width="24.875" style="240" customWidth="1"/>
    <col min="4" max="4" width="22.625" style="240" customWidth="1"/>
    <col min="5" max="5" width="11.625" style="240" bestFit="1" customWidth="1"/>
    <col min="6" max="16384" width="10.625" style="240" customWidth="1"/>
  </cols>
  <sheetData>
    <row r="1" spans="1:4" ht="15.75">
      <c r="A1" s="238"/>
      <c r="B1" s="238"/>
      <c r="C1" s="238"/>
      <c r="D1" s="239"/>
    </row>
    <row r="2" spans="1:4" ht="15.75">
      <c r="A2" s="238"/>
      <c r="B2" s="238"/>
      <c r="C2" s="238"/>
      <c r="D2" s="241"/>
    </row>
    <row r="3" spans="1:4" ht="15.75">
      <c r="A3" s="238"/>
      <c r="B3" s="238"/>
      <c r="C3" s="238"/>
      <c r="D3" s="239"/>
    </row>
    <row r="4" spans="1:4" ht="15.75">
      <c r="A4" s="238"/>
      <c r="B4" s="238"/>
      <c r="C4" s="238"/>
      <c r="D4" s="242"/>
    </row>
    <row r="5" spans="1:4" ht="15.75">
      <c r="A5" s="238"/>
      <c r="B5" s="238"/>
      <c r="C5" s="238"/>
      <c r="D5" s="242"/>
    </row>
    <row r="6" spans="1:4" ht="15.75">
      <c r="A6" s="238"/>
      <c r="B6" s="238"/>
      <c r="C6" s="238"/>
      <c r="D6" s="243"/>
    </row>
    <row r="7" spans="1:4" ht="19.5">
      <c r="A7" s="244" t="s">
        <v>362</v>
      </c>
      <c r="B7" s="244"/>
      <c r="C7" s="244"/>
      <c r="D7" s="245"/>
    </row>
    <row r="8" spans="1:4" ht="19.5">
      <c r="A8" s="244" t="s">
        <v>529</v>
      </c>
      <c r="B8" s="244"/>
      <c r="C8" s="244"/>
      <c r="D8" s="245"/>
    </row>
    <row r="9" spans="1:4" ht="19.5">
      <c r="A9" s="244"/>
      <c r="B9" s="244"/>
      <c r="C9" s="244"/>
      <c r="D9" s="245"/>
    </row>
    <row r="10" spans="1:4" ht="19.5">
      <c r="A10" s="244"/>
      <c r="B10" s="244"/>
      <c r="C10" s="244"/>
      <c r="D10" s="245"/>
    </row>
    <row r="11" spans="1:4" ht="19.5">
      <c r="A11" s="244"/>
      <c r="B11" s="244"/>
      <c r="C11" s="244"/>
      <c r="D11" s="245"/>
    </row>
    <row r="12" spans="1:4" ht="19.5">
      <c r="A12" s="244"/>
      <c r="B12" s="244"/>
      <c r="C12" s="244"/>
      <c r="D12" s="245"/>
    </row>
    <row r="13" spans="1:4" ht="16.5" thickBot="1">
      <c r="A13" s="238"/>
      <c r="B13" s="238"/>
      <c r="C13" s="238"/>
      <c r="D13" s="246" t="s">
        <v>8</v>
      </c>
    </row>
    <row r="14" spans="1:4" s="251" customFormat="1" ht="33" customHeight="1" thickBot="1">
      <c r="A14" s="247" t="s">
        <v>69</v>
      </c>
      <c r="B14" s="248"/>
      <c r="C14" s="249"/>
      <c r="D14" s="250" t="s">
        <v>63</v>
      </c>
    </row>
    <row r="15" spans="1:6" ht="15.75">
      <c r="A15" s="252" t="s">
        <v>66</v>
      </c>
      <c r="B15" s="253"/>
      <c r="C15" s="254"/>
      <c r="D15" s="409">
        <v>10827687</v>
      </c>
      <c r="E15" s="255"/>
      <c r="F15" s="256"/>
    </row>
    <row r="16" spans="1:6" ht="15.75">
      <c r="A16" s="257" t="s">
        <v>364</v>
      </c>
      <c r="B16" s="258"/>
      <c r="C16" s="259"/>
      <c r="D16" s="260"/>
      <c r="E16" s="256"/>
      <c r="F16" s="256"/>
    </row>
    <row r="17" spans="1:6" ht="12.75">
      <c r="A17" s="424" t="s">
        <v>9</v>
      </c>
      <c r="B17" s="262"/>
      <c r="C17" s="263"/>
      <c r="D17" s="264">
        <v>178000</v>
      </c>
      <c r="E17" s="265"/>
      <c r="F17" s="266"/>
    </row>
    <row r="18" spans="1:6" ht="12.75">
      <c r="A18" s="261" t="s">
        <v>365</v>
      </c>
      <c r="B18" s="262"/>
      <c r="C18" s="263"/>
      <c r="D18" s="264">
        <v>14510000</v>
      </c>
      <c r="E18" s="267"/>
      <c r="F18" s="266"/>
    </row>
    <row r="19" spans="1:6" ht="12.75">
      <c r="A19" s="261" t="s">
        <v>12</v>
      </c>
      <c r="B19" s="262"/>
      <c r="C19" s="263"/>
      <c r="D19" s="264">
        <v>5200000</v>
      </c>
      <c r="E19" s="267"/>
      <c r="F19" s="266"/>
    </row>
    <row r="20" spans="1:6" ht="12.75">
      <c r="A20" s="268" t="s">
        <v>1</v>
      </c>
      <c r="B20" s="262"/>
      <c r="C20" s="263"/>
      <c r="D20" s="264">
        <v>13945000</v>
      </c>
      <c r="E20" s="267"/>
      <c r="F20" s="269"/>
    </row>
    <row r="21" spans="1:6" ht="12.75">
      <c r="A21" s="261" t="s">
        <v>495</v>
      </c>
      <c r="B21" s="262"/>
      <c r="C21" s="263"/>
      <c r="D21" s="264">
        <v>1005000</v>
      </c>
      <c r="E21" s="267"/>
      <c r="F21" s="269"/>
    </row>
    <row r="22" spans="1:6" ht="12.75">
      <c r="A22" s="261" t="s">
        <v>561</v>
      </c>
      <c r="B22" s="262"/>
      <c r="C22" s="263"/>
      <c r="D22" s="264">
        <v>4075000</v>
      </c>
      <c r="E22" s="267"/>
      <c r="F22" s="269"/>
    </row>
    <row r="23" spans="1:6" ht="12.75">
      <c r="A23" s="270" t="s">
        <v>371</v>
      </c>
      <c r="B23" s="271"/>
      <c r="C23" s="263"/>
      <c r="D23" s="264">
        <v>34480400</v>
      </c>
      <c r="E23" s="267"/>
      <c r="F23" s="266"/>
    </row>
    <row r="24" spans="1:6" ht="12.75">
      <c r="A24" s="270" t="s">
        <v>10</v>
      </c>
      <c r="B24" s="272"/>
      <c r="C24" s="273"/>
      <c r="D24" s="264">
        <v>200000</v>
      </c>
      <c r="E24" s="267"/>
      <c r="F24" s="266"/>
    </row>
    <row r="25" spans="1:6" ht="12.75">
      <c r="A25" s="613" t="s">
        <v>511</v>
      </c>
      <c r="B25" s="614"/>
      <c r="C25" s="263"/>
      <c r="D25" s="264">
        <v>304000</v>
      </c>
      <c r="E25" s="267"/>
      <c r="F25" s="266"/>
    </row>
    <row r="26" spans="1:6" ht="12.75">
      <c r="A26" s="424" t="s">
        <v>7</v>
      </c>
      <c r="B26" s="425"/>
      <c r="C26" s="263"/>
      <c r="D26" s="264">
        <f>18879000-4141330-20000-400000-312000</f>
        <v>14005670</v>
      </c>
      <c r="E26" s="267"/>
      <c r="F26" s="266"/>
    </row>
    <row r="27" spans="1:6" ht="12.75">
      <c r="A27" s="424" t="s">
        <v>11</v>
      </c>
      <c r="B27" s="425"/>
      <c r="C27" s="263"/>
      <c r="D27" s="264">
        <v>3797300</v>
      </c>
      <c r="E27" s="267"/>
      <c r="F27" s="266"/>
    </row>
    <row r="28" spans="1:6" ht="12.75">
      <c r="A28" s="424" t="s">
        <v>13</v>
      </c>
      <c r="B28" s="425"/>
      <c r="C28" s="263"/>
      <c r="D28" s="264">
        <v>400000</v>
      </c>
      <c r="E28" s="267"/>
      <c r="F28" s="266"/>
    </row>
    <row r="29" spans="1:6" ht="12.75">
      <c r="A29" s="424" t="s">
        <v>553</v>
      </c>
      <c r="B29" s="425"/>
      <c r="C29" s="263"/>
      <c r="D29" s="264">
        <v>500000</v>
      </c>
      <c r="E29" s="267"/>
      <c r="F29" s="266"/>
    </row>
    <row r="30" spans="1:4" ht="15.75">
      <c r="A30" s="257" t="s">
        <v>366</v>
      </c>
      <c r="B30" s="274"/>
      <c r="C30" s="275"/>
      <c r="D30" s="276">
        <f>SUM(D17:D29)</f>
        <v>92600370</v>
      </c>
    </row>
    <row r="31" spans="1:4" ht="15.75">
      <c r="A31" s="257"/>
      <c r="B31" s="274"/>
      <c r="C31" s="275"/>
      <c r="D31" s="275"/>
    </row>
    <row r="32" spans="1:4" ht="16.5" thickBot="1">
      <c r="A32" s="277" t="s">
        <v>367</v>
      </c>
      <c r="B32" s="278"/>
      <c r="C32" s="279"/>
      <c r="D32" s="280">
        <f>SUM(D15,D30)</f>
        <v>103428057</v>
      </c>
    </row>
  </sheetData>
  <sheetProtection/>
  <mergeCells count="1">
    <mergeCell ref="A25:B25"/>
  </mergeCells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&amp;R12. melléklet a 12/2017.(IV.11.)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154"/>
  <sheetViews>
    <sheetView workbookViewId="0" topLeftCell="A121">
      <selection activeCell="D129" sqref="D129"/>
    </sheetView>
  </sheetViews>
  <sheetFormatPr defaultColWidth="9.00390625" defaultRowHeight="12.75"/>
  <cols>
    <col min="1" max="1" width="9.00390625" style="452" customWidth="1"/>
    <col min="2" max="2" width="75.875" style="452" customWidth="1"/>
    <col min="3" max="4" width="15.50390625" style="452" customWidth="1"/>
    <col min="5" max="16384" width="9.375" style="426" customWidth="1"/>
  </cols>
  <sheetData>
    <row r="1" spans="1:4" ht="15.75" customHeight="1">
      <c r="A1" s="598" t="s">
        <v>25</v>
      </c>
      <c r="B1" s="598"/>
      <c r="C1" s="598"/>
      <c r="D1" s="598"/>
    </row>
    <row r="2" spans="1:4" ht="15.75" customHeight="1" thickBot="1">
      <c r="A2" s="597" t="s">
        <v>128</v>
      </c>
      <c r="B2" s="597"/>
      <c r="C2" s="423"/>
      <c r="D2" s="590" t="str">
        <f>'[1]10.sz.mell'!G8</f>
        <v>Forintban!</v>
      </c>
    </row>
    <row r="3" spans="1:4" ht="37.5" customHeight="1" thickBot="1">
      <c r="A3" s="22" t="s">
        <v>76</v>
      </c>
      <c r="B3" s="23" t="s">
        <v>27</v>
      </c>
      <c r="C3" s="582" t="s">
        <v>14</v>
      </c>
      <c r="D3" s="591" t="str">
        <f>+'[1]1.1.sz.mell.'!C3</f>
        <v>2017. évi előirányzat</v>
      </c>
    </row>
    <row r="4" spans="1:4" s="429" customFormat="1" ht="12" customHeight="1" thickBot="1">
      <c r="A4" s="27" t="s">
        <v>414</v>
      </c>
      <c r="B4" s="28" t="s">
        <v>415</v>
      </c>
      <c r="C4" s="583" t="s">
        <v>469</v>
      </c>
      <c r="D4" s="592" t="s">
        <v>470</v>
      </c>
    </row>
    <row r="5" spans="1:4" s="432" customFormat="1" ht="12" customHeight="1" thickBot="1">
      <c r="A5" s="19" t="s">
        <v>28</v>
      </c>
      <c r="B5" s="20" t="s">
        <v>194</v>
      </c>
      <c r="C5" s="584">
        <f>+C6+C7+C8+C9+C10+C11</f>
        <v>1055342000</v>
      </c>
      <c r="D5" s="593">
        <f>'1.1.sz.mell. '!C5</f>
        <v>1174961208</v>
      </c>
    </row>
    <row r="6" spans="1:4" s="432" customFormat="1" ht="12" customHeight="1">
      <c r="A6" s="14" t="s">
        <v>101</v>
      </c>
      <c r="B6" s="204" t="s">
        <v>195</v>
      </c>
      <c r="C6" s="578">
        <v>231988000</v>
      </c>
      <c r="D6" s="556">
        <f>'1.1.sz.mell. '!C6</f>
        <v>228418282</v>
      </c>
    </row>
    <row r="7" spans="1:4" s="432" customFormat="1" ht="12" customHeight="1">
      <c r="A7" s="13" t="s">
        <v>102</v>
      </c>
      <c r="B7" s="205" t="s">
        <v>196</v>
      </c>
      <c r="C7" s="577">
        <v>217051000</v>
      </c>
      <c r="D7" s="557">
        <f>'1.1.sz.mell. '!C7</f>
        <v>218107294</v>
      </c>
    </row>
    <row r="8" spans="1:4" s="432" customFormat="1" ht="12" customHeight="1">
      <c r="A8" s="13" t="s">
        <v>103</v>
      </c>
      <c r="B8" s="205" t="s">
        <v>197</v>
      </c>
      <c r="C8" s="577">
        <v>567601000</v>
      </c>
      <c r="D8" s="557">
        <f>'1.1.sz.mell. '!C8</f>
        <v>505153065</v>
      </c>
    </row>
    <row r="9" spans="1:4" s="432" customFormat="1" ht="12" customHeight="1">
      <c r="A9" s="13" t="s">
        <v>104</v>
      </c>
      <c r="B9" s="205" t="s">
        <v>198</v>
      </c>
      <c r="C9" s="577">
        <v>26943000</v>
      </c>
      <c r="D9" s="557">
        <f>'1.1.sz.mell. '!C9</f>
        <v>25891320</v>
      </c>
    </row>
    <row r="10" spans="1:4" s="432" customFormat="1" ht="12" customHeight="1">
      <c r="A10" s="13" t="s">
        <v>125</v>
      </c>
      <c r="B10" s="125" t="s">
        <v>417</v>
      </c>
      <c r="C10" s="577">
        <v>10020000</v>
      </c>
      <c r="D10" s="557">
        <f>'1.1.sz.mell. '!C10</f>
        <v>197391247</v>
      </c>
    </row>
    <row r="11" spans="1:4" s="432" customFormat="1" ht="12" customHeight="1" thickBot="1">
      <c r="A11" s="15" t="s">
        <v>105</v>
      </c>
      <c r="B11" s="126" t="s">
        <v>418</v>
      </c>
      <c r="C11" s="577">
        <v>1739000</v>
      </c>
      <c r="D11" s="558">
        <f>'1.1.sz.mell. '!C11</f>
        <v>0</v>
      </c>
    </row>
    <row r="12" spans="1:4" s="432" customFormat="1" ht="12" customHeight="1" thickBot="1">
      <c r="A12" s="19" t="s">
        <v>29</v>
      </c>
      <c r="B12" s="124" t="s">
        <v>199</v>
      </c>
      <c r="C12" s="584">
        <f>+C13+C14+C15+C16+C17</f>
        <v>781978000</v>
      </c>
      <c r="D12" s="503">
        <f>'1.1.sz.mell. '!C12</f>
        <v>604827092</v>
      </c>
    </row>
    <row r="13" spans="1:4" s="432" customFormat="1" ht="12" customHeight="1">
      <c r="A13" s="14" t="s">
        <v>107</v>
      </c>
      <c r="B13" s="204" t="s">
        <v>200</v>
      </c>
      <c r="C13" s="578"/>
      <c r="D13" s="594">
        <f>'1.1.sz.mell. '!C13</f>
        <v>0</v>
      </c>
    </row>
    <row r="14" spans="1:4" s="432" customFormat="1" ht="12" customHeight="1">
      <c r="A14" s="13" t="s">
        <v>108</v>
      </c>
      <c r="B14" s="205" t="s">
        <v>201</v>
      </c>
      <c r="C14" s="577"/>
      <c r="D14" s="595">
        <f>'1.1.sz.mell. '!C14</f>
        <v>0</v>
      </c>
    </row>
    <row r="15" spans="1:4" s="432" customFormat="1" ht="12" customHeight="1">
      <c r="A15" s="13" t="s">
        <v>109</v>
      </c>
      <c r="B15" s="205" t="s">
        <v>352</v>
      </c>
      <c r="C15" s="577"/>
      <c r="D15" s="557">
        <f>'1.1.sz.mell. '!C15</f>
        <v>0</v>
      </c>
    </row>
    <row r="16" spans="1:4" s="432" customFormat="1" ht="12" customHeight="1">
      <c r="A16" s="13" t="s">
        <v>110</v>
      </c>
      <c r="B16" s="205" t="s">
        <v>353</v>
      </c>
      <c r="C16" s="577"/>
      <c r="D16" s="557">
        <f>'1.1.sz.mell. '!C16</f>
        <v>0</v>
      </c>
    </row>
    <row r="17" spans="1:4" s="432" customFormat="1" ht="12" customHeight="1">
      <c r="A17" s="13" t="s">
        <v>111</v>
      </c>
      <c r="B17" s="205" t="s">
        <v>202</v>
      </c>
      <c r="C17" s="577">
        <v>781978000</v>
      </c>
      <c r="D17" s="557">
        <f>'1.1.sz.mell. '!C17</f>
        <v>604827092</v>
      </c>
    </row>
    <row r="18" spans="1:4" s="432" customFormat="1" ht="12" customHeight="1" thickBot="1">
      <c r="A18" s="15" t="s">
        <v>120</v>
      </c>
      <c r="B18" s="126" t="s">
        <v>203</v>
      </c>
      <c r="C18" s="579"/>
      <c r="D18" s="558">
        <f>'1.1.sz.mell. '!C18</f>
        <v>0</v>
      </c>
    </row>
    <row r="19" spans="1:4" s="432" customFormat="1" ht="12" customHeight="1" thickBot="1">
      <c r="A19" s="19" t="s">
        <v>30</v>
      </c>
      <c r="B19" s="20" t="s">
        <v>204</v>
      </c>
      <c r="C19" s="584">
        <f>+C20+C21+C22+C23+C24</f>
        <v>37234000</v>
      </c>
      <c r="D19" s="503">
        <f>'1.1.sz.mell. '!C19</f>
        <v>18976576</v>
      </c>
    </row>
    <row r="20" spans="1:4" s="432" customFormat="1" ht="12" customHeight="1">
      <c r="A20" s="14" t="s">
        <v>90</v>
      </c>
      <c r="B20" s="204" t="s">
        <v>205</v>
      </c>
      <c r="C20" s="578">
        <v>20895000</v>
      </c>
      <c r="D20" s="556">
        <f>'1.1.sz.mell. '!C20</f>
        <v>0</v>
      </c>
    </row>
    <row r="21" spans="1:4" s="432" customFormat="1" ht="12" customHeight="1">
      <c r="A21" s="13" t="s">
        <v>91</v>
      </c>
      <c r="B21" s="205" t="s">
        <v>206</v>
      </c>
      <c r="C21" s="577"/>
      <c r="D21" s="557">
        <f>'1.1.sz.mell. '!C21</f>
        <v>0</v>
      </c>
    </row>
    <row r="22" spans="1:4" s="432" customFormat="1" ht="12" customHeight="1">
      <c r="A22" s="13" t="s">
        <v>92</v>
      </c>
      <c r="B22" s="205" t="s">
        <v>354</v>
      </c>
      <c r="C22" s="577"/>
      <c r="D22" s="557">
        <f>'1.1.sz.mell. '!C22</f>
        <v>0</v>
      </c>
    </row>
    <row r="23" spans="1:4" s="432" customFormat="1" ht="12" customHeight="1">
      <c r="A23" s="13" t="s">
        <v>93</v>
      </c>
      <c r="B23" s="205" t="s">
        <v>355</v>
      </c>
      <c r="C23" s="577"/>
      <c r="D23" s="557">
        <f>'1.1.sz.mell. '!C23</f>
        <v>0</v>
      </c>
    </row>
    <row r="24" spans="1:4" s="432" customFormat="1" ht="12" customHeight="1">
      <c r="A24" s="13" t="s">
        <v>137</v>
      </c>
      <c r="B24" s="205" t="s">
        <v>207</v>
      </c>
      <c r="C24" s="577">
        <v>16339000</v>
      </c>
      <c r="D24" s="557">
        <f>'1.1.sz.mell. '!C24</f>
        <v>18976576</v>
      </c>
    </row>
    <row r="25" spans="1:4" s="432" customFormat="1" ht="12" customHeight="1" thickBot="1">
      <c r="A25" s="15" t="s">
        <v>138</v>
      </c>
      <c r="B25" s="206" t="s">
        <v>208</v>
      </c>
      <c r="C25" s="579"/>
      <c r="D25" s="558">
        <f>'1.1.sz.mell. '!C25</f>
        <v>3797300</v>
      </c>
    </row>
    <row r="26" spans="1:4" s="432" customFormat="1" ht="12" customHeight="1" thickBot="1">
      <c r="A26" s="19" t="s">
        <v>139</v>
      </c>
      <c r="B26" s="20" t="s">
        <v>209</v>
      </c>
      <c r="C26" s="585">
        <f>C27+C31+C32+C33</f>
        <v>363460000</v>
      </c>
      <c r="D26" s="503">
        <f>'1.1.sz.mell. '!C26</f>
        <v>319390000</v>
      </c>
    </row>
    <row r="27" spans="1:4" s="432" customFormat="1" ht="12" customHeight="1">
      <c r="A27" s="14" t="s">
        <v>210</v>
      </c>
      <c r="B27" s="204" t="s">
        <v>15</v>
      </c>
      <c r="C27" s="578">
        <f>C28+C29+C30</f>
        <v>320640000</v>
      </c>
      <c r="D27" s="556">
        <f>'1.1.sz.mell. '!C27</f>
        <v>282830000</v>
      </c>
    </row>
    <row r="28" spans="1:4" s="432" customFormat="1" ht="12" customHeight="1">
      <c r="A28" s="13" t="s">
        <v>213</v>
      </c>
      <c r="B28" s="205" t="s">
        <v>17</v>
      </c>
      <c r="C28" s="577">
        <v>83000000</v>
      </c>
      <c r="D28" s="557">
        <f>'1.1.sz.mell. '!C28</f>
        <v>78990000</v>
      </c>
    </row>
    <row r="29" spans="1:4" s="432" customFormat="1" ht="12" customHeight="1">
      <c r="A29" s="13" t="s">
        <v>214</v>
      </c>
      <c r="B29" s="205" t="s">
        <v>507</v>
      </c>
      <c r="C29" s="577">
        <v>237500000</v>
      </c>
      <c r="D29" s="557">
        <f>'1.1.sz.mell. '!C29</f>
        <v>203840000</v>
      </c>
    </row>
    <row r="30" spans="1:4" s="432" customFormat="1" ht="12" customHeight="1">
      <c r="A30" s="13" t="s">
        <v>215</v>
      </c>
      <c r="B30" s="205" t="s">
        <v>16</v>
      </c>
      <c r="C30" s="577">
        <v>140000</v>
      </c>
      <c r="D30" s="557">
        <f>'1.1.sz.mell. '!C30</f>
        <v>0</v>
      </c>
    </row>
    <row r="31" spans="1:4" s="432" customFormat="1" ht="12" customHeight="1">
      <c r="A31" s="13" t="s">
        <v>506</v>
      </c>
      <c r="B31" s="205" t="s">
        <v>218</v>
      </c>
      <c r="C31" s="577">
        <v>28200000</v>
      </c>
      <c r="D31" s="557">
        <f>'1.1.sz.mell. '!C31</f>
        <v>27000000</v>
      </c>
    </row>
    <row r="32" spans="1:4" s="432" customFormat="1" ht="12" customHeight="1">
      <c r="A32" s="13" t="s">
        <v>520</v>
      </c>
      <c r="B32" s="205" t="s">
        <v>219</v>
      </c>
      <c r="C32" s="577">
        <v>5620000</v>
      </c>
      <c r="D32" s="557">
        <f>'1.1.sz.mell. '!C32</f>
        <v>60000</v>
      </c>
    </row>
    <row r="33" spans="1:4" s="432" customFormat="1" ht="12" customHeight="1" thickBot="1">
      <c r="A33" s="15" t="s">
        <v>521</v>
      </c>
      <c r="B33" s="206" t="s">
        <v>220</v>
      </c>
      <c r="C33" s="579">
        <v>9000000</v>
      </c>
      <c r="D33" s="558">
        <f>'1.1.sz.mell. '!C33</f>
        <v>9500000</v>
      </c>
    </row>
    <row r="34" spans="1:4" s="432" customFormat="1" ht="12" customHeight="1" thickBot="1">
      <c r="A34" s="19" t="s">
        <v>32</v>
      </c>
      <c r="B34" s="20" t="s">
        <v>422</v>
      </c>
      <c r="C34" s="584">
        <f>SUM(C35:C45)</f>
        <v>457659000</v>
      </c>
      <c r="D34" s="503">
        <f>'1.1.sz.mell. '!C34</f>
        <v>448324678</v>
      </c>
    </row>
    <row r="35" spans="1:4" s="432" customFormat="1" ht="12" customHeight="1">
      <c r="A35" s="14" t="s">
        <v>94</v>
      </c>
      <c r="B35" s="204" t="s">
        <v>223</v>
      </c>
      <c r="C35" s="578">
        <v>13400000</v>
      </c>
      <c r="D35" s="556">
        <f>'1.1.sz.mell. '!C35</f>
        <v>13087000</v>
      </c>
    </row>
    <row r="36" spans="1:4" s="432" customFormat="1" ht="12" customHeight="1">
      <c r="A36" s="13" t="s">
        <v>95</v>
      </c>
      <c r="B36" s="205" t="s">
        <v>224</v>
      </c>
      <c r="C36" s="577">
        <v>98371000</v>
      </c>
      <c r="D36" s="557">
        <f>'1.1.sz.mell. '!C36</f>
        <v>87991338</v>
      </c>
    </row>
    <row r="37" spans="1:4" s="432" customFormat="1" ht="12" customHeight="1">
      <c r="A37" s="13" t="s">
        <v>96</v>
      </c>
      <c r="B37" s="205" t="s">
        <v>225</v>
      </c>
      <c r="C37" s="577">
        <v>95710000</v>
      </c>
      <c r="D37" s="557">
        <f>'1.1.sz.mell. '!C37</f>
        <v>95623340</v>
      </c>
    </row>
    <row r="38" spans="1:4" s="432" customFormat="1" ht="12" customHeight="1">
      <c r="A38" s="13" t="s">
        <v>141</v>
      </c>
      <c r="B38" s="205" t="s">
        <v>226</v>
      </c>
      <c r="C38" s="577">
        <v>376000</v>
      </c>
      <c r="D38" s="557">
        <f>'1.1.sz.mell. '!C38</f>
        <v>430000</v>
      </c>
    </row>
    <row r="39" spans="1:4" s="432" customFormat="1" ht="12" customHeight="1">
      <c r="A39" s="13" t="s">
        <v>142</v>
      </c>
      <c r="B39" s="205" t="s">
        <v>227</v>
      </c>
      <c r="C39" s="577">
        <v>182275000</v>
      </c>
      <c r="D39" s="557">
        <f>'1.1.sz.mell. '!C39</f>
        <v>182811402</v>
      </c>
    </row>
    <row r="40" spans="1:4" s="432" customFormat="1" ht="12" customHeight="1">
      <c r="A40" s="13" t="s">
        <v>143</v>
      </c>
      <c r="B40" s="205" t="s">
        <v>228</v>
      </c>
      <c r="C40" s="577">
        <v>43482000</v>
      </c>
      <c r="D40" s="557">
        <f>'1.1.sz.mell. '!C40</f>
        <v>46003598</v>
      </c>
    </row>
    <row r="41" spans="1:4" s="432" customFormat="1" ht="12" customHeight="1">
      <c r="A41" s="13" t="s">
        <v>144</v>
      </c>
      <c r="B41" s="205" t="s">
        <v>229</v>
      </c>
      <c r="C41" s="577">
        <v>22424000</v>
      </c>
      <c r="D41" s="557">
        <f>'1.1.sz.mell. '!C41</f>
        <v>21034000</v>
      </c>
    </row>
    <row r="42" spans="1:4" s="432" customFormat="1" ht="12" customHeight="1">
      <c r="A42" s="13" t="s">
        <v>145</v>
      </c>
      <c r="B42" s="205" t="s">
        <v>522</v>
      </c>
      <c r="C42" s="577">
        <v>21000</v>
      </c>
      <c r="D42" s="557">
        <f>'1.1.sz.mell. '!C42</f>
        <v>40000</v>
      </c>
    </row>
    <row r="43" spans="1:4" s="432" customFormat="1" ht="12" customHeight="1">
      <c r="A43" s="13" t="s">
        <v>221</v>
      </c>
      <c r="B43" s="205" t="s">
        <v>231</v>
      </c>
      <c r="C43" s="586"/>
      <c r="D43" s="557">
        <f>'1.1.sz.mell. '!C43</f>
        <v>0</v>
      </c>
    </row>
    <row r="44" spans="1:4" s="432" customFormat="1" ht="12" customHeight="1">
      <c r="A44" s="15" t="s">
        <v>222</v>
      </c>
      <c r="B44" s="206" t="s">
        <v>423</v>
      </c>
      <c r="C44" s="587">
        <v>500000</v>
      </c>
      <c r="D44" s="557">
        <f>'1.1.sz.mell. '!C44</f>
        <v>500000</v>
      </c>
    </row>
    <row r="45" spans="1:4" s="432" customFormat="1" ht="12" customHeight="1" thickBot="1">
      <c r="A45" s="15" t="s">
        <v>424</v>
      </c>
      <c r="B45" s="126" t="s">
        <v>232</v>
      </c>
      <c r="C45" s="587">
        <v>1100000</v>
      </c>
      <c r="D45" s="558">
        <f>'1.1.sz.mell. '!C45</f>
        <v>804000</v>
      </c>
    </row>
    <row r="46" spans="1:4" s="432" customFormat="1" ht="12" customHeight="1" thickBot="1">
      <c r="A46" s="19" t="s">
        <v>33</v>
      </c>
      <c r="B46" s="20" t="s">
        <v>233</v>
      </c>
      <c r="C46" s="584">
        <f>SUM(C47:C51)</f>
        <v>36253000</v>
      </c>
      <c r="D46" s="503">
        <f>'1.1.sz.mell. '!C46</f>
        <v>47179000</v>
      </c>
    </row>
    <row r="47" spans="1:4" s="432" customFormat="1" ht="12" customHeight="1">
      <c r="A47" s="14" t="s">
        <v>97</v>
      </c>
      <c r="B47" s="204" t="s">
        <v>237</v>
      </c>
      <c r="C47" s="588"/>
      <c r="D47" s="594">
        <f>'1.1.sz.mell. '!C47</f>
        <v>0</v>
      </c>
    </row>
    <row r="48" spans="1:4" s="432" customFormat="1" ht="12" customHeight="1">
      <c r="A48" s="13" t="s">
        <v>98</v>
      </c>
      <c r="B48" s="205" t="s">
        <v>238</v>
      </c>
      <c r="C48" s="586">
        <v>36043000</v>
      </c>
      <c r="D48" s="557">
        <f>'1.1.sz.mell. '!C48</f>
        <v>47179000</v>
      </c>
    </row>
    <row r="49" spans="1:4" s="432" customFormat="1" ht="12" customHeight="1">
      <c r="A49" s="13" t="s">
        <v>234</v>
      </c>
      <c r="B49" s="205" t="s">
        <v>239</v>
      </c>
      <c r="C49" s="586">
        <v>210000</v>
      </c>
      <c r="D49" s="595">
        <f>'1.1.sz.mell. '!C49</f>
        <v>0</v>
      </c>
    </row>
    <row r="50" spans="1:4" s="432" customFormat="1" ht="12" customHeight="1">
      <c r="A50" s="13" t="s">
        <v>235</v>
      </c>
      <c r="B50" s="205" t="s">
        <v>240</v>
      </c>
      <c r="C50" s="586"/>
      <c r="D50" s="595">
        <f>'1.1.sz.mell. '!C50</f>
        <v>0</v>
      </c>
    </row>
    <row r="51" spans="1:4" s="432" customFormat="1" ht="12" customHeight="1" thickBot="1">
      <c r="A51" s="15" t="s">
        <v>236</v>
      </c>
      <c r="B51" s="126" t="s">
        <v>241</v>
      </c>
      <c r="C51" s="587"/>
      <c r="D51" s="596">
        <f>'1.1.sz.mell. '!C51</f>
        <v>0</v>
      </c>
    </row>
    <row r="52" spans="1:4" s="432" customFormat="1" ht="12" customHeight="1" thickBot="1">
      <c r="A52" s="19" t="s">
        <v>146</v>
      </c>
      <c r="B52" s="20" t="s">
        <v>242</v>
      </c>
      <c r="C52" s="584">
        <f>SUM(C53:C55)</f>
        <v>17053000</v>
      </c>
      <c r="D52" s="503">
        <f>'1.1.sz.mell. '!C52</f>
        <v>6024000</v>
      </c>
    </row>
    <row r="53" spans="1:4" s="432" customFormat="1" ht="12" customHeight="1">
      <c r="A53" s="14" t="s">
        <v>99</v>
      </c>
      <c r="B53" s="204" t="s">
        <v>243</v>
      </c>
      <c r="C53" s="578"/>
      <c r="D53" s="594">
        <f>'1.1.sz.mell. '!C53</f>
        <v>0</v>
      </c>
    </row>
    <row r="54" spans="1:4" s="432" customFormat="1" ht="12" customHeight="1">
      <c r="A54" s="13" t="s">
        <v>100</v>
      </c>
      <c r="B54" s="205" t="s">
        <v>356</v>
      </c>
      <c r="C54" s="577">
        <v>3366000</v>
      </c>
      <c r="D54" s="557">
        <f>'1.1.sz.mell. '!C54</f>
        <v>1949000</v>
      </c>
    </row>
    <row r="55" spans="1:4" s="432" customFormat="1" ht="12" customHeight="1">
      <c r="A55" s="13" t="s">
        <v>246</v>
      </c>
      <c r="B55" s="205" t="s">
        <v>244</v>
      </c>
      <c r="C55" s="577">
        <v>13687000</v>
      </c>
      <c r="D55" s="557">
        <f>'1.1.sz.mell. '!C55</f>
        <v>4075000</v>
      </c>
    </row>
    <row r="56" spans="1:4" s="432" customFormat="1" ht="12" customHeight="1" thickBot="1">
      <c r="A56" s="15" t="s">
        <v>247</v>
      </c>
      <c r="B56" s="126" t="s">
        <v>245</v>
      </c>
      <c r="C56" s="579"/>
      <c r="D56" s="596">
        <f>'1.1.sz.mell. '!C56</f>
        <v>0</v>
      </c>
    </row>
    <row r="57" spans="1:4" s="432" customFormat="1" ht="12" customHeight="1" thickBot="1">
      <c r="A57" s="19" t="s">
        <v>35</v>
      </c>
      <c r="B57" s="124" t="s">
        <v>248</v>
      </c>
      <c r="C57" s="584">
        <f>SUM(C58:C60)</f>
        <v>4228000</v>
      </c>
      <c r="D57" s="503">
        <f>'1.1.sz.mell. '!C57</f>
        <v>0</v>
      </c>
    </row>
    <row r="58" spans="1:4" s="432" customFormat="1" ht="12" customHeight="1">
      <c r="A58" s="14" t="s">
        <v>147</v>
      </c>
      <c r="B58" s="204" t="s">
        <v>250</v>
      </c>
      <c r="C58" s="586"/>
      <c r="D58" s="594">
        <f>'1.1.sz.mell. '!C58</f>
        <v>0</v>
      </c>
    </row>
    <row r="59" spans="1:4" s="432" customFormat="1" ht="12" customHeight="1">
      <c r="A59" s="13" t="s">
        <v>148</v>
      </c>
      <c r="B59" s="205" t="s">
        <v>357</v>
      </c>
      <c r="C59" s="586"/>
      <c r="D59" s="595">
        <f>'1.1.sz.mell. '!C59</f>
        <v>0</v>
      </c>
    </row>
    <row r="60" spans="1:4" s="432" customFormat="1" ht="12" customHeight="1">
      <c r="A60" s="13" t="s">
        <v>172</v>
      </c>
      <c r="B60" s="205" t="s">
        <v>251</v>
      </c>
      <c r="C60" s="586">
        <v>4228000</v>
      </c>
      <c r="D60" s="595">
        <f>'1.1.sz.mell. '!C60</f>
        <v>0</v>
      </c>
    </row>
    <row r="61" spans="1:4" s="432" customFormat="1" ht="12" customHeight="1" thickBot="1">
      <c r="A61" s="15" t="s">
        <v>249</v>
      </c>
      <c r="B61" s="126" t="s">
        <v>252</v>
      </c>
      <c r="C61" s="586"/>
      <c r="D61" s="596">
        <f>'1.1.sz.mell. '!C61</f>
        <v>0</v>
      </c>
    </row>
    <row r="62" spans="1:4" s="432" customFormat="1" ht="12" customHeight="1" thickBot="1">
      <c r="A62" s="369" t="s">
        <v>425</v>
      </c>
      <c r="B62" s="20" t="s">
        <v>253</v>
      </c>
      <c r="C62" s="585">
        <f>+C5+C12+C19+C26+C34+C46+C52+C57</f>
        <v>2753207000</v>
      </c>
      <c r="D62" s="503">
        <f>'1.1.sz.mell. '!C62</f>
        <v>2619682554</v>
      </c>
    </row>
    <row r="63" spans="1:4" s="432" customFormat="1" ht="12" customHeight="1" thickBot="1">
      <c r="A63" s="370" t="s">
        <v>254</v>
      </c>
      <c r="B63" s="124" t="s">
        <v>523</v>
      </c>
      <c r="C63" s="584">
        <f>SUM(C64:C66)</f>
        <v>160303000</v>
      </c>
      <c r="D63" s="503">
        <f>'1.1.sz.mell. '!C63</f>
        <v>144100000</v>
      </c>
    </row>
    <row r="64" spans="1:4" s="432" customFormat="1" ht="12" customHeight="1">
      <c r="A64" s="14" t="s">
        <v>286</v>
      </c>
      <c r="B64" s="204" t="s">
        <v>256</v>
      </c>
      <c r="C64" s="586">
        <v>60303000</v>
      </c>
      <c r="D64" s="556">
        <f>'1.1.sz.mell. '!C64</f>
        <v>44100000</v>
      </c>
    </row>
    <row r="65" spans="1:4" s="432" customFormat="1" ht="12" customHeight="1">
      <c r="A65" s="13" t="s">
        <v>295</v>
      </c>
      <c r="B65" s="205" t="s">
        <v>257</v>
      </c>
      <c r="C65" s="586">
        <v>100000000</v>
      </c>
      <c r="D65" s="557">
        <f>'1.1.sz.mell. '!C65</f>
        <v>100000000</v>
      </c>
    </row>
    <row r="66" spans="1:4" s="432" customFormat="1" ht="12" customHeight="1" thickBot="1">
      <c r="A66" s="15" t="s">
        <v>296</v>
      </c>
      <c r="B66" s="371" t="s">
        <v>426</v>
      </c>
      <c r="C66" s="586"/>
      <c r="D66" s="596">
        <f>'1.1.sz.mell. '!C66</f>
        <v>0</v>
      </c>
    </row>
    <row r="67" spans="1:4" s="432" customFormat="1" ht="12" customHeight="1" thickBot="1">
      <c r="A67" s="370" t="s">
        <v>259</v>
      </c>
      <c r="B67" s="124" t="s">
        <v>260</v>
      </c>
      <c r="C67" s="584">
        <f>SUM(C68:C71)</f>
        <v>0</v>
      </c>
      <c r="D67" s="503">
        <f>'1.1.sz.mell. '!C67</f>
        <v>0</v>
      </c>
    </row>
    <row r="68" spans="1:4" s="432" customFormat="1" ht="12" customHeight="1">
      <c r="A68" s="14" t="s">
        <v>126</v>
      </c>
      <c r="B68" s="204" t="s">
        <v>261</v>
      </c>
      <c r="C68" s="586"/>
      <c r="D68" s="594">
        <f>'1.1.sz.mell. '!C68</f>
        <v>0</v>
      </c>
    </row>
    <row r="69" spans="1:4" s="432" customFormat="1" ht="17.25" customHeight="1">
      <c r="A69" s="13" t="s">
        <v>127</v>
      </c>
      <c r="B69" s="205" t="s">
        <v>262</v>
      </c>
      <c r="C69" s="586"/>
      <c r="D69" s="595">
        <f>'1.1.sz.mell. '!C69</f>
        <v>0</v>
      </c>
    </row>
    <row r="70" spans="1:4" s="432" customFormat="1" ht="12" customHeight="1">
      <c r="A70" s="13" t="s">
        <v>287</v>
      </c>
      <c r="B70" s="205" t="s">
        <v>263</v>
      </c>
      <c r="C70" s="586"/>
      <c r="D70" s="595">
        <f>'1.1.sz.mell. '!C70</f>
        <v>0</v>
      </c>
    </row>
    <row r="71" spans="1:4" s="432" customFormat="1" ht="12" customHeight="1" thickBot="1">
      <c r="A71" s="15" t="s">
        <v>288</v>
      </c>
      <c r="B71" s="126" t="s">
        <v>264</v>
      </c>
      <c r="C71" s="586"/>
      <c r="D71" s="596">
        <f>'1.1.sz.mell. '!C71</f>
        <v>0</v>
      </c>
    </row>
    <row r="72" spans="1:4" s="432" customFormat="1" ht="12" customHeight="1" thickBot="1">
      <c r="A72" s="370" t="s">
        <v>265</v>
      </c>
      <c r="B72" s="124" t="s">
        <v>266</v>
      </c>
      <c r="C72" s="584">
        <f>SUM(C73:C74)</f>
        <v>264948000</v>
      </c>
      <c r="D72" s="503">
        <f>'1.1.sz.mell. '!C72</f>
        <v>292999415</v>
      </c>
    </row>
    <row r="73" spans="1:4" s="432" customFormat="1" ht="12" customHeight="1">
      <c r="A73" s="14" t="s">
        <v>289</v>
      </c>
      <c r="B73" s="204" t="s">
        <v>267</v>
      </c>
      <c r="C73" s="586">
        <v>264948000</v>
      </c>
      <c r="D73" s="556">
        <f>'1.1.sz.mell. '!C73</f>
        <v>292999415</v>
      </c>
    </row>
    <row r="74" spans="1:4" s="432" customFormat="1" ht="12" customHeight="1" thickBot="1">
      <c r="A74" s="15" t="s">
        <v>290</v>
      </c>
      <c r="B74" s="126" t="s">
        <v>268</v>
      </c>
      <c r="C74" s="586"/>
      <c r="D74" s="596">
        <f>'1.1.sz.mell. '!C74</f>
        <v>0</v>
      </c>
    </row>
    <row r="75" spans="1:4" s="432" customFormat="1" ht="12" customHeight="1" thickBot="1">
      <c r="A75" s="370" t="s">
        <v>269</v>
      </c>
      <c r="B75" s="124" t="s">
        <v>270</v>
      </c>
      <c r="C75" s="584">
        <f>SUM(C76:C78)</f>
        <v>0</v>
      </c>
      <c r="D75" s="503">
        <f>'1.1.sz.mell. '!C75</f>
        <v>0</v>
      </c>
    </row>
    <row r="76" spans="1:4" s="432" customFormat="1" ht="12" customHeight="1">
      <c r="A76" s="14" t="s">
        <v>291</v>
      </c>
      <c r="B76" s="204" t="s">
        <v>271</v>
      </c>
      <c r="C76" s="586"/>
      <c r="D76" s="594">
        <f>'1.1.sz.mell. '!C76</f>
        <v>0</v>
      </c>
    </row>
    <row r="77" spans="1:4" s="432" customFormat="1" ht="12" customHeight="1">
      <c r="A77" s="13" t="s">
        <v>292</v>
      </c>
      <c r="B77" s="205" t="s">
        <v>272</v>
      </c>
      <c r="C77" s="586"/>
      <c r="D77" s="595">
        <f>'1.1.sz.mell. '!C77</f>
        <v>0</v>
      </c>
    </row>
    <row r="78" spans="1:4" s="432" customFormat="1" ht="12" customHeight="1" thickBot="1">
      <c r="A78" s="15" t="s">
        <v>293</v>
      </c>
      <c r="B78" s="126" t="s">
        <v>273</v>
      </c>
      <c r="C78" s="586"/>
      <c r="D78" s="596">
        <f>'1.1.sz.mell. '!C78</f>
        <v>0</v>
      </c>
    </row>
    <row r="79" spans="1:4" s="432" customFormat="1" ht="12" customHeight="1" thickBot="1">
      <c r="A79" s="370" t="s">
        <v>274</v>
      </c>
      <c r="B79" s="124" t="s">
        <v>294</v>
      </c>
      <c r="C79" s="584">
        <f>SUM(C80:C83)</f>
        <v>0</v>
      </c>
      <c r="D79" s="503">
        <f>'1.1.sz.mell. '!C79</f>
        <v>0</v>
      </c>
    </row>
    <row r="80" spans="1:4" s="432" customFormat="1" ht="12" customHeight="1">
      <c r="A80" s="208" t="s">
        <v>275</v>
      </c>
      <c r="B80" s="204" t="s">
        <v>276</v>
      </c>
      <c r="C80" s="586"/>
      <c r="D80" s="594">
        <f>'1.1.sz.mell. '!C80</f>
        <v>0</v>
      </c>
    </row>
    <row r="81" spans="1:4" s="432" customFormat="1" ht="12" customHeight="1">
      <c r="A81" s="209" t="s">
        <v>277</v>
      </c>
      <c r="B81" s="205" t="s">
        <v>278</v>
      </c>
      <c r="C81" s="586"/>
      <c r="D81" s="595">
        <f>'1.1.sz.mell. '!C81</f>
        <v>0</v>
      </c>
    </row>
    <row r="82" spans="1:4" s="432" customFormat="1" ht="12" customHeight="1">
      <c r="A82" s="209" t="s">
        <v>279</v>
      </c>
      <c r="B82" s="205" t="s">
        <v>280</v>
      </c>
      <c r="C82" s="586"/>
      <c r="D82" s="595">
        <f>'1.1.sz.mell. '!C82</f>
        <v>0</v>
      </c>
    </row>
    <row r="83" spans="1:4" s="432" customFormat="1" ht="12" customHeight="1" thickBot="1">
      <c r="A83" s="210" t="s">
        <v>281</v>
      </c>
      <c r="B83" s="126" t="s">
        <v>282</v>
      </c>
      <c r="C83" s="586"/>
      <c r="D83" s="596">
        <f>'1.1.sz.mell. '!C83</f>
        <v>0</v>
      </c>
    </row>
    <row r="84" spans="1:4" s="432" customFormat="1" ht="12" customHeight="1" thickBot="1">
      <c r="A84" s="370" t="s">
        <v>283</v>
      </c>
      <c r="B84" s="124" t="s">
        <v>427</v>
      </c>
      <c r="C84" s="589"/>
      <c r="D84" s="503">
        <f>'1.1.sz.mell. '!C84</f>
        <v>0</v>
      </c>
    </row>
    <row r="85" spans="1:4" s="432" customFormat="1" ht="12" customHeight="1" thickBot="1">
      <c r="A85" s="370" t="s">
        <v>285</v>
      </c>
      <c r="B85" s="124" t="s">
        <v>284</v>
      </c>
      <c r="C85" s="589"/>
      <c r="D85" s="503">
        <f>'1.1.sz.mell. '!C85</f>
        <v>0</v>
      </c>
    </row>
    <row r="86" spans="1:4" s="432" customFormat="1" ht="12" customHeight="1" thickBot="1">
      <c r="A86" s="370" t="s">
        <v>297</v>
      </c>
      <c r="B86" s="211" t="s">
        <v>428</v>
      </c>
      <c r="C86" s="585">
        <f>+C63+C67+C72+C75+C79+C85+C84</f>
        <v>425251000</v>
      </c>
      <c r="D86" s="503">
        <f>'1.1.sz.mell. '!C86</f>
        <v>437099415</v>
      </c>
    </row>
    <row r="87" spans="1:4" s="432" customFormat="1" ht="12" customHeight="1" thickBot="1">
      <c r="A87" s="372" t="s">
        <v>429</v>
      </c>
      <c r="B87" s="212" t="s">
        <v>430</v>
      </c>
      <c r="C87" s="585">
        <f>+C62+C86</f>
        <v>3178458000</v>
      </c>
      <c r="D87" s="503">
        <f>'1.1.sz.mell. '!C87</f>
        <v>3056781969</v>
      </c>
    </row>
    <row r="88" spans="1:4" s="432" customFormat="1" ht="12" customHeight="1">
      <c r="A88" s="440"/>
      <c r="B88" s="441"/>
      <c r="C88" s="442"/>
      <c r="D88" s="437"/>
    </row>
    <row r="89" spans="1:4" s="432" customFormat="1" ht="12" customHeight="1">
      <c r="A89" s="598" t="s">
        <v>56</v>
      </c>
      <c r="B89" s="598"/>
      <c r="C89" s="598"/>
      <c r="D89" s="598"/>
    </row>
    <row r="90" spans="1:4" s="432" customFormat="1" ht="12" customHeight="1" thickBot="1">
      <c r="A90" s="599" t="s">
        <v>129</v>
      </c>
      <c r="B90" s="599"/>
      <c r="C90" s="423"/>
      <c r="D90" s="138" t="str">
        <f>D2</f>
        <v>Forintban!</v>
      </c>
    </row>
    <row r="91" spans="1:4" s="432" customFormat="1" ht="24" customHeight="1" thickBot="1">
      <c r="A91" s="22" t="s">
        <v>26</v>
      </c>
      <c r="B91" s="23" t="s">
        <v>57</v>
      </c>
      <c r="C91" s="23" t="str">
        <f>+C3</f>
        <v>2016. évi módosított előirányzat</v>
      </c>
      <c r="D91" s="427" t="str">
        <f>+D3</f>
        <v>2017. évi előirányzat</v>
      </c>
    </row>
    <row r="92" spans="1:4" s="432" customFormat="1" ht="12" customHeight="1" thickBot="1">
      <c r="A92" s="27" t="s">
        <v>414</v>
      </c>
      <c r="B92" s="28" t="s">
        <v>415</v>
      </c>
      <c r="C92" s="28" t="s">
        <v>469</v>
      </c>
      <c r="D92" s="428" t="s">
        <v>470</v>
      </c>
    </row>
    <row r="93" spans="1:4" s="432" customFormat="1" ht="15" customHeight="1" thickBot="1">
      <c r="A93" s="21" t="s">
        <v>28</v>
      </c>
      <c r="B93" s="26" t="s">
        <v>468</v>
      </c>
      <c r="C93" s="443">
        <f>C94+C95+C96+C97+C98+C111</f>
        <v>2906143000</v>
      </c>
      <c r="D93" s="506">
        <f>'1.1.sz.mell. '!C93</f>
        <v>2723116601</v>
      </c>
    </row>
    <row r="94" spans="1:4" s="432" customFormat="1" ht="12.75" customHeight="1">
      <c r="A94" s="16" t="s">
        <v>101</v>
      </c>
      <c r="B94" s="9" t="s">
        <v>58</v>
      </c>
      <c r="C94" s="580">
        <v>1371432000</v>
      </c>
      <c r="D94" s="559">
        <f>'1.1.sz.mell. '!C94</f>
        <v>1316908447</v>
      </c>
    </row>
    <row r="95" spans="1:4" ht="16.5" customHeight="1">
      <c r="A95" s="13" t="s">
        <v>102</v>
      </c>
      <c r="B95" s="7" t="s">
        <v>149</v>
      </c>
      <c r="C95" s="577">
        <v>295923000</v>
      </c>
      <c r="D95" s="560">
        <f>'1.1.sz.mell. '!C95</f>
        <v>248985331</v>
      </c>
    </row>
    <row r="96" spans="1:4" ht="15.75">
      <c r="A96" s="13" t="s">
        <v>103</v>
      </c>
      <c r="B96" s="7" t="s">
        <v>124</v>
      </c>
      <c r="C96" s="579">
        <v>893999000</v>
      </c>
      <c r="D96" s="560">
        <f>'1.1.sz.mell. '!C96</f>
        <v>917898266</v>
      </c>
    </row>
    <row r="97" spans="1:4" s="429" customFormat="1" ht="12" customHeight="1">
      <c r="A97" s="13" t="s">
        <v>104</v>
      </c>
      <c r="B97" s="10" t="s">
        <v>150</v>
      </c>
      <c r="C97" s="579">
        <v>76171000</v>
      </c>
      <c r="D97" s="560">
        <f>'1.1.sz.mell. '!C97</f>
        <v>95230000</v>
      </c>
    </row>
    <row r="98" spans="1:4" ht="12" customHeight="1">
      <c r="A98" s="13" t="s">
        <v>115</v>
      </c>
      <c r="B98" s="18" t="s">
        <v>151</v>
      </c>
      <c r="C98" s="579">
        <v>183928000</v>
      </c>
      <c r="D98" s="560">
        <f>'1.1.sz.mell. '!C98</f>
        <v>40666500</v>
      </c>
    </row>
    <row r="99" spans="1:4" ht="12" customHeight="1">
      <c r="A99" s="13" t="s">
        <v>105</v>
      </c>
      <c r="B99" s="7" t="s">
        <v>431</v>
      </c>
      <c r="C99" s="579">
        <v>6599000</v>
      </c>
      <c r="D99" s="560">
        <f>'1.1.sz.mell. '!C99</f>
        <v>1500</v>
      </c>
    </row>
    <row r="100" spans="1:4" ht="12" customHeight="1">
      <c r="A100" s="13" t="s">
        <v>106</v>
      </c>
      <c r="B100" s="82" t="s">
        <v>432</v>
      </c>
      <c r="C100" s="579"/>
      <c r="D100" s="560">
        <f>'1.1.sz.mell. '!C100</f>
        <v>0</v>
      </c>
    </row>
    <row r="101" spans="1:4" ht="12" customHeight="1">
      <c r="A101" s="13" t="s">
        <v>116</v>
      </c>
      <c r="B101" s="82" t="s">
        <v>433</v>
      </c>
      <c r="C101" s="579"/>
      <c r="D101" s="560">
        <f>'1.1.sz.mell. '!C101</f>
        <v>0</v>
      </c>
    </row>
    <row r="102" spans="1:4" ht="12" customHeight="1">
      <c r="A102" s="13" t="s">
        <v>117</v>
      </c>
      <c r="B102" s="80" t="s">
        <v>300</v>
      </c>
      <c r="C102" s="579"/>
      <c r="D102" s="560">
        <f>'1.1.sz.mell. '!C102</f>
        <v>0</v>
      </c>
    </row>
    <row r="103" spans="1:4" ht="12" customHeight="1">
      <c r="A103" s="13" t="s">
        <v>118</v>
      </c>
      <c r="B103" s="81" t="s">
        <v>301</v>
      </c>
      <c r="C103" s="579"/>
      <c r="D103" s="560">
        <f>'1.1.sz.mell. '!C103</f>
        <v>0</v>
      </c>
    </row>
    <row r="104" spans="1:4" ht="12" customHeight="1">
      <c r="A104" s="13" t="s">
        <v>119</v>
      </c>
      <c r="B104" s="81" t="s">
        <v>302</v>
      </c>
      <c r="C104" s="579"/>
      <c r="D104" s="560">
        <f>'1.1.sz.mell. '!C104</f>
        <v>0</v>
      </c>
    </row>
    <row r="105" spans="1:4" ht="12" customHeight="1">
      <c r="A105" s="13" t="s">
        <v>121</v>
      </c>
      <c r="B105" s="80" t="s">
        <v>303</v>
      </c>
      <c r="C105" s="579">
        <v>113427000</v>
      </c>
      <c r="D105" s="560">
        <f>'1.1.sz.mell. '!C105</f>
        <v>0</v>
      </c>
    </row>
    <row r="106" spans="1:4" ht="12" customHeight="1">
      <c r="A106" s="13" t="s">
        <v>152</v>
      </c>
      <c r="B106" s="80" t="s">
        <v>304</v>
      </c>
      <c r="C106" s="579"/>
      <c r="D106" s="560">
        <f>'1.1.sz.mell. '!C106</f>
        <v>0</v>
      </c>
    </row>
    <row r="107" spans="1:4" ht="12" customHeight="1">
      <c r="A107" s="13" t="s">
        <v>298</v>
      </c>
      <c r="B107" s="81" t="s">
        <v>305</v>
      </c>
      <c r="C107" s="579"/>
      <c r="D107" s="560">
        <f>'1.1.sz.mell. '!C107</f>
        <v>0</v>
      </c>
    </row>
    <row r="108" spans="1:4" ht="12" customHeight="1">
      <c r="A108" s="12" t="s">
        <v>299</v>
      </c>
      <c r="B108" s="82" t="s">
        <v>306</v>
      </c>
      <c r="C108" s="579"/>
      <c r="D108" s="560">
        <f>'1.1.sz.mell. '!C108</f>
        <v>0</v>
      </c>
    </row>
    <row r="109" spans="1:4" ht="12" customHeight="1">
      <c r="A109" s="13" t="s">
        <v>434</v>
      </c>
      <c r="B109" s="82" t="s">
        <v>307</v>
      </c>
      <c r="C109" s="579"/>
      <c r="D109" s="560">
        <f>'1.1.sz.mell. '!C109</f>
        <v>0</v>
      </c>
    </row>
    <row r="110" spans="1:4" ht="12" customHeight="1">
      <c r="A110" s="15" t="s">
        <v>435</v>
      </c>
      <c r="B110" s="82" t="s">
        <v>308</v>
      </c>
      <c r="C110" s="579">
        <v>63902000</v>
      </c>
      <c r="D110" s="560">
        <f>'1.1.sz.mell. '!C110</f>
        <v>40665000</v>
      </c>
    </row>
    <row r="111" spans="1:4" ht="12" customHeight="1">
      <c r="A111" s="13" t="s">
        <v>436</v>
      </c>
      <c r="B111" s="10" t="s">
        <v>59</v>
      </c>
      <c r="C111" s="577">
        <v>84690000</v>
      </c>
      <c r="D111" s="560">
        <f>'1.1.sz.mell. '!C111</f>
        <v>103428057</v>
      </c>
    </row>
    <row r="112" spans="1:4" ht="12" customHeight="1">
      <c r="A112" s="13" t="s">
        <v>437</v>
      </c>
      <c r="B112" s="7" t="s">
        <v>438</v>
      </c>
      <c r="C112" s="577">
        <v>908000</v>
      </c>
      <c r="D112" s="560">
        <f>'1.1.sz.mell. '!C112</f>
        <v>10827687</v>
      </c>
    </row>
    <row r="113" spans="1:4" ht="12" customHeight="1" thickBot="1">
      <c r="A113" s="17" t="s">
        <v>439</v>
      </c>
      <c r="B113" s="373" t="s">
        <v>440</v>
      </c>
      <c r="C113" s="581">
        <v>83782000</v>
      </c>
      <c r="D113" s="561">
        <f>'1.1.sz.mell. '!C113</f>
        <v>92600370</v>
      </c>
    </row>
    <row r="114" spans="1:4" ht="12" customHeight="1" thickBot="1">
      <c r="A114" s="374" t="s">
        <v>29</v>
      </c>
      <c r="B114" s="375" t="s">
        <v>309</v>
      </c>
      <c r="C114" s="446">
        <f>+C115+C117+C119</f>
        <v>135468000</v>
      </c>
      <c r="D114" s="506">
        <f>'1.1.sz.mell. '!C114</f>
        <v>195339436</v>
      </c>
    </row>
    <row r="115" spans="1:4" ht="12" customHeight="1">
      <c r="A115" s="14" t="s">
        <v>107</v>
      </c>
      <c r="B115" s="7" t="s">
        <v>171</v>
      </c>
      <c r="C115" s="578">
        <v>78647000</v>
      </c>
      <c r="D115" s="559">
        <f>'1.1.sz.mell. '!C115</f>
        <v>63334533</v>
      </c>
    </row>
    <row r="116" spans="1:4" ht="15.75">
      <c r="A116" s="14" t="s">
        <v>108</v>
      </c>
      <c r="B116" s="11" t="s">
        <v>313</v>
      </c>
      <c r="C116" s="578"/>
      <c r="D116" s="560">
        <f>'1.1.sz.mell. '!C116</f>
        <v>14492698</v>
      </c>
    </row>
    <row r="117" spans="1:4" ht="12" customHeight="1">
      <c r="A117" s="14" t="s">
        <v>109</v>
      </c>
      <c r="B117" s="11" t="s">
        <v>153</v>
      </c>
      <c r="C117" s="577">
        <v>46476000</v>
      </c>
      <c r="D117" s="560">
        <f>'1.1.sz.mell. '!C117</f>
        <v>87532903</v>
      </c>
    </row>
    <row r="118" spans="1:4" ht="12" customHeight="1">
      <c r="A118" s="14" t="s">
        <v>110</v>
      </c>
      <c r="B118" s="11" t="s">
        <v>314</v>
      </c>
      <c r="C118" s="577"/>
      <c r="D118" s="560">
        <f>'1.1.sz.mell. '!C118</f>
        <v>53340000</v>
      </c>
    </row>
    <row r="119" spans="1:4" ht="12" customHeight="1">
      <c r="A119" s="14" t="s">
        <v>111</v>
      </c>
      <c r="B119" s="126" t="s">
        <v>173</v>
      </c>
      <c r="C119" s="577">
        <v>10345000</v>
      </c>
      <c r="D119" s="560">
        <f>'1.1.sz.mell. '!C119</f>
        <v>44472000</v>
      </c>
    </row>
    <row r="120" spans="1:4" ht="12" customHeight="1">
      <c r="A120" s="14" t="s">
        <v>120</v>
      </c>
      <c r="B120" s="125" t="s">
        <v>358</v>
      </c>
      <c r="C120" s="577"/>
      <c r="D120" s="560">
        <f>'1.1.sz.mell. '!C120</f>
        <v>0</v>
      </c>
    </row>
    <row r="121" spans="1:4" ht="12" customHeight="1">
      <c r="A121" s="14" t="s">
        <v>122</v>
      </c>
      <c r="B121" s="200" t="s">
        <v>319</v>
      </c>
      <c r="C121" s="577"/>
      <c r="D121" s="560">
        <f>'1.1.sz.mell. '!C121</f>
        <v>0</v>
      </c>
    </row>
    <row r="122" spans="1:4" ht="12" customHeight="1">
      <c r="A122" s="14" t="s">
        <v>154</v>
      </c>
      <c r="B122" s="81" t="s">
        <v>302</v>
      </c>
      <c r="C122" s="577"/>
      <c r="D122" s="560">
        <f>'1.1.sz.mell. '!C122</f>
        <v>0</v>
      </c>
    </row>
    <row r="123" spans="1:4" ht="12" customHeight="1">
      <c r="A123" s="14" t="s">
        <v>155</v>
      </c>
      <c r="B123" s="81" t="s">
        <v>318</v>
      </c>
      <c r="C123" s="577"/>
      <c r="D123" s="560">
        <f>'1.1.sz.mell. '!C123</f>
        <v>0</v>
      </c>
    </row>
    <row r="124" spans="1:4" ht="12" customHeight="1">
      <c r="A124" s="14" t="s">
        <v>156</v>
      </c>
      <c r="B124" s="81" t="s">
        <v>317</v>
      </c>
      <c r="C124" s="577"/>
      <c r="D124" s="560">
        <f>'1.1.sz.mell. '!C124</f>
        <v>0</v>
      </c>
    </row>
    <row r="125" spans="1:4" ht="12" customHeight="1">
      <c r="A125" s="14" t="s">
        <v>310</v>
      </c>
      <c r="B125" s="81" t="s">
        <v>305</v>
      </c>
      <c r="C125" s="577"/>
      <c r="D125" s="560">
        <f>'1.1.sz.mell. '!C125</f>
        <v>0</v>
      </c>
    </row>
    <row r="126" spans="1:4" ht="12" customHeight="1">
      <c r="A126" s="14" t="s">
        <v>311</v>
      </c>
      <c r="B126" s="81" t="s">
        <v>316</v>
      </c>
      <c r="C126" s="577"/>
      <c r="D126" s="560">
        <f>'1.1.sz.mell. '!C126</f>
        <v>0</v>
      </c>
    </row>
    <row r="127" spans="1:4" ht="12" customHeight="1" thickBot="1">
      <c r="A127" s="12" t="s">
        <v>312</v>
      </c>
      <c r="B127" s="81" t="s">
        <v>315</v>
      </c>
      <c r="C127" s="579">
        <v>10345000</v>
      </c>
      <c r="D127" s="561">
        <f>'1.1.sz.mell. '!C127</f>
        <v>44472000</v>
      </c>
    </row>
    <row r="128" spans="1:4" ht="12" customHeight="1" thickBot="1">
      <c r="A128" s="19" t="s">
        <v>30</v>
      </c>
      <c r="B128" s="77" t="s">
        <v>441</v>
      </c>
      <c r="C128" s="430">
        <f>+C93+C114</f>
        <v>3041611000</v>
      </c>
      <c r="D128" s="506">
        <f>'1.1.sz.mell. '!C128</f>
        <v>2918456037</v>
      </c>
    </row>
    <row r="129" spans="1:4" ht="12" customHeight="1" thickBot="1">
      <c r="A129" s="19" t="s">
        <v>31</v>
      </c>
      <c r="B129" s="77" t="s">
        <v>442</v>
      </c>
      <c r="C129" s="430">
        <f>+C130+C131+C132</f>
        <v>103545000</v>
      </c>
      <c r="D129" s="506">
        <f>'1.1.sz.mell. '!C129</f>
        <v>103161000</v>
      </c>
    </row>
    <row r="130" spans="1:4" ht="12" customHeight="1">
      <c r="A130" s="14" t="s">
        <v>210</v>
      </c>
      <c r="B130" s="11" t="s">
        <v>443</v>
      </c>
      <c r="C130" s="577">
        <v>3545000</v>
      </c>
      <c r="D130" s="559">
        <f>'1.1.sz.mell. '!C130</f>
        <v>3161000</v>
      </c>
    </row>
    <row r="131" spans="1:4" ht="12" customHeight="1">
      <c r="A131" s="14" t="s">
        <v>213</v>
      </c>
      <c r="B131" s="11" t="s">
        <v>444</v>
      </c>
      <c r="C131" s="577">
        <v>100000000</v>
      </c>
      <c r="D131" s="560">
        <f>'1.1.sz.mell. '!C131</f>
        <v>100000000</v>
      </c>
    </row>
    <row r="132" spans="1:4" ht="12" customHeight="1" thickBot="1">
      <c r="A132" s="12" t="s">
        <v>214</v>
      </c>
      <c r="B132" s="11" t="s">
        <v>445</v>
      </c>
      <c r="C132" s="577"/>
      <c r="D132" s="561">
        <f>'1.1.sz.mell. '!C132</f>
        <v>0</v>
      </c>
    </row>
    <row r="133" spans="1:4" ht="12" customHeight="1" thickBot="1">
      <c r="A133" s="19" t="s">
        <v>32</v>
      </c>
      <c r="B133" s="77" t="s">
        <v>446</v>
      </c>
      <c r="C133" s="430">
        <f>SUM(C134:C139)</f>
        <v>0</v>
      </c>
      <c r="D133" s="506">
        <f>'1.1.sz.mell. '!C133</f>
        <v>0</v>
      </c>
    </row>
    <row r="134" spans="1:4" ht="12" customHeight="1">
      <c r="A134" s="14" t="s">
        <v>94</v>
      </c>
      <c r="B134" s="8" t="s">
        <v>447</v>
      </c>
      <c r="C134" s="577"/>
      <c r="D134" s="559">
        <f>'1.1.sz.mell. '!C134</f>
        <v>0</v>
      </c>
    </row>
    <row r="135" spans="1:4" ht="12" customHeight="1">
      <c r="A135" s="14" t="s">
        <v>95</v>
      </c>
      <c r="B135" s="8" t="s">
        <v>448</v>
      </c>
      <c r="C135" s="577"/>
      <c r="D135" s="560">
        <f>'1.1.sz.mell. '!C135</f>
        <v>0</v>
      </c>
    </row>
    <row r="136" spans="1:4" ht="12" customHeight="1">
      <c r="A136" s="14" t="s">
        <v>96</v>
      </c>
      <c r="B136" s="8" t="s">
        <v>449</v>
      </c>
      <c r="C136" s="577"/>
      <c r="D136" s="560">
        <f>'1.1.sz.mell. '!C136</f>
        <v>0</v>
      </c>
    </row>
    <row r="137" spans="1:4" ht="12" customHeight="1">
      <c r="A137" s="14" t="s">
        <v>141</v>
      </c>
      <c r="B137" s="8" t="s">
        <v>450</v>
      </c>
      <c r="C137" s="577"/>
      <c r="D137" s="560">
        <f>'1.1.sz.mell. '!C137</f>
        <v>0</v>
      </c>
    </row>
    <row r="138" spans="1:4" ht="12" customHeight="1">
      <c r="A138" s="14" t="s">
        <v>142</v>
      </c>
      <c r="B138" s="8" t="s">
        <v>451</v>
      </c>
      <c r="C138" s="577"/>
      <c r="D138" s="560">
        <f>'1.1.sz.mell. '!C138</f>
        <v>0</v>
      </c>
    </row>
    <row r="139" spans="1:4" ht="12" customHeight="1" thickBot="1">
      <c r="A139" s="12" t="s">
        <v>143</v>
      </c>
      <c r="B139" s="8" t="s">
        <v>452</v>
      </c>
      <c r="C139" s="577"/>
      <c r="D139" s="561">
        <f>'1.1.sz.mell. '!C139</f>
        <v>0</v>
      </c>
    </row>
    <row r="140" spans="1:4" ht="12" customHeight="1" thickBot="1">
      <c r="A140" s="19" t="s">
        <v>33</v>
      </c>
      <c r="B140" s="77" t="s">
        <v>453</v>
      </c>
      <c r="C140" s="434">
        <f>+C141+C142+C143+C144</f>
        <v>33302000</v>
      </c>
      <c r="D140" s="506">
        <f>'1.1.sz.mell. '!C140</f>
        <v>35164932</v>
      </c>
    </row>
    <row r="141" spans="1:4" ht="12" customHeight="1">
      <c r="A141" s="14" t="s">
        <v>97</v>
      </c>
      <c r="B141" s="8" t="s">
        <v>320</v>
      </c>
      <c r="C141" s="577"/>
      <c r="D141" s="559">
        <f>'1.1.sz.mell. '!C141</f>
        <v>0</v>
      </c>
    </row>
    <row r="142" spans="1:4" ht="12" customHeight="1">
      <c r="A142" s="14" t="s">
        <v>98</v>
      </c>
      <c r="B142" s="8" t="s">
        <v>321</v>
      </c>
      <c r="C142" s="577">
        <v>33302000</v>
      </c>
      <c r="D142" s="560">
        <f>'1.1.sz.mell. '!C142</f>
        <v>35164932</v>
      </c>
    </row>
    <row r="143" spans="1:4" ht="12" customHeight="1">
      <c r="A143" s="14" t="s">
        <v>234</v>
      </c>
      <c r="B143" s="8" t="s">
        <v>454</v>
      </c>
      <c r="C143" s="577"/>
      <c r="D143" s="560">
        <f>'1.1.sz.mell. '!C143</f>
        <v>0</v>
      </c>
    </row>
    <row r="144" spans="1:4" ht="12" customHeight="1" thickBot="1">
      <c r="A144" s="12" t="s">
        <v>235</v>
      </c>
      <c r="B144" s="6" t="s">
        <v>339</v>
      </c>
      <c r="C144" s="577"/>
      <c r="D144" s="561">
        <f>'1.1.sz.mell. '!C144</f>
        <v>0</v>
      </c>
    </row>
    <row r="145" spans="1:4" ht="12" customHeight="1" thickBot="1">
      <c r="A145" s="19" t="s">
        <v>34</v>
      </c>
      <c r="B145" s="77" t="s">
        <v>455</v>
      </c>
      <c r="C145" s="447">
        <f>SUM(C146:C150)</f>
        <v>0</v>
      </c>
      <c r="D145" s="506">
        <f>'1.1.sz.mell. '!C145</f>
        <v>0</v>
      </c>
    </row>
    <row r="146" spans="1:4" ht="12" customHeight="1">
      <c r="A146" s="14" t="s">
        <v>99</v>
      </c>
      <c r="B146" s="8" t="s">
        <v>456</v>
      </c>
      <c r="C146" s="577"/>
      <c r="D146" s="559">
        <f>'1.1.sz.mell. '!C146</f>
        <v>0</v>
      </c>
    </row>
    <row r="147" spans="1:4" ht="12" customHeight="1">
      <c r="A147" s="14" t="s">
        <v>100</v>
      </c>
      <c r="B147" s="8" t="s">
        <v>457</v>
      </c>
      <c r="C147" s="577"/>
      <c r="D147" s="560">
        <f>'1.1.sz.mell. '!C147</f>
        <v>0</v>
      </c>
    </row>
    <row r="148" spans="1:4" ht="12" customHeight="1">
      <c r="A148" s="14" t="s">
        <v>246</v>
      </c>
      <c r="B148" s="8" t="s">
        <v>458</v>
      </c>
      <c r="C148" s="577"/>
      <c r="D148" s="560">
        <f>'1.1.sz.mell. '!C148</f>
        <v>0</v>
      </c>
    </row>
    <row r="149" spans="1:4" ht="12" customHeight="1">
      <c r="A149" s="14" t="s">
        <v>247</v>
      </c>
      <c r="B149" s="8" t="s">
        <v>459</v>
      </c>
      <c r="C149" s="577"/>
      <c r="D149" s="560">
        <f>'1.1.sz.mell. '!C149</f>
        <v>0</v>
      </c>
    </row>
    <row r="150" spans="1:4" ht="12" customHeight="1" thickBot="1">
      <c r="A150" s="14" t="s">
        <v>460</v>
      </c>
      <c r="B150" s="8" t="s">
        <v>461</v>
      </c>
      <c r="C150" s="577"/>
      <c r="D150" s="561">
        <f>'1.1.sz.mell. '!C150</f>
        <v>0</v>
      </c>
    </row>
    <row r="151" spans="1:4" ht="12" customHeight="1" thickBot="1">
      <c r="A151" s="19" t="s">
        <v>35</v>
      </c>
      <c r="B151" s="77" t="s">
        <v>462</v>
      </c>
      <c r="C151" s="449"/>
      <c r="D151" s="506">
        <f>'1.1.sz.mell. '!C151</f>
        <v>0</v>
      </c>
    </row>
    <row r="152" spans="1:4" ht="12" customHeight="1" thickBot="1">
      <c r="A152" s="19" t="s">
        <v>36</v>
      </c>
      <c r="B152" s="77" t="s">
        <v>463</v>
      </c>
      <c r="C152" s="449"/>
      <c r="D152" s="506">
        <f>'1.1.sz.mell. '!C152</f>
        <v>0</v>
      </c>
    </row>
    <row r="153" spans="1:4" ht="15" customHeight="1" thickBot="1">
      <c r="A153" s="19" t="s">
        <v>37</v>
      </c>
      <c r="B153" s="77" t="s">
        <v>464</v>
      </c>
      <c r="C153" s="450">
        <f>+C129+C133+C140+C145+C151+C152</f>
        <v>136847000</v>
      </c>
      <c r="D153" s="506">
        <f>'1.1.sz.mell. '!C153</f>
        <v>138325932</v>
      </c>
    </row>
    <row r="154" spans="1:4" s="432" customFormat="1" ht="12.75" customHeight="1" thickBot="1">
      <c r="A154" s="127" t="s">
        <v>38</v>
      </c>
      <c r="B154" s="189" t="s">
        <v>465</v>
      </c>
      <c r="C154" s="450">
        <f>+C128+C153</f>
        <v>3178458000</v>
      </c>
      <c r="D154" s="506">
        <f>'1.1.sz.mell. '!C154</f>
        <v>3056781969</v>
      </c>
    </row>
    <row r="158" ht="16.5" customHeight="1"/>
  </sheetData>
  <mergeCells count="4">
    <mergeCell ref="A1:D1"/>
    <mergeCell ref="A2:B2"/>
    <mergeCell ref="A89:D89"/>
    <mergeCell ref="A90:B90"/>
  </mergeCells>
  <printOptions/>
  <pageMargins left="0.75" right="0.75" top="1" bottom="1" header="0.5" footer="0.5"/>
  <pageSetup horizontalDpi="600" verticalDpi="600" orientation="portrait" paperSize="9" scale="82" r:id="rId1"/>
  <headerFooter alignWithMargins="0">
    <oddHeader>&amp;R13. melléklet a 12/2017.(IV.11.) önkormányzati rendelethez
TÁJÉKOZTATÓ TÁBLA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Munka134">
    <tabColor rgb="FF92D050"/>
  </sheetPr>
  <dimension ref="A1:P82"/>
  <sheetViews>
    <sheetView workbookViewId="0" topLeftCell="C4">
      <selection activeCell="L25" sqref="L25"/>
    </sheetView>
  </sheetViews>
  <sheetFormatPr defaultColWidth="9.00390625" defaultRowHeight="12.75"/>
  <cols>
    <col min="1" max="1" width="4.875" style="58" customWidth="1"/>
    <col min="2" max="2" width="31.125" style="71" customWidth="1"/>
    <col min="3" max="10" width="11.125" style="71" bestFit="1" customWidth="1"/>
    <col min="11" max="11" width="12.625" style="71" bestFit="1" customWidth="1"/>
    <col min="12" max="12" width="11.875" style="71" bestFit="1" customWidth="1"/>
    <col min="13" max="14" width="11.125" style="71" bestFit="1" customWidth="1"/>
    <col min="15" max="15" width="12.625" style="58" customWidth="1"/>
    <col min="16" max="16384" width="9.375" style="71" customWidth="1"/>
  </cols>
  <sheetData>
    <row r="1" spans="1:15" ht="31.5" customHeight="1">
      <c r="A1" s="618" t="s">
        <v>530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</row>
    <row r="2" ht="16.5" thickBot="1">
      <c r="O2" s="3" t="s">
        <v>535</v>
      </c>
    </row>
    <row r="3" spans="1:15" s="58" customFormat="1" ht="35.25" customHeight="1" thickBot="1">
      <c r="A3" s="55" t="s">
        <v>26</v>
      </c>
      <c r="B3" s="56" t="s">
        <v>69</v>
      </c>
      <c r="C3" s="56" t="s">
        <v>77</v>
      </c>
      <c r="D3" s="56" t="s">
        <v>78</v>
      </c>
      <c r="E3" s="56" t="s">
        <v>79</v>
      </c>
      <c r="F3" s="56" t="s">
        <v>80</v>
      </c>
      <c r="G3" s="56" t="s">
        <v>81</v>
      </c>
      <c r="H3" s="56" t="s">
        <v>82</v>
      </c>
      <c r="I3" s="56" t="s">
        <v>83</v>
      </c>
      <c r="J3" s="56" t="s">
        <v>84</v>
      </c>
      <c r="K3" s="56" t="s">
        <v>85</v>
      </c>
      <c r="L3" s="56" t="s">
        <v>86</v>
      </c>
      <c r="M3" s="56" t="s">
        <v>87</v>
      </c>
      <c r="N3" s="56" t="s">
        <v>88</v>
      </c>
      <c r="O3" s="57" t="s">
        <v>60</v>
      </c>
    </row>
    <row r="4" spans="1:15" s="60" customFormat="1" ht="15" customHeight="1" thickBot="1">
      <c r="A4" s="59" t="s">
        <v>28</v>
      </c>
      <c r="B4" s="615" t="s">
        <v>64</v>
      </c>
      <c r="C4" s="616"/>
      <c r="D4" s="616"/>
      <c r="E4" s="616"/>
      <c r="F4" s="616"/>
      <c r="G4" s="616"/>
      <c r="H4" s="616"/>
      <c r="I4" s="616"/>
      <c r="J4" s="616"/>
      <c r="K4" s="616"/>
      <c r="L4" s="616"/>
      <c r="M4" s="616"/>
      <c r="N4" s="616"/>
      <c r="O4" s="617"/>
    </row>
    <row r="5" spans="1:15" s="60" customFormat="1" ht="22.5">
      <c r="A5" s="61" t="s">
        <v>29</v>
      </c>
      <c r="B5" s="233" t="s">
        <v>323</v>
      </c>
      <c r="C5" s="393">
        <f>89000000-286000</f>
        <v>88714000</v>
      </c>
      <c r="D5" s="393">
        <f>89128000-280000</f>
        <v>88848000</v>
      </c>
      <c r="E5" s="393">
        <f>89000000-285000</f>
        <v>88715000</v>
      </c>
      <c r="F5" s="393">
        <f>89000000-285000</f>
        <v>88715000</v>
      </c>
      <c r="G5" s="393">
        <f>104000000-283192</f>
        <v>103716808</v>
      </c>
      <c r="H5" s="393">
        <f>109000000-283000</f>
        <v>108717000</v>
      </c>
      <c r="I5" s="393">
        <f>115000000-1280000</f>
        <v>113720000</v>
      </c>
      <c r="J5" s="393">
        <f>110000000-1280000</f>
        <v>108720000</v>
      </c>
      <c r="K5" s="393">
        <f>100000000-1280000</f>
        <v>98720000</v>
      </c>
      <c r="L5" s="393">
        <f>96000000-1280000</f>
        <v>94720000</v>
      </c>
      <c r="M5" s="393">
        <f>97000000-1280000</f>
        <v>95720000</v>
      </c>
      <c r="N5" s="393">
        <f>97215400-1280000</f>
        <v>95935400</v>
      </c>
      <c r="O5" s="394">
        <f aca="true" t="shared" si="0" ref="O5:O14">SUM(C5:N5)</f>
        <v>1174961208</v>
      </c>
    </row>
    <row r="6" spans="1:15" s="64" customFormat="1" ht="22.5">
      <c r="A6" s="62" t="s">
        <v>30</v>
      </c>
      <c r="B6" s="121" t="s">
        <v>349</v>
      </c>
      <c r="C6" s="362">
        <f>40000000+3000000</f>
        <v>43000000</v>
      </c>
      <c r="D6" s="362">
        <v>43000000</v>
      </c>
      <c r="E6" s="362">
        <f>38000000+40000000</f>
        <v>78000000</v>
      </c>
      <c r="F6" s="362">
        <f>30000000+40000000+362000+30000000</f>
        <v>100362000</v>
      </c>
      <c r="G6" s="362">
        <f>15000000+40000000+14906504</f>
        <v>69906504</v>
      </c>
      <c r="H6" s="362">
        <f>40000000+10000000</f>
        <v>50000000</v>
      </c>
      <c r="I6" s="362">
        <v>50000000</v>
      </c>
      <c r="J6" s="362">
        <v>60000000</v>
      </c>
      <c r="K6" s="362">
        <v>50000000</v>
      </c>
      <c r="L6" s="362">
        <v>46790588</v>
      </c>
      <c r="M6" s="362"/>
      <c r="N6" s="362">
        <v>13768000</v>
      </c>
      <c r="O6" s="395">
        <f t="shared" si="0"/>
        <v>604827092</v>
      </c>
    </row>
    <row r="7" spans="1:15" s="64" customFormat="1" ht="22.5">
      <c r="A7" s="62" t="s">
        <v>31</v>
      </c>
      <c r="B7" s="120" t="s">
        <v>350</v>
      </c>
      <c r="C7" s="363"/>
      <c r="D7" s="363"/>
      <c r="E7" s="363">
        <v>500000</v>
      </c>
      <c r="F7" s="363">
        <v>5000000</v>
      </c>
      <c r="G7" s="363">
        <f>3797300+3679276</f>
        <v>7476576</v>
      </c>
      <c r="H7" s="363">
        <v>6000000</v>
      </c>
      <c r="I7" s="363"/>
      <c r="J7" s="363"/>
      <c r="K7" s="363"/>
      <c r="L7" s="363"/>
      <c r="M7" s="363"/>
      <c r="N7" s="363"/>
      <c r="O7" s="395">
        <f t="shared" si="0"/>
        <v>18976576</v>
      </c>
    </row>
    <row r="8" spans="1:15" s="64" customFormat="1" ht="13.5" customHeight="1">
      <c r="A8" s="62" t="s">
        <v>32</v>
      </c>
      <c r="B8" s="119" t="s">
        <v>140</v>
      </c>
      <c r="C8" s="362">
        <v>5000000</v>
      </c>
      <c r="D8" s="362">
        <v>5000000</v>
      </c>
      <c r="E8" s="362">
        <v>120000000</v>
      </c>
      <c r="F8" s="362">
        <v>8390000</v>
      </c>
      <c r="G8" s="362">
        <v>5000000</v>
      </c>
      <c r="H8" s="362">
        <f>3000000</f>
        <v>3000000</v>
      </c>
      <c r="I8" s="362">
        <v>3000000</v>
      </c>
      <c r="J8" s="362">
        <v>3000000</v>
      </c>
      <c r="K8" s="362">
        <v>120000000</v>
      </c>
      <c r="L8" s="362">
        <v>10000000</v>
      </c>
      <c r="M8" s="362">
        <v>7000000</v>
      </c>
      <c r="N8" s="362">
        <v>30000000</v>
      </c>
      <c r="O8" s="395">
        <f t="shared" si="0"/>
        <v>319390000</v>
      </c>
    </row>
    <row r="9" spans="1:15" s="64" customFormat="1" ht="13.5" customHeight="1">
      <c r="A9" s="62" t="s">
        <v>33</v>
      </c>
      <c r="B9" s="119" t="s">
        <v>351</v>
      </c>
      <c r="C9" s="362">
        <v>37000000</v>
      </c>
      <c r="D9" s="362">
        <v>37000000</v>
      </c>
      <c r="E9" s="362">
        <v>37000000</v>
      </c>
      <c r="F9" s="362">
        <v>37000000</v>
      </c>
      <c r="G9" s="362">
        <v>37000000</v>
      </c>
      <c r="H9" s="362">
        <f>37000000+270000</f>
        <v>37270000</v>
      </c>
      <c r="I9" s="362">
        <v>37000000</v>
      </c>
      <c r="J9" s="362">
        <v>37000000</v>
      </c>
      <c r="K9" s="362">
        <v>39000000</v>
      </c>
      <c r="L9" s="362">
        <v>39000000</v>
      </c>
      <c r="M9" s="362">
        <v>37054678</v>
      </c>
      <c r="N9" s="362">
        <v>37000000</v>
      </c>
      <c r="O9" s="395">
        <f t="shared" si="0"/>
        <v>448324678</v>
      </c>
    </row>
    <row r="10" spans="1:15" s="64" customFormat="1" ht="13.5" customHeight="1">
      <c r="A10" s="62" t="s">
        <v>34</v>
      </c>
      <c r="B10" s="119" t="s">
        <v>21</v>
      </c>
      <c r="C10" s="362">
        <v>1920000</v>
      </c>
      <c r="D10" s="362">
        <v>3500000</v>
      </c>
      <c r="E10" s="362"/>
      <c r="F10" s="362"/>
      <c r="G10" s="362">
        <v>19759000</v>
      </c>
      <c r="H10" s="362">
        <v>1000000</v>
      </c>
      <c r="I10" s="362">
        <v>11000000</v>
      </c>
      <c r="J10" s="362">
        <v>10000000</v>
      </c>
      <c r="K10" s="362"/>
      <c r="L10" s="362"/>
      <c r="M10" s="362"/>
      <c r="N10" s="362"/>
      <c r="O10" s="395">
        <f t="shared" si="0"/>
        <v>47179000</v>
      </c>
    </row>
    <row r="11" spans="1:15" s="64" customFormat="1" ht="13.5" customHeight="1">
      <c r="A11" s="62" t="s">
        <v>35</v>
      </c>
      <c r="B11" s="119" t="s">
        <v>325</v>
      </c>
      <c r="C11" s="362">
        <v>500000</v>
      </c>
      <c r="D11" s="362">
        <v>500000</v>
      </c>
      <c r="E11" s="362">
        <v>550000</v>
      </c>
      <c r="F11" s="362">
        <v>442000</v>
      </c>
      <c r="G11" s="362">
        <v>450000</v>
      </c>
      <c r="H11" s="362">
        <v>450000</v>
      </c>
      <c r="I11" s="362">
        <v>400000</v>
      </c>
      <c r="J11" s="362">
        <v>300000</v>
      </c>
      <c r="K11" s="362">
        <v>300000</v>
      </c>
      <c r="L11" s="362">
        <v>1666000</v>
      </c>
      <c r="M11" s="362">
        <v>300000</v>
      </c>
      <c r="N11" s="362">
        <v>166000</v>
      </c>
      <c r="O11" s="395">
        <f t="shared" si="0"/>
        <v>6024000</v>
      </c>
    </row>
    <row r="12" spans="1:15" s="64" customFormat="1" ht="22.5">
      <c r="A12" s="62" t="s">
        <v>36</v>
      </c>
      <c r="B12" s="121" t="s">
        <v>348</v>
      </c>
      <c r="C12" s="362"/>
      <c r="D12" s="362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95">
        <f t="shared" si="0"/>
        <v>0</v>
      </c>
    </row>
    <row r="13" spans="1:15" s="64" customFormat="1" ht="13.5" customHeight="1" thickBot="1">
      <c r="A13" s="62" t="s">
        <v>37</v>
      </c>
      <c r="B13" s="119" t="s">
        <v>22</v>
      </c>
      <c r="C13" s="63">
        <v>292999415</v>
      </c>
      <c r="D13" s="63"/>
      <c r="E13" s="63">
        <v>10000000</v>
      </c>
      <c r="F13" s="63"/>
      <c r="G13" s="63"/>
      <c r="H13" s="63">
        <v>20000000</v>
      </c>
      <c r="I13" s="63">
        <v>64100000</v>
      </c>
      <c r="J13" s="63">
        <v>20000000</v>
      </c>
      <c r="K13" s="63">
        <v>10000000</v>
      </c>
      <c r="L13" s="63"/>
      <c r="M13" s="63">
        <v>20000000</v>
      </c>
      <c r="N13" s="362"/>
      <c r="O13" s="395">
        <f t="shared" si="0"/>
        <v>437099415</v>
      </c>
    </row>
    <row r="14" spans="1:15" s="60" customFormat="1" ht="15.75" customHeight="1" thickBot="1">
      <c r="A14" s="59" t="s">
        <v>38</v>
      </c>
      <c r="B14" s="30" t="s">
        <v>112</v>
      </c>
      <c r="C14" s="65">
        <f aca="true" t="shared" si="1" ref="C14:N14">SUM(C5:C13)</f>
        <v>469133415</v>
      </c>
      <c r="D14" s="65">
        <f t="shared" si="1"/>
        <v>177848000</v>
      </c>
      <c r="E14" s="65">
        <f t="shared" si="1"/>
        <v>334765000</v>
      </c>
      <c r="F14" s="65">
        <f t="shared" si="1"/>
        <v>239909000</v>
      </c>
      <c r="G14" s="65">
        <f t="shared" si="1"/>
        <v>243308888</v>
      </c>
      <c r="H14" s="65">
        <f t="shared" si="1"/>
        <v>226437000</v>
      </c>
      <c r="I14" s="65">
        <f t="shared" si="1"/>
        <v>279220000</v>
      </c>
      <c r="J14" s="65">
        <f t="shared" si="1"/>
        <v>239020000</v>
      </c>
      <c r="K14" s="65">
        <f t="shared" si="1"/>
        <v>318020000</v>
      </c>
      <c r="L14" s="65">
        <f t="shared" si="1"/>
        <v>192176588</v>
      </c>
      <c r="M14" s="65">
        <f t="shared" si="1"/>
        <v>160074678</v>
      </c>
      <c r="N14" s="65">
        <f t="shared" si="1"/>
        <v>176869400</v>
      </c>
      <c r="O14" s="66">
        <f t="shared" si="0"/>
        <v>3056781969</v>
      </c>
    </row>
    <row r="15" spans="1:15" s="60" customFormat="1" ht="15" customHeight="1" thickBot="1">
      <c r="A15" s="59" t="s">
        <v>39</v>
      </c>
      <c r="B15" s="615" t="s">
        <v>65</v>
      </c>
      <c r="C15" s="616"/>
      <c r="D15" s="616"/>
      <c r="E15" s="616"/>
      <c r="F15" s="616"/>
      <c r="G15" s="616"/>
      <c r="H15" s="616"/>
      <c r="I15" s="616"/>
      <c r="J15" s="616"/>
      <c r="K15" s="616"/>
      <c r="L15" s="616"/>
      <c r="M15" s="616"/>
      <c r="N15" s="616"/>
      <c r="O15" s="617"/>
    </row>
    <row r="16" spans="1:15" s="64" customFormat="1" ht="13.5" customHeight="1">
      <c r="A16" s="67" t="s">
        <v>40</v>
      </c>
      <c r="B16" s="122" t="s">
        <v>70</v>
      </c>
      <c r="C16" s="363">
        <v>83000000</v>
      </c>
      <c r="D16" s="363">
        <v>83105000</v>
      </c>
      <c r="E16" s="363">
        <f>83000000+31471300</f>
        <v>114471300</v>
      </c>
      <c r="F16" s="363">
        <f>81000000+31471300+326126</f>
        <v>112797426</v>
      </c>
      <c r="G16" s="363">
        <f>81000000+31471300+12214480</f>
        <v>124685780</v>
      </c>
      <c r="H16" s="363">
        <f>82000000+31471300+12214480</f>
        <v>125685780</v>
      </c>
      <c r="I16" s="363">
        <f>81000000+31471300+12214480</f>
        <v>124685780</v>
      </c>
      <c r="J16" s="363">
        <f>81000000+31471300+12214480</f>
        <v>124685780</v>
      </c>
      <c r="K16" s="363">
        <f>81000000+31471300+12214480</f>
        <v>124685780</v>
      </c>
      <c r="L16" s="363">
        <f>81205571+31471295+12214480</f>
        <v>124891346</v>
      </c>
      <c r="M16" s="363">
        <f>81000000+12214480-5</f>
        <v>93214475</v>
      </c>
      <c r="N16" s="363">
        <v>81000000</v>
      </c>
      <c r="O16" s="396">
        <f aca="true" t="shared" si="2" ref="O16:O26">SUM(C16:N16)</f>
        <v>1316908447</v>
      </c>
    </row>
    <row r="17" spans="1:15" s="64" customFormat="1" ht="27" customHeight="1">
      <c r="A17" s="62" t="s">
        <v>41</v>
      </c>
      <c r="B17" s="121" t="s">
        <v>149</v>
      </c>
      <c r="C17" s="362">
        <f>17840000+340000</f>
        <v>18180000</v>
      </c>
      <c r="D17" s="362">
        <f>17863000+335000</f>
        <v>18198000</v>
      </c>
      <c r="E17" s="362">
        <f>17840000+3461842+407211</f>
        <v>21709053</v>
      </c>
      <c r="F17" s="362">
        <f>17400000+3461842+35874</f>
        <v>20897716</v>
      </c>
      <c r="G17" s="362">
        <f>17400000+364361+3461842+1343593</f>
        <v>22569796</v>
      </c>
      <c r="H17" s="362">
        <f>17620000+3461842+1343593</f>
        <v>22425435</v>
      </c>
      <c r="I17" s="362">
        <f>17400000+3461842+1343593</f>
        <v>22205435</v>
      </c>
      <c r="J17" s="362">
        <f>17400000+3461842+1343593</f>
        <v>22205435</v>
      </c>
      <c r="K17" s="362">
        <f>17400000+3461842+1343593</f>
        <v>22205435</v>
      </c>
      <c r="L17" s="362">
        <f>17440000+3461842+1343593</f>
        <v>22245435</v>
      </c>
      <c r="M17" s="362">
        <f>17400000+1343593-2</f>
        <v>18743591</v>
      </c>
      <c r="N17" s="362">
        <v>17400000</v>
      </c>
      <c r="O17" s="395">
        <f t="shared" si="2"/>
        <v>248985331</v>
      </c>
    </row>
    <row r="18" spans="1:15" s="64" customFormat="1" ht="13.5" customHeight="1">
      <c r="A18" s="62" t="s">
        <v>42</v>
      </c>
      <c r="B18" s="119" t="s">
        <v>124</v>
      </c>
      <c r="C18" s="362">
        <v>84000000</v>
      </c>
      <c r="D18" s="362">
        <v>84000000</v>
      </c>
      <c r="E18" s="362">
        <f>84000000+4158000</f>
        <v>88158000</v>
      </c>
      <c r="F18" s="362">
        <f>75000000+4158000</f>
        <v>79158000</v>
      </c>
      <c r="G18" s="362">
        <f>74000000+4158000+200000+3939600</f>
        <v>82297600</v>
      </c>
      <c r="H18" s="362">
        <f>52397442+4158000+200000+270000+3800000</f>
        <v>60825442</v>
      </c>
      <c r="I18" s="362">
        <f>60000000+4158000+200000+3800000</f>
        <v>68158000</v>
      </c>
      <c r="J18" s="362">
        <f>60000000+4158000+200000+3800000</f>
        <v>68158000</v>
      </c>
      <c r="K18" s="362">
        <f>55000000+4158000+200000+3800000</f>
        <v>63158000</v>
      </c>
      <c r="L18" s="362">
        <f>65000000+4158000+200000+3800000</f>
        <v>73158000</v>
      </c>
      <c r="M18" s="362">
        <f>75000000+4158000+200000+3800000</f>
        <v>83158000</v>
      </c>
      <c r="N18" s="362">
        <f>84000000+4158000-96+200000-8488680+3800000</f>
        <v>83669224</v>
      </c>
      <c r="O18" s="395">
        <f t="shared" si="2"/>
        <v>917898266</v>
      </c>
    </row>
    <row r="19" spans="1:15" s="64" customFormat="1" ht="13.5" customHeight="1">
      <c r="A19" s="62" t="s">
        <v>43</v>
      </c>
      <c r="B19" s="119" t="s">
        <v>150</v>
      </c>
      <c r="C19" s="362">
        <v>4000000</v>
      </c>
      <c r="D19" s="362">
        <v>4000000</v>
      </c>
      <c r="E19" s="362">
        <v>5000000</v>
      </c>
      <c r="F19" s="362">
        <v>4000000</v>
      </c>
      <c r="G19" s="362">
        <v>5000000</v>
      </c>
      <c r="H19" s="362">
        <v>5000000</v>
      </c>
      <c r="I19" s="362">
        <v>4000000</v>
      </c>
      <c r="J19" s="362">
        <v>17000000</v>
      </c>
      <c r="K19" s="362">
        <v>5000000</v>
      </c>
      <c r="L19" s="362">
        <v>4230000</v>
      </c>
      <c r="M19" s="362">
        <v>17000000</v>
      </c>
      <c r="N19" s="362">
        <v>21000000</v>
      </c>
      <c r="O19" s="395">
        <f t="shared" si="2"/>
        <v>95230000</v>
      </c>
    </row>
    <row r="20" spans="1:15" s="64" customFormat="1" ht="13.5" customHeight="1">
      <c r="A20" s="62" t="s">
        <v>44</v>
      </c>
      <c r="B20" s="119" t="s">
        <v>23</v>
      </c>
      <c r="C20" s="362">
        <v>1500</v>
      </c>
      <c r="D20" s="362"/>
      <c r="E20" s="362">
        <f>8000000+3500000</f>
        <v>11500000</v>
      </c>
      <c r="F20" s="362">
        <v>2000000</v>
      </c>
      <c r="G20" s="362">
        <v>2000000</v>
      </c>
      <c r="H20" s="362">
        <v>10000000</v>
      </c>
      <c r="I20" s="362">
        <v>1165000</v>
      </c>
      <c r="J20" s="362">
        <v>1000000</v>
      </c>
      <c r="K20" s="362">
        <v>8000000</v>
      </c>
      <c r="L20" s="362">
        <v>2000000</v>
      </c>
      <c r="M20" s="362">
        <v>2000000</v>
      </c>
      <c r="N20" s="362">
        <v>1000000</v>
      </c>
      <c r="O20" s="395">
        <f t="shared" si="2"/>
        <v>40666500</v>
      </c>
    </row>
    <row r="21" spans="1:16" s="64" customFormat="1" ht="13.5" customHeight="1">
      <c r="A21" s="62" t="s">
        <v>45</v>
      </c>
      <c r="B21" s="119" t="s">
        <v>171</v>
      </c>
      <c r="C21" s="362">
        <v>2000000</v>
      </c>
      <c r="D21" s="362">
        <v>2000000</v>
      </c>
      <c r="E21" s="362">
        <v>2500000</v>
      </c>
      <c r="F21" s="362">
        <f>4500000+979170</f>
        <v>5479170</v>
      </c>
      <c r="G21" s="362">
        <v>8000000</v>
      </c>
      <c r="H21" s="362">
        <v>8500000</v>
      </c>
      <c r="I21" s="362">
        <f>2500000+18116187+2239176</f>
        <v>22855363</v>
      </c>
      <c r="J21" s="362">
        <v>3000000</v>
      </c>
      <c r="K21" s="362">
        <v>2000000</v>
      </c>
      <c r="L21" s="362">
        <v>2000000</v>
      </c>
      <c r="M21" s="362">
        <v>3000000</v>
      </c>
      <c r="N21" s="362">
        <v>2000000</v>
      </c>
      <c r="O21" s="395">
        <f t="shared" si="2"/>
        <v>63334533</v>
      </c>
      <c r="P21" s="391"/>
    </row>
    <row r="22" spans="1:15" s="64" customFormat="1" ht="15.75">
      <c r="A22" s="62" t="s">
        <v>46</v>
      </c>
      <c r="B22" s="121" t="s">
        <v>153</v>
      </c>
      <c r="C22" s="362"/>
      <c r="D22" s="362"/>
      <c r="E22" s="362">
        <v>365393</v>
      </c>
      <c r="F22" s="362">
        <v>1794600</v>
      </c>
      <c r="G22" s="362">
        <v>2158000</v>
      </c>
      <c r="H22" s="362">
        <v>2000000</v>
      </c>
      <c r="I22" s="362">
        <v>70000000</v>
      </c>
      <c r="J22" s="362">
        <v>3000000</v>
      </c>
      <c r="K22" s="362"/>
      <c r="L22" s="362">
        <f>2500000+5714910</f>
        <v>8214910</v>
      </c>
      <c r="M22" s="362"/>
      <c r="N22" s="362"/>
      <c r="O22" s="395">
        <f t="shared" si="2"/>
        <v>87532903</v>
      </c>
    </row>
    <row r="23" spans="1:15" s="64" customFormat="1" ht="13.5" customHeight="1">
      <c r="A23" s="62" t="s">
        <v>47</v>
      </c>
      <c r="B23" s="119" t="s">
        <v>173</v>
      </c>
      <c r="C23" s="362"/>
      <c r="D23" s="362"/>
      <c r="E23" s="362"/>
      <c r="F23" s="362">
        <v>2400000</v>
      </c>
      <c r="G23" s="362"/>
      <c r="H23" s="362"/>
      <c r="I23" s="362">
        <v>42072000</v>
      </c>
      <c r="J23" s="362"/>
      <c r="K23" s="362"/>
      <c r="L23" s="362"/>
      <c r="M23" s="362"/>
      <c r="N23" s="362"/>
      <c r="O23" s="395">
        <f t="shared" si="2"/>
        <v>44472000</v>
      </c>
    </row>
    <row r="24" spans="1:15" s="64" customFormat="1" ht="13.5" customHeight="1">
      <c r="A24" s="62" t="s">
        <v>48</v>
      </c>
      <c r="B24" s="119" t="s">
        <v>59</v>
      </c>
      <c r="C24" s="362"/>
      <c r="D24" s="362"/>
      <c r="E24" s="362">
        <v>500000</v>
      </c>
      <c r="F24" s="362">
        <f>14000000-1700000-1600000-8539600</f>
        <v>2160400</v>
      </c>
      <c r="G24" s="362">
        <f>14000000-1700000</f>
        <v>12300000</v>
      </c>
      <c r="H24" s="362">
        <f>15000000-1700000</f>
        <v>13300000</v>
      </c>
      <c r="I24" s="362">
        <f>15000000-1700000</f>
        <v>13300000</v>
      </c>
      <c r="J24" s="362">
        <f>15000000-1700000</f>
        <v>13300000</v>
      </c>
      <c r="K24" s="362">
        <f>14613300-1700000</f>
        <v>12913300</v>
      </c>
      <c r="L24" s="362">
        <f>14500000-1700000</f>
        <v>12800000</v>
      </c>
      <c r="M24" s="362">
        <f>14000000-1700000</f>
        <v>12300000</v>
      </c>
      <c r="N24" s="362">
        <f>14000000-1700000-1745643</f>
        <v>10554357</v>
      </c>
      <c r="O24" s="395">
        <f t="shared" si="2"/>
        <v>103428057</v>
      </c>
    </row>
    <row r="25" spans="1:15" s="64" customFormat="1" ht="13.5" customHeight="1" thickBot="1">
      <c r="A25" s="62" t="s">
        <v>49</v>
      </c>
      <c r="B25" s="119" t="s">
        <v>24</v>
      </c>
      <c r="C25" s="63">
        <v>35164932</v>
      </c>
      <c r="D25" s="63"/>
      <c r="E25" s="63">
        <v>790000</v>
      </c>
      <c r="F25" s="362"/>
      <c r="G25" s="63"/>
      <c r="H25" s="63">
        <v>790000</v>
      </c>
      <c r="I25" s="63"/>
      <c r="J25" s="63"/>
      <c r="K25" s="63">
        <v>791000</v>
      </c>
      <c r="L25" s="63">
        <v>70000000</v>
      </c>
      <c r="M25" s="63"/>
      <c r="N25" s="63">
        <v>30790000</v>
      </c>
      <c r="O25" s="395">
        <f t="shared" si="2"/>
        <v>138325932</v>
      </c>
    </row>
    <row r="26" spans="1:15" s="60" customFormat="1" ht="15.75" customHeight="1" thickBot="1">
      <c r="A26" s="68" t="s">
        <v>50</v>
      </c>
      <c r="B26" s="30" t="s">
        <v>113</v>
      </c>
      <c r="C26" s="65">
        <f aca="true" t="shared" si="3" ref="C26:N26">SUM(C16:C25)</f>
        <v>226346432</v>
      </c>
      <c r="D26" s="65">
        <f t="shared" si="3"/>
        <v>191303000</v>
      </c>
      <c r="E26" s="65">
        <f t="shared" si="3"/>
        <v>244993746</v>
      </c>
      <c r="F26" s="65">
        <f t="shared" si="3"/>
        <v>230687312</v>
      </c>
      <c r="G26" s="65">
        <f t="shared" si="3"/>
        <v>259011176</v>
      </c>
      <c r="H26" s="65">
        <f t="shared" si="3"/>
        <v>248526657</v>
      </c>
      <c r="I26" s="65">
        <f t="shared" si="3"/>
        <v>368441578</v>
      </c>
      <c r="J26" s="65">
        <f t="shared" si="3"/>
        <v>252349215</v>
      </c>
      <c r="K26" s="65">
        <f t="shared" si="3"/>
        <v>238753515</v>
      </c>
      <c r="L26" s="65">
        <f t="shared" si="3"/>
        <v>319539691</v>
      </c>
      <c r="M26" s="65">
        <f t="shared" si="3"/>
        <v>229416066</v>
      </c>
      <c r="N26" s="65">
        <f t="shared" si="3"/>
        <v>247413581</v>
      </c>
      <c r="O26" s="66">
        <f t="shared" si="2"/>
        <v>3056781969</v>
      </c>
    </row>
    <row r="27" spans="1:15" ht="16.5" thickBot="1">
      <c r="A27" s="68" t="s">
        <v>51</v>
      </c>
      <c r="B27" s="123" t="s">
        <v>114</v>
      </c>
      <c r="C27" s="69">
        <f aca="true" t="shared" si="4" ref="C27:O27">C14-C26</f>
        <v>242786983</v>
      </c>
      <c r="D27" s="69">
        <f t="shared" si="4"/>
        <v>-13455000</v>
      </c>
      <c r="E27" s="69">
        <f t="shared" si="4"/>
        <v>89771254</v>
      </c>
      <c r="F27" s="69">
        <f t="shared" si="4"/>
        <v>9221688</v>
      </c>
      <c r="G27" s="69">
        <f t="shared" si="4"/>
        <v>-15702288</v>
      </c>
      <c r="H27" s="69">
        <f t="shared" si="4"/>
        <v>-22089657</v>
      </c>
      <c r="I27" s="69">
        <f t="shared" si="4"/>
        <v>-89221578</v>
      </c>
      <c r="J27" s="69">
        <f t="shared" si="4"/>
        <v>-13329215</v>
      </c>
      <c r="K27" s="69">
        <f t="shared" si="4"/>
        <v>79266485</v>
      </c>
      <c r="L27" s="69">
        <f t="shared" si="4"/>
        <v>-127363103</v>
      </c>
      <c r="M27" s="69">
        <f t="shared" si="4"/>
        <v>-69341388</v>
      </c>
      <c r="N27" s="69">
        <f t="shared" si="4"/>
        <v>-70544181</v>
      </c>
      <c r="O27" s="70">
        <f t="shared" si="4"/>
        <v>0</v>
      </c>
    </row>
    <row r="28" ht="15.75">
      <c r="A28" s="72"/>
    </row>
    <row r="29" spans="2:15" ht="15.75">
      <c r="B29" s="73"/>
      <c r="C29" s="74"/>
      <c r="D29" s="74"/>
      <c r="O29" s="71"/>
    </row>
    <row r="30" ht="15.75">
      <c r="O30" s="71"/>
    </row>
    <row r="31" ht="15.75">
      <c r="O31" s="71"/>
    </row>
    <row r="32" ht="15.75">
      <c r="O32" s="71"/>
    </row>
    <row r="33" ht="15.75">
      <c r="O33" s="71"/>
    </row>
    <row r="34" ht="15.75">
      <c r="O34" s="71"/>
    </row>
    <row r="35" ht="15.75">
      <c r="O35" s="71"/>
    </row>
    <row r="36" ht="15.75">
      <c r="O36" s="71"/>
    </row>
    <row r="37" ht="15.75">
      <c r="O37" s="71"/>
    </row>
    <row r="38" ht="15.75">
      <c r="O38" s="71"/>
    </row>
    <row r="39" ht="15.75">
      <c r="O39" s="71"/>
    </row>
    <row r="40" ht="15.75">
      <c r="O40" s="71"/>
    </row>
    <row r="41" ht="15.75">
      <c r="O41" s="71"/>
    </row>
    <row r="42" ht="15.75">
      <c r="O42" s="71"/>
    </row>
    <row r="43" ht="15.75">
      <c r="O43" s="71"/>
    </row>
    <row r="44" ht="15.75">
      <c r="O44" s="71"/>
    </row>
    <row r="45" ht="15.75">
      <c r="O45" s="71"/>
    </row>
    <row r="46" ht="15.75">
      <c r="O46" s="71"/>
    </row>
    <row r="47" ht="15.75">
      <c r="O47" s="71"/>
    </row>
    <row r="48" ht="15.75">
      <c r="O48" s="71"/>
    </row>
    <row r="49" ht="15.75">
      <c r="O49" s="71"/>
    </row>
    <row r="50" ht="15.75">
      <c r="O50" s="71"/>
    </row>
    <row r="51" ht="15.75">
      <c r="O51" s="71"/>
    </row>
    <row r="52" ht="15.75">
      <c r="O52" s="71"/>
    </row>
    <row r="53" ht="15.75">
      <c r="O53" s="71"/>
    </row>
    <row r="54" ht="15.75">
      <c r="O54" s="71"/>
    </row>
    <row r="55" ht="15.75">
      <c r="O55" s="71"/>
    </row>
    <row r="56" ht="15.75">
      <c r="O56" s="71"/>
    </row>
    <row r="57" ht="15.75">
      <c r="O57" s="71"/>
    </row>
    <row r="58" ht="15.75">
      <c r="O58" s="71"/>
    </row>
    <row r="59" ht="15.75">
      <c r="O59" s="71"/>
    </row>
    <row r="60" ht="15.75">
      <c r="O60" s="71"/>
    </row>
    <row r="61" ht="15.75">
      <c r="O61" s="71"/>
    </row>
    <row r="62" ht="15.75">
      <c r="O62" s="71"/>
    </row>
    <row r="63" ht="15.75">
      <c r="O63" s="71"/>
    </row>
    <row r="64" ht="15.75">
      <c r="O64" s="71"/>
    </row>
    <row r="65" ht="15.75">
      <c r="O65" s="71"/>
    </row>
    <row r="66" ht="15.75">
      <c r="O66" s="71"/>
    </row>
    <row r="67" ht="15.75">
      <c r="O67" s="71"/>
    </row>
    <row r="68" ht="15.75">
      <c r="O68" s="71"/>
    </row>
    <row r="69" ht="15.75">
      <c r="O69" s="71"/>
    </row>
    <row r="70" ht="15.75">
      <c r="O70" s="71"/>
    </row>
    <row r="71" ht="15.75">
      <c r="O71" s="71"/>
    </row>
    <row r="72" ht="15.75">
      <c r="O72" s="71"/>
    </row>
    <row r="73" ht="15.75">
      <c r="O73" s="71"/>
    </row>
    <row r="74" ht="15.75">
      <c r="O74" s="71"/>
    </row>
    <row r="75" ht="15.75">
      <c r="O75" s="71"/>
    </row>
    <row r="76" ht="15.75">
      <c r="O76" s="71"/>
    </row>
    <row r="77" ht="15.75">
      <c r="O77" s="71"/>
    </row>
    <row r="78" ht="15.75">
      <c r="O78" s="71"/>
    </row>
    <row r="79" ht="15.75">
      <c r="O79" s="71"/>
    </row>
    <row r="80" ht="15.75">
      <c r="O80" s="71"/>
    </row>
    <row r="81" ht="15.75">
      <c r="O81" s="71"/>
    </row>
    <row r="82" ht="15.75">
      <c r="O82" s="71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78" r:id="rId1"/>
  <headerFooter alignWithMargins="0">
    <oddHeader>&amp;R&amp;"Times New Roman CE,Dőlt"&amp;11 14. melléklet a 12/2017.(IV.11.) önkormányzati rendelethez
TÁJÉKOZTATÓ TÁBLA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Munka135">
    <pageSetUpPr fitToPage="1"/>
  </sheetPr>
  <dimension ref="A1:GL60"/>
  <sheetViews>
    <sheetView tabSelected="1" workbookViewId="0" topLeftCell="A1">
      <pane xSplit="1" ySplit="8" topLeftCell="E3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0" sqref="A50"/>
    </sheetView>
  </sheetViews>
  <sheetFormatPr defaultColWidth="10.625" defaultRowHeight="12.75"/>
  <cols>
    <col min="1" max="1" width="42.375" style="281" customWidth="1"/>
    <col min="2" max="2" width="12.625" style="282" bestFit="1" customWidth="1"/>
    <col min="3" max="3" width="10.125" style="282" bestFit="1" customWidth="1"/>
    <col min="4" max="4" width="11.125" style="282" bestFit="1" customWidth="1"/>
    <col min="5" max="5" width="11.375" style="282" bestFit="1" customWidth="1"/>
    <col min="6" max="6" width="11.125" style="282" bestFit="1" customWidth="1"/>
    <col min="7" max="7" width="12.625" style="283" bestFit="1" customWidth="1"/>
    <col min="8" max="8" width="1.12109375" style="283" customWidth="1"/>
    <col min="9" max="9" width="12.625" style="281" bestFit="1" customWidth="1"/>
    <col min="10" max="10" width="11.125" style="281" bestFit="1" customWidth="1"/>
    <col min="11" max="11" width="12.625" style="281" bestFit="1" customWidth="1"/>
    <col min="12" max="13" width="11.125" style="281" bestFit="1" customWidth="1"/>
    <col min="14" max="14" width="15.125" style="284" bestFit="1" customWidth="1"/>
    <col min="15" max="16384" width="10.625" style="281" customWidth="1"/>
  </cols>
  <sheetData>
    <row r="1" spans="10:13" ht="12.75">
      <c r="J1" s="621"/>
      <c r="K1" s="621"/>
      <c r="L1" s="621"/>
      <c r="M1" s="621"/>
    </row>
    <row r="2" spans="1:14" ht="12.75">
      <c r="A2" s="285"/>
      <c r="E2" s="392"/>
      <c r="I2" s="285"/>
      <c r="J2" s="620"/>
      <c r="K2" s="620"/>
      <c r="L2" s="620"/>
      <c r="M2" s="620"/>
      <c r="N2" s="286"/>
    </row>
    <row r="3" spans="1:14" ht="17.25" customHeight="1">
      <c r="A3" s="287" t="s">
        <v>531</v>
      </c>
      <c r="B3" s="288"/>
      <c r="C3" s="288"/>
      <c r="D3" s="288"/>
      <c r="E3" s="288"/>
      <c r="F3" s="288"/>
      <c r="G3" s="289"/>
      <c r="H3" s="289"/>
      <c r="I3" s="290"/>
      <c r="J3" s="290"/>
      <c r="K3" s="290"/>
      <c r="L3" s="290"/>
      <c r="M3" s="290"/>
      <c r="N3" s="291"/>
    </row>
    <row r="4" spans="1:14" ht="19.5">
      <c r="A4" s="292" t="s">
        <v>372</v>
      </c>
      <c r="B4" s="288"/>
      <c r="C4" s="288"/>
      <c r="D4" s="288"/>
      <c r="E4" s="288"/>
      <c r="F4" s="288"/>
      <c r="G4" s="289"/>
      <c r="H4" s="289"/>
      <c r="I4" s="290"/>
      <c r="J4" s="290"/>
      <c r="K4" s="290"/>
      <c r="L4" s="290"/>
      <c r="M4" s="290"/>
      <c r="N4" s="291"/>
    </row>
    <row r="5" spans="1:14" ht="0.75" customHeight="1" thickBot="1">
      <c r="A5" s="293"/>
      <c r="B5" s="288"/>
      <c r="C5" s="288"/>
      <c r="D5" s="288"/>
      <c r="E5" s="288"/>
      <c r="F5" s="288"/>
      <c r="G5" s="289"/>
      <c r="H5" s="289"/>
      <c r="I5" s="290"/>
      <c r="J5" s="290"/>
      <c r="K5" s="290"/>
      <c r="L5" s="290"/>
      <c r="M5" s="290"/>
      <c r="N5" s="286" t="s">
        <v>363</v>
      </c>
    </row>
    <row r="6" spans="1:14" ht="15.75">
      <c r="A6" s="294" t="s">
        <v>164</v>
      </c>
      <c r="B6" s="622" t="s">
        <v>373</v>
      </c>
      <c r="C6" s="623"/>
      <c r="D6" s="623"/>
      <c r="E6" s="623"/>
      <c r="F6" s="623"/>
      <c r="G6" s="624"/>
      <c r="H6" s="295"/>
      <c r="I6" s="622" t="s">
        <v>374</v>
      </c>
      <c r="J6" s="623"/>
      <c r="K6" s="623"/>
      <c r="L6" s="623"/>
      <c r="M6" s="623"/>
      <c r="N6" s="624"/>
    </row>
    <row r="7" spans="1:14" ht="12.75">
      <c r="A7" s="296"/>
      <c r="B7" s="297" t="s">
        <v>375</v>
      </c>
      <c r="C7" s="298" t="s">
        <v>368</v>
      </c>
      <c r="D7" s="298" t="s">
        <v>399</v>
      </c>
      <c r="E7" s="298" t="s">
        <v>376</v>
      </c>
      <c r="F7" s="298" t="s">
        <v>508</v>
      </c>
      <c r="G7" s="299" t="s">
        <v>532</v>
      </c>
      <c r="H7" s="300"/>
      <c r="I7" s="297" t="s">
        <v>375</v>
      </c>
      <c r="J7" s="298" t="s">
        <v>368</v>
      </c>
      <c r="K7" s="298" t="s">
        <v>408</v>
      </c>
      <c r="L7" s="298" t="s">
        <v>123</v>
      </c>
      <c r="M7" s="298" t="s">
        <v>400</v>
      </c>
      <c r="N7" s="299" t="s">
        <v>533</v>
      </c>
    </row>
    <row r="8" spans="1:14" ht="13.5" thickBot="1">
      <c r="A8" s="301"/>
      <c r="B8" s="302" t="s">
        <v>377</v>
      </c>
      <c r="C8" s="303" t="s">
        <v>377</v>
      </c>
      <c r="D8" s="303" t="s">
        <v>377</v>
      </c>
      <c r="E8" s="303" t="s">
        <v>378</v>
      </c>
      <c r="F8" s="303"/>
      <c r="G8" s="304" t="s">
        <v>379</v>
      </c>
      <c r="H8" s="305"/>
      <c r="I8" s="302" t="s">
        <v>380</v>
      </c>
      <c r="J8" s="303" t="s">
        <v>370</v>
      </c>
      <c r="K8" s="303" t="s">
        <v>369</v>
      </c>
      <c r="L8" s="303"/>
      <c r="M8" s="303"/>
      <c r="N8" s="304" t="s">
        <v>381</v>
      </c>
    </row>
    <row r="9" spans="1:194" ht="12.75">
      <c r="A9" s="487" t="s">
        <v>401</v>
      </c>
      <c r="B9" s="482">
        <v>4075000</v>
      </c>
      <c r="C9" s="308"/>
      <c r="D9" s="307"/>
      <c r="E9" s="306"/>
      <c r="F9" s="308"/>
      <c r="G9" s="309">
        <f>SUM(B9:F9)</f>
        <v>4075000</v>
      </c>
      <c r="H9" s="310"/>
      <c r="I9" s="400"/>
      <c r="J9" s="308"/>
      <c r="K9" s="311"/>
      <c r="L9" s="308"/>
      <c r="M9" s="308"/>
      <c r="N9" s="309">
        <f aca="true" t="shared" si="0" ref="N9:N16">SUM(I9:M9)</f>
        <v>0</v>
      </c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12"/>
      <c r="AF9" s="312"/>
      <c r="AG9" s="312"/>
      <c r="AH9" s="312"/>
      <c r="AI9" s="312"/>
      <c r="AJ9" s="312"/>
      <c r="AK9" s="312"/>
      <c r="AL9" s="312"/>
      <c r="AM9" s="312"/>
      <c r="AN9" s="312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2"/>
      <c r="BD9" s="312"/>
      <c r="BE9" s="312"/>
      <c r="BF9" s="312"/>
      <c r="BG9" s="312"/>
      <c r="BH9" s="312"/>
      <c r="BI9" s="312"/>
      <c r="BJ9" s="312"/>
      <c r="BK9" s="312"/>
      <c r="BL9" s="312"/>
      <c r="BM9" s="312"/>
      <c r="BN9" s="312"/>
      <c r="BO9" s="312"/>
      <c r="BP9" s="312"/>
      <c r="BQ9" s="312"/>
      <c r="BR9" s="312"/>
      <c r="BS9" s="312"/>
      <c r="BT9" s="312"/>
      <c r="BU9" s="312"/>
      <c r="BV9" s="312"/>
      <c r="BW9" s="312"/>
      <c r="BX9" s="312"/>
      <c r="BY9" s="312"/>
      <c r="BZ9" s="312"/>
      <c r="CA9" s="312"/>
      <c r="CB9" s="312"/>
      <c r="CC9" s="312"/>
      <c r="CD9" s="312"/>
      <c r="CE9" s="312"/>
      <c r="CF9" s="312"/>
      <c r="CG9" s="312"/>
      <c r="CH9" s="312"/>
      <c r="CI9" s="312"/>
      <c r="CJ9" s="312"/>
      <c r="CK9" s="312"/>
      <c r="CL9" s="312"/>
      <c r="CM9" s="312"/>
      <c r="CN9" s="312"/>
      <c r="CO9" s="312"/>
      <c r="CP9" s="312"/>
      <c r="CQ9" s="312"/>
      <c r="CR9" s="312"/>
      <c r="CS9" s="312"/>
      <c r="CT9" s="312"/>
      <c r="CU9" s="312"/>
      <c r="CV9" s="312"/>
      <c r="CW9" s="312"/>
      <c r="CX9" s="312"/>
      <c r="CY9" s="312"/>
      <c r="CZ9" s="312"/>
      <c r="DA9" s="312"/>
      <c r="DB9" s="312"/>
      <c r="DC9" s="312"/>
      <c r="DD9" s="312"/>
      <c r="DE9" s="312"/>
      <c r="DF9" s="312"/>
      <c r="DG9" s="312"/>
      <c r="DH9" s="312"/>
      <c r="DI9" s="312"/>
      <c r="DJ9" s="312"/>
      <c r="DK9" s="312"/>
      <c r="DL9" s="312"/>
      <c r="DM9" s="312"/>
      <c r="DN9" s="312"/>
      <c r="DO9" s="312"/>
      <c r="DP9" s="312"/>
      <c r="DQ9" s="312"/>
      <c r="DR9" s="312"/>
      <c r="DS9" s="312"/>
      <c r="DT9" s="312"/>
      <c r="DU9" s="312"/>
      <c r="DV9" s="312"/>
      <c r="DW9" s="312"/>
      <c r="DX9" s="312"/>
      <c r="DY9" s="312"/>
      <c r="DZ9" s="312"/>
      <c r="EA9" s="312"/>
      <c r="EB9" s="312"/>
      <c r="EC9" s="312"/>
      <c r="ED9" s="312"/>
      <c r="EE9" s="312"/>
      <c r="EF9" s="312"/>
      <c r="EG9" s="312"/>
      <c r="EH9" s="312"/>
      <c r="EI9" s="312"/>
      <c r="EJ9" s="312"/>
      <c r="EK9" s="312"/>
      <c r="EL9" s="312"/>
      <c r="EM9" s="312"/>
      <c r="EN9" s="312"/>
      <c r="EO9" s="312"/>
      <c r="EP9" s="312"/>
      <c r="EQ9" s="312"/>
      <c r="ER9" s="312"/>
      <c r="ES9" s="312"/>
      <c r="ET9" s="312"/>
      <c r="EU9" s="312"/>
      <c r="EV9" s="312"/>
      <c r="EW9" s="312"/>
      <c r="EX9" s="312"/>
      <c r="EY9" s="312"/>
      <c r="EZ9" s="312"/>
      <c r="FA9" s="312"/>
      <c r="FB9" s="312"/>
      <c r="FC9" s="312"/>
      <c r="FD9" s="312"/>
      <c r="FE9" s="312"/>
      <c r="FF9" s="312"/>
      <c r="FG9" s="312"/>
      <c r="FH9" s="312"/>
      <c r="FI9" s="312"/>
      <c r="FJ9" s="312"/>
      <c r="FK9" s="312"/>
      <c r="FL9" s="312"/>
      <c r="FM9" s="312"/>
      <c r="FN9" s="312"/>
      <c r="FO9" s="312"/>
      <c r="FP9" s="312"/>
      <c r="FQ9" s="312"/>
      <c r="FR9" s="312"/>
      <c r="FS9" s="312"/>
      <c r="FT9" s="312"/>
      <c r="FU9" s="312"/>
      <c r="FV9" s="312"/>
      <c r="FW9" s="312"/>
      <c r="FX9" s="312"/>
      <c r="FY9" s="312"/>
      <c r="FZ9" s="312"/>
      <c r="GA9" s="312"/>
      <c r="GB9" s="312"/>
      <c r="GC9" s="312"/>
      <c r="GD9" s="312"/>
      <c r="GE9" s="312"/>
      <c r="GF9" s="312"/>
      <c r="GG9" s="312"/>
      <c r="GH9" s="312"/>
      <c r="GI9" s="312"/>
      <c r="GJ9" s="312"/>
      <c r="GK9" s="312"/>
      <c r="GL9" s="312"/>
    </row>
    <row r="10" spans="1:14" ht="12.75">
      <c r="A10" s="360" t="s">
        <v>496</v>
      </c>
      <c r="B10" s="483"/>
      <c r="C10" s="319"/>
      <c r="D10" s="313"/>
      <c r="E10" s="313"/>
      <c r="F10" s="313"/>
      <c r="G10" s="314">
        <f>SUM(B10:F10)</f>
        <v>0</v>
      </c>
      <c r="H10" s="315"/>
      <c r="I10" s="316">
        <v>12011000</v>
      </c>
      <c r="J10" s="319"/>
      <c r="K10" s="319"/>
      <c r="L10" s="319"/>
      <c r="M10" s="319"/>
      <c r="N10" s="314">
        <f t="shared" si="0"/>
        <v>12011000</v>
      </c>
    </row>
    <row r="11" spans="1:14" ht="12.75">
      <c r="A11" s="488" t="s">
        <v>512</v>
      </c>
      <c r="B11" s="483"/>
      <c r="C11" s="319"/>
      <c r="D11" s="313"/>
      <c r="E11" s="313"/>
      <c r="F11" s="313"/>
      <c r="G11" s="314">
        <f>SUM(B11:F11)</f>
        <v>0</v>
      </c>
      <c r="H11" s="315"/>
      <c r="I11" s="316"/>
      <c r="J11" s="319"/>
      <c r="K11" s="319"/>
      <c r="L11" s="319"/>
      <c r="M11" s="319"/>
      <c r="N11" s="314">
        <f t="shared" si="0"/>
        <v>0</v>
      </c>
    </row>
    <row r="12" spans="1:14" ht="12.75">
      <c r="A12" s="488" t="s">
        <v>513</v>
      </c>
      <c r="B12" s="483"/>
      <c r="C12" s="319"/>
      <c r="D12" s="313"/>
      <c r="E12" s="313"/>
      <c r="F12" s="313"/>
      <c r="G12" s="314"/>
      <c r="H12" s="338"/>
      <c r="I12" s="316"/>
      <c r="J12" s="319">
        <v>6621000</v>
      </c>
      <c r="K12" s="319"/>
      <c r="L12" s="319"/>
      <c r="M12" s="319"/>
      <c r="N12" s="314">
        <f t="shared" si="0"/>
        <v>6621000</v>
      </c>
    </row>
    <row r="13" spans="1:14" ht="12.75">
      <c r="A13" s="488" t="s">
        <v>402</v>
      </c>
      <c r="B13" s="483"/>
      <c r="C13" s="408"/>
      <c r="D13" s="319"/>
      <c r="E13" s="318"/>
      <c r="F13" s="318"/>
      <c r="G13" s="314">
        <f aca="true" t="shared" si="1" ref="G13:G19">SUM(B13:F13)</f>
        <v>0</v>
      </c>
      <c r="H13" s="353" t="e">
        <f>SUM(#REF!)</f>
        <v>#REF!</v>
      </c>
      <c r="I13" s="316"/>
      <c r="J13" s="319"/>
      <c r="K13" s="319"/>
      <c r="L13" s="319"/>
      <c r="M13" s="319"/>
      <c r="N13" s="314">
        <f t="shared" si="0"/>
        <v>0</v>
      </c>
    </row>
    <row r="14" spans="1:14" ht="12.75">
      <c r="A14" s="489" t="s">
        <v>497</v>
      </c>
      <c r="B14" s="483">
        <v>7285000</v>
      </c>
      <c r="C14" s="325"/>
      <c r="D14" s="319"/>
      <c r="E14" s="320"/>
      <c r="F14" s="321"/>
      <c r="G14" s="322">
        <f t="shared" si="1"/>
        <v>7285000</v>
      </c>
      <c r="H14" s="315"/>
      <c r="I14" s="316">
        <v>4801000</v>
      </c>
      <c r="J14" s="319"/>
      <c r="K14" s="325"/>
      <c r="L14" s="325"/>
      <c r="M14" s="325"/>
      <c r="N14" s="322">
        <f t="shared" si="0"/>
        <v>4801000</v>
      </c>
    </row>
    <row r="15" spans="1:14" ht="12.75">
      <c r="A15" s="360" t="s">
        <v>382</v>
      </c>
      <c r="B15" s="483"/>
      <c r="C15" s="319"/>
      <c r="D15" s="319"/>
      <c r="E15" s="313"/>
      <c r="F15" s="323"/>
      <c r="G15" s="314">
        <f t="shared" si="1"/>
        <v>0</v>
      </c>
      <c r="H15" s="315"/>
      <c r="I15" s="316">
        <v>8715000</v>
      </c>
      <c r="J15" s="319">
        <v>529000</v>
      </c>
      <c r="K15" s="319"/>
      <c r="L15" s="319"/>
      <c r="M15" s="319"/>
      <c r="N15" s="314">
        <f t="shared" si="0"/>
        <v>9244000</v>
      </c>
    </row>
    <row r="16" spans="1:14" ht="12.75">
      <c r="A16" s="360" t="s">
        <v>383</v>
      </c>
      <c r="B16" s="483">
        <v>100000</v>
      </c>
      <c r="C16" s="319"/>
      <c r="D16" s="319"/>
      <c r="E16" s="313"/>
      <c r="F16" s="313"/>
      <c r="G16" s="314">
        <f t="shared" si="1"/>
        <v>100000</v>
      </c>
      <c r="H16" s="315"/>
      <c r="I16" s="316">
        <v>1817000</v>
      </c>
      <c r="J16" s="319">
        <v>1513000</v>
      </c>
      <c r="K16" s="319"/>
      <c r="L16" s="319"/>
      <c r="M16" s="319"/>
      <c r="N16" s="314">
        <f t="shared" si="0"/>
        <v>3330000</v>
      </c>
    </row>
    <row r="17" spans="1:14" ht="12.75">
      <c r="A17" s="360" t="s">
        <v>384</v>
      </c>
      <c r="B17" s="483"/>
      <c r="C17" s="319"/>
      <c r="D17" s="319"/>
      <c r="E17" s="313"/>
      <c r="F17" s="313"/>
      <c r="G17" s="314">
        <f t="shared" si="1"/>
        <v>0</v>
      </c>
      <c r="H17" s="315"/>
      <c r="I17" s="316"/>
      <c r="J17" s="319"/>
      <c r="K17" s="319"/>
      <c r="L17" s="319"/>
      <c r="M17" s="319"/>
      <c r="N17" s="314">
        <f aca="true" t="shared" si="2" ref="N17:N50">SUM(I17:M17)</f>
        <v>0</v>
      </c>
    </row>
    <row r="18" spans="1:14" ht="12.75">
      <c r="A18" s="360" t="s">
        <v>385</v>
      </c>
      <c r="B18" s="484"/>
      <c r="C18" s="325"/>
      <c r="D18" s="325"/>
      <c r="E18" s="320"/>
      <c r="F18" s="320"/>
      <c r="G18" s="322">
        <f t="shared" si="1"/>
        <v>0</v>
      </c>
      <c r="H18" s="324"/>
      <c r="I18" s="316">
        <v>31466000</v>
      </c>
      <c r="J18" s="319"/>
      <c r="K18" s="325"/>
      <c r="L18" s="325"/>
      <c r="M18" s="325"/>
      <c r="N18" s="322">
        <f t="shared" si="2"/>
        <v>31466000</v>
      </c>
    </row>
    <row r="19" spans="1:14" ht="12.75">
      <c r="A19" s="490" t="s">
        <v>386</v>
      </c>
      <c r="B19" s="484"/>
      <c r="C19" s="325"/>
      <c r="D19" s="325"/>
      <c r="E19" s="320"/>
      <c r="F19" s="320"/>
      <c r="G19" s="322">
        <f t="shared" si="1"/>
        <v>0</v>
      </c>
      <c r="H19" s="324"/>
      <c r="I19" s="316">
        <v>300000</v>
      </c>
      <c r="J19" s="325"/>
      <c r="K19" s="325"/>
      <c r="L19" s="325"/>
      <c r="M19" s="325"/>
      <c r="N19" s="322">
        <f t="shared" si="2"/>
        <v>300000</v>
      </c>
    </row>
    <row r="20" spans="1:14" ht="12.75">
      <c r="A20" s="491" t="s">
        <v>387</v>
      </c>
      <c r="B20" s="483">
        <f>SUM(B21:B23)</f>
        <v>0</v>
      </c>
      <c r="C20" s="319">
        <f>SUM(C21:C23)</f>
        <v>0</v>
      </c>
      <c r="D20" s="319">
        <f>SUM(D21:D23)</f>
        <v>319390000</v>
      </c>
      <c r="E20" s="326"/>
      <c r="F20" s="318"/>
      <c r="G20" s="322">
        <f>SUM(G21:G23)</f>
        <v>319390000</v>
      </c>
      <c r="H20" s="324"/>
      <c r="I20" s="330"/>
      <c r="J20" s="325"/>
      <c r="K20" s="325">
        <f>SUM(K21:K23)</f>
        <v>0</v>
      </c>
      <c r="L20" s="325"/>
      <c r="M20" s="325"/>
      <c r="N20" s="322">
        <f t="shared" si="2"/>
        <v>0</v>
      </c>
    </row>
    <row r="21" spans="1:14" ht="12.75">
      <c r="A21" s="492" t="s">
        <v>403</v>
      </c>
      <c r="B21" s="483"/>
      <c r="C21" s="325"/>
      <c r="D21" s="483">
        <f>282890000+3500000</f>
        <v>286390000</v>
      </c>
      <c r="E21" s="325"/>
      <c r="F21" s="320"/>
      <c r="G21" s="327">
        <f aca="true" t="shared" si="3" ref="G21:G27">SUM(B21:F21)</f>
        <v>286390000</v>
      </c>
      <c r="H21" s="324"/>
      <c r="I21" s="330"/>
      <c r="J21" s="325"/>
      <c r="K21" s="325"/>
      <c r="L21" s="325"/>
      <c r="M21" s="325"/>
      <c r="N21" s="327">
        <f t="shared" si="2"/>
        <v>0</v>
      </c>
    </row>
    <row r="22" spans="1:14" ht="12.75">
      <c r="A22" s="492" t="s">
        <v>388</v>
      </c>
      <c r="B22" s="483"/>
      <c r="C22" s="325"/>
      <c r="D22" s="483">
        <v>27000000</v>
      </c>
      <c r="E22" s="325"/>
      <c r="F22" s="320"/>
      <c r="G22" s="327">
        <f t="shared" si="3"/>
        <v>27000000</v>
      </c>
      <c r="H22" s="324"/>
      <c r="I22" s="330"/>
      <c r="J22" s="325"/>
      <c r="K22" s="325"/>
      <c r="L22" s="325"/>
      <c r="M22" s="325"/>
      <c r="N22" s="327">
        <f t="shared" si="2"/>
        <v>0</v>
      </c>
    </row>
    <row r="23" spans="1:14" ht="12.75">
      <c r="A23" s="492" t="s">
        <v>498</v>
      </c>
      <c r="B23" s="483"/>
      <c r="C23" s="325"/>
      <c r="D23" s="483">
        <v>6000000</v>
      </c>
      <c r="E23" s="325"/>
      <c r="F23" s="320"/>
      <c r="G23" s="327">
        <f t="shared" si="3"/>
        <v>6000000</v>
      </c>
      <c r="H23" s="324"/>
      <c r="I23" s="330"/>
      <c r="J23" s="325"/>
      <c r="K23" s="325"/>
      <c r="L23" s="325"/>
      <c r="M23" s="325"/>
      <c r="N23" s="327">
        <f t="shared" si="2"/>
        <v>0</v>
      </c>
    </row>
    <row r="24" spans="1:14" ht="12.75">
      <c r="A24" s="493" t="s">
        <v>611</v>
      </c>
      <c r="B24" s="484"/>
      <c r="C24" s="325"/>
      <c r="D24" s="325"/>
      <c r="E24" s="325"/>
      <c r="F24" s="320"/>
      <c r="G24" s="327">
        <f t="shared" si="3"/>
        <v>0</v>
      </c>
      <c r="H24" s="324"/>
      <c r="I24" s="316">
        <v>26600000</v>
      </c>
      <c r="J24" s="319"/>
      <c r="K24" s="325"/>
      <c r="L24" s="325"/>
      <c r="M24" s="325"/>
      <c r="N24" s="322">
        <f t="shared" si="2"/>
        <v>26600000</v>
      </c>
    </row>
    <row r="25" spans="1:14" ht="12.75">
      <c r="A25" s="360" t="s">
        <v>413</v>
      </c>
      <c r="B25" s="484"/>
      <c r="C25" s="325"/>
      <c r="D25" s="325"/>
      <c r="E25" s="320"/>
      <c r="F25" s="320"/>
      <c r="G25" s="322">
        <f t="shared" si="3"/>
        <v>0</v>
      </c>
      <c r="H25" s="324"/>
      <c r="I25" s="316">
        <v>835000</v>
      </c>
      <c r="J25" s="325"/>
      <c r="K25" s="325"/>
      <c r="L25" s="325"/>
      <c r="M25" s="325"/>
      <c r="N25" s="322">
        <f t="shared" si="2"/>
        <v>835000</v>
      </c>
    </row>
    <row r="26" spans="1:14" ht="12.75">
      <c r="A26" s="360" t="s">
        <v>389</v>
      </c>
      <c r="B26" s="484"/>
      <c r="C26" s="325"/>
      <c r="D26" s="325"/>
      <c r="E26" s="320"/>
      <c r="F26" s="320"/>
      <c r="G26" s="322">
        <f t="shared" si="3"/>
        <v>0</v>
      </c>
      <c r="H26" s="324"/>
      <c r="I26" s="316">
        <v>34925000</v>
      </c>
      <c r="J26" s="325">
        <v>2237000</v>
      </c>
      <c r="K26" s="325"/>
      <c r="L26" s="325"/>
      <c r="M26" s="325"/>
      <c r="N26" s="322">
        <f t="shared" si="2"/>
        <v>37162000</v>
      </c>
    </row>
    <row r="27" spans="1:14" ht="13.5" customHeight="1">
      <c r="A27" s="494" t="s">
        <v>390</v>
      </c>
      <c r="B27" s="485">
        <f>210000+1060845+383000+8458000+378000</f>
        <v>10489845</v>
      </c>
      <c r="C27" s="333"/>
      <c r="D27" s="351"/>
      <c r="E27" s="350"/>
      <c r="F27" s="333"/>
      <c r="G27" s="334">
        <f t="shared" si="3"/>
        <v>10489845</v>
      </c>
      <c r="H27" s="324"/>
      <c r="I27" s="332">
        <f>40773000+6010000+1233000+3429000+16678000+589000+117000+315000+86000+812000+3500000+1982000</f>
        <v>75524000</v>
      </c>
      <c r="J27" s="333">
        <f>6604000+2400000</f>
        <v>9004000</v>
      </c>
      <c r="K27" s="333"/>
      <c r="L27" s="351"/>
      <c r="M27" s="351"/>
      <c r="N27" s="334">
        <f t="shared" si="2"/>
        <v>84528000</v>
      </c>
    </row>
    <row r="28" spans="1:14" ht="12.75">
      <c r="A28" s="491" t="s">
        <v>404</v>
      </c>
      <c r="B28" s="483">
        <f>SUM(B29:B30)</f>
        <v>1309657208</v>
      </c>
      <c r="C28" s="319">
        <f>SUM(C29:C30)</f>
        <v>0</v>
      </c>
      <c r="D28" s="319">
        <f>SUM(D29:D30)</f>
        <v>0</v>
      </c>
      <c r="E28" s="318"/>
      <c r="F28" s="318"/>
      <c r="G28" s="322">
        <f>SUM(G29:G30)</f>
        <v>1309657208</v>
      </c>
      <c r="H28" s="352"/>
      <c r="I28" s="330">
        <f>SUM(I29:I30)</f>
        <v>35166432</v>
      </c>
      <c r="J28" s="330">
        <f>SUM(J29:J30)</f>
        <v>0</v>
      </c>
      <c r="K28" s="330">
        <f>SUM(K29:K30)</f>
        <v>0</v>
      </c>
      <c r="L28" s="330">
        <f>SUM(L29:L30)</f>
        <v>0</v>
      </c>
      <c r="M28" s="330">
        <f>SUM(M29:M30)</f>
        <v>0</v>
      </c>
      <c r="N28" s="322">
        <f t="shared" si="2"/>
        <v>35166432</v>
      </c>
    </row>
    <row r="29" spans="1:14" ht="12.75">
      <c r="A29" s="492" t="s">
        <v>405</v>
      </c>
      <c r="B29" s="483">
        <f>996138958+24250000-24250000+413944+9514709</f>
        <v>1006067611</v>
      </c>
      <c r="C29" s="319"/>
      <c r="D29" s="325"/>
      <c r="E29" s="325"/>
      <c r="F29" s="325"/>
      <c r="G29" s="327">
        <f aca="true" t="shared" si="4" ref="G29:G50">SUM(B29:F29)</f>
        <v>1006067611</v>
      </c>
      <c r="H29" s="324"/>
      <c r="I29" s="316"/>
      <c r="J29" s="325"/>
      <c r="K29" s="325"/>
      <c r="L29" s="325"/>
      <c r="M29" s="325"/>
      <c r="N29" s="331">
        <f t="shared" si="2"/>
        <v>0</v>
      </c>
    </row>
    <row r="30" spans="1:14" ht="12.75">
      <c r="A30" s="492" t="s">
        <v>406</v>
      </c>
      <c r="B30" s="486">
        <f>110446000+168707597+58000+128000+24250000</f>
        <v>303589597</v>
      </c>
      <c r="C30" s="354"/>
      <c r="D30" s="319"/>
      <c r="E30" s="325"/>
      <c r="F30" s="325"/>
      <c r="G30" s="327">
        <f t="shared" si="4"/>
        <v>303589597</v>
      </c>
      <c r="H30" s="324"/>
      <c r="I30" s="316">
        <f>35164932+1500</f>
        <v>35166432</v>
      </c>
      <c r="J30" s="325"/>
      <c r="K30" s="325"/>
      <c r="L30" s="325"/>
      <c r="M30" s="325"/>
      <c r="N30" s="322">
        <f t="shared" si="2"/>
        <v>35166432</v>
      </c>
    </row>
    <row r="31" spans="1:14" ht="12.75">
      <c r="A31" s="360" t="s">
        <v>391</v>
      </c>
      <c r="B31" s="483">
        <v>30000</v>
      </c>
      <c r="C31" s="319"/>
      <c r="D31" s="319"/>
      <c r="E31" s="319">
        <v>144100000</v>
      </c>
      <c r="F31" s="571">
        <v>289331423</v>
      </c>
      <c r="G31" s="314">
        <f t="shared" si="4"/>
        <v>433461423</v>
      </c>
      <c r="H31" s="315"/>
      <c r="I31" s="316">
        <v>11212000</v>
      </c>
      <c r="J31" s="319"/>
      <c r="K31" s="319">
        <v>1227005827</v>
      </c>
      <c r="L31" s="319">
        <v>103161000</v>
      </c>
      <c r="M31" s="319">
        <f>113567657-1600000+22000000-26600000-3939600</f>
        <v>103428057</v>
      </c>
      <c r="N31" s="322">
        <f t="shared" si="2"/>
        <v>1444806884</v>
      </c>
    </row>
    <row r="32" spans="1:14" ht="12.75">
      <c r="A32" s="360" t="s">
        <v>407</v>
      </c>
      <c r="B32" s="484"/>
      <c r="C32" s="325"/>
      <c r="D32" s="325"/>
      <c r="E32" s="325"/>
      <c r="F32" s="325"/>
      <c r="G32" s="322">
        <f t="shared" si="4"/>
        <v>0</v>
      </c>
      <c r="H32" s="324"/>
      <c r="I32" s="316"/>
      <c r="J32" s="319"/>
      <c r="K32" s="319"/>
      <c r="L32" s="319"/>
      <c r="M32" s="319"/>
      <c r="N32" s="322">
        <f t="shared" si="2"/>
        <v>0</v>
      </c>
    </row>
    <row r="33" spans="1:14" ht="12.75">
      <c r="A33" s="360" t="s">
        <v>392</v>
      </c>
      <c r="B33" s="483"/>
      <c r="C33" s="319"/>
      <c r="D33" s="319"/>
      <c r="E33" s="319"/>
      <c r="F33" s="319"/>
      <c r="G33" s="322">
        <f t="shared" si="4"/>
        <v>0</v>
      </c>
      <c r="H33" s="324"/>
      <c r="I33" s="316">
        <v>590000</v>
      </c>
      <c r="J33" s="319"/>
      <c r="K33" s="319"/>
      <c r="L33" s="319"/>
      <c r="M33" s="319"/>
      <c r="N33" s="322">
        <f t="shared" si="2"/>
        <v>590000</v>
      </c>
    </row>
    <row r="34" spans="1:14" ht="12.75">
      <c r="A34" s="494" t="s">
        <v>393</v>
      </c>
      <c r="B34" s="485"/>
      <c r="C34" s="333"/>
      <c r="D34" s="333"/>
      <c r="E34" s="333"/>
      <c r="F34" s="333"/>
      <c r="G34" s="322">
        <f t="shared" si="4"/>
        <v>0</v>
      </c>
      <c r="H34" s="324"/>
      <c r="I34" s="332">
        <f>3351000+3939600</f>
        <v>7290600</v>
      </c>
      <c r="J34" s="333"/>
      <c r="K34" s="333"/>
      <c r="L34" s="333"/>
      <c r="M34" s="333"/>
      <c r="N34" s="322">
        <f t="shared" si="2"/>
        <v>7290600</v>
      </c>
    </row>
    <row r="35" spans="1:14" ht="12.75">
      <c r="A35" s="494" t="s">
        <v>555</v>
      </c>
      <c r="B35" s="485"/>
      <c r="C35" s="333"/>
      <c r="D35" s="333"/>
      <c r="E35" s="333"/>
      <c r="F35" s="333"/>
      <c r="G35" s="322">
        <f t="shared" si="4"/>
        <v>0</v>
      </c>
      <c r="H35" s="324"/>
      <c r="I35" s="332"/>
      <c r="J35" s="333"/>
      <c r="K35" s="333"/>
      <c r="L35" s="333"/>
      <c r="M35" s="333"/>
      <c r="N35" s="314">
        <f t="shared" si="2"/>
        <v>0</v>
      </c>
    </row>
    <row r="36" spans="1:14" ht="12.75">
      <c r="A36" s="494" t="s">
        <v>409</v>
      </c>
      <c r="B36" s="485"/>
      <c r="C36" s="333"/>
      <c r="D36" s="333"/>
      <c r="E36" s="333"/>
      <c r="F36" s="333"/>
      <c r="G36" s="322">
        <f t="shared" si="4"/>
        <v>0</v>
      </c>
      <c r="H36" s="324"/>
      <c r="I36" s="332">
        <f>7083000+24000+4600+6200</f>
        <v>7117800</v>
      </c>
      <c r="J36" s="333">
        <v>301000</v>
      </c>
      <c r="K36" s="333"/>
      <c r="L36" s="333"/>
      <c r="M36" s="333"/>
      <c r="N36" s="314">
        <f t="shared" si="2"/>
        <v>7418800</v>
      </c>
    </row>
    <row r="37" spans="1:14" ht="12.75">
      <c r="A37" s="494" t="s">
        <v>410</v>
      </c>
      <c r="B37" s="485">
        <v>947000</v>
      </c>
      <c r="C37" s="333"/>
      <c r="D37" s="333"/>
      <c r="E37" s="333"/>
      <c r="F37" s="333"/>
      <c r="G37" s="322">
        <f t="shared" si="4"/>
        <v>947000</v>
      </c>
      <c r="H37" s="324"/>
      <c r="I37" s="332">
        <v>16980000</v>
      </c>
      <c r="J37" s="333"/>
      <c r="K37" s="333"/>
      <c r="L37" s="333"/>
      <c r="M37" s="333"/>
      <c r="N37" s="314">
        <f t="shared" si="2"/>
        <v>16980000</v>
      </c>
    </row>
    <row r="38" spans="1:14" ht="12.75">
      <c r="A38" s="494" t="s">
        <v>500</v>
      </c>
      <c r="B38" s="485">
        <v>704000</v>
      </c>
      <c r="C38" s="333"/>
      <c r="D38" s="333"/>
      <c r="E38" s="333"/>
      <c r="F38" s="333"/>
      <c r="G38" s="322">
        <f t="shared" si="4"/>
        <v>704000</v>
      </c>
      <c r="H38" s="324"/>
      <c r="I38" s="410">
        <v>70980000</v>
      </c>
      <c r="J38" s="333"/>
      <c r="K38" s="333"/>
      <c r="L38" s="333"/>
      <c r="M38" s="333"/>
      <c r="N38" s="314">
        <f t="shared" si="2"/>
        <v>70980000</v>
      </c>
    </row>
    <row r="39" spans="1:14" ht="12.75">
      <c r="A39" s="494" t="s">
        <v>394</v>
      </c>
      <c r="B39" s="485"/>
      <c r="C39" s="333"/>
      <c r="D39" s="333"/>
      <c r="E39" s="333"/>
      <c r="F39" s="333"/>
      <c r="G39" s="322">
        <f t="shared" si="4"/>
        <v>0</v>
      </c>
      <c r="H39" s="324"/>
      <c r="I39" s="332"/>
      <c r="J39" s="333"/>
      <c r="K39" s="333"/>
      <c r="L39" s="333"/>
      <c r="M39" s="333"/>
      <c r="N39" s="314">
        <f t="shared" si="2"/>
        <v>0</v>
      </c>
    </row>
    <row r="40" spans="1:14" ht="12.75">
      <c r="A40" s="494" t="s">
        <v>2</v>
      </c>
      <c r="B40" s="485"/>
      <c r="C40" s="333"/>
      <c r="D40" s="333"/>
      <c r="E40" s="333"/>
      <c r="F40" s="333"/>
      <c r="G40" s="322">
        <f t="shared" si="4"/>
        <v>0</v>
      </c>
      <c r="H40" s="324"/>
      <c r="I40" s="332">
        <v>1600000</v>
      </c>
      <c r="J40" s="333"/>
      <c r="K40" s="333"/>
      <c r="L40" s="333"/>
      <c r="M40" s="333"/>
      <c r="N40" s="314">
        <f t="shared" si="2"/>
        <v>1600000</v>
      </c>
    </row>
    <row r="41" spans="1:14" ht="12.75">
      <c r="A41" s="494" t="s">
        <v>395</v>
      </c>
      <c r="B41" s="485">
        <v>6350000</v>
      </c>
      <c r="C41" s="333"/>
      <c r="D41" s="333"/>
      <c r="E41" s="333"/>
      <c r="F41" s="333"/>
      <c r="G41" s="322">
        <f t="shared" si="4"/>
        <v>6350000</v>
      </c>
      <c r="H41" s="324"/>
      <c r="I41" s="332">
        <v>1350000</v>
      </c>
      <c r="J41" s="333"/>
      <c r="K41" s="333"/>
      <c r="L41" s="333"/>
      <c r="M41" s="333"/>
      <c r="N41" s="314">
        <f t="shared" si="2"/>
        <v>1350000</v>
      </c>
    </row>
    <row r="42" spans="1:14" ht="12.75">
      <c r="A42" s="360" t="s">
        <v>396</v>
      </c>
      <c r="B42" s="481">
        <v>1566000</v>
      </c>
      <c r="C42" s="333"/>
      <c r="D42" s="333"/>
      <c r="E42" s="333"/>
      <c r="F42" s="333"/>
      <c r="G42" s="322">
        <f t="shared" si="4"/>
        <v>1566000</v>
      </c>
      <c r="H42" s="324"/>
      <c r="I42" s="332">
        <v>20327000</v>
      </c>
      <c r="J42" s="333">
        <v>42072000</v>
      </c>
      <c r="K42" s="356"/>
      <c r="L42" s="333"/>
      <c r="M42" s="333"/>
      <c r="N42" s="314">
        <f t="shared" si="2"/>
        <v>62399000</v>
      </c>
    </row>
    <row r="43" spans="1:14" ht="12.75">
      <c r="A43" s="495" t="s">
        <v>554</v>
      </c>
      <c r="B43" s="481"/>
      <c r="C43" s="333">
        <v>3797300</v>
      </c>
      <c r="D43" s="333"/>
      <c r="E43" s="333"/>
      <c r="F43" s="333"/>
      <c r="G43" s="322">
        <f t="shared" si="4"/>
        <v>3797300</v>
      </c>
      <c r="H43" s="324"/>
      <c r="I43" s="332">
        <v>3666988</v>
      </c>
      <c r="J43" s="333">
        <v>92095700</v>
      </c>
      <c r="K43" s="356"/>
      <c r="L43" s="333"/>
      <c r="M43" s="333"/>
      <c r="N43" s="314">
        <f t="shared" si="2"/>
        <v>95762688</v>
      </c>
    </row>
    <row r="44" spans="1:14" ht="12.75">
      <c r="A44" s="360" t="s">
        <v>397</v>
      </c>
      <c r="B44" s="481">
        <v>16176000</v>
      </c>
      <c r="C44" s="333">
        <f>31032000+22270000</f>
        <v>53302000</v>
      </c>
      <c r="D44" s="333"/>
      <c r="E44" s="333"/>
      <c r="F44" s="333"/>
      <c r="G44" s="322">
        <f t="shared" si="4"/>
        <v>69478000</v>
      </c>
      <c r="H44" s="324"/>
      <c r="I44" s="332">
        <f>17736000+8485000+411000+270000-6684000-1804680</f>
        <v>18413320</v>
      </c>
      <c r="J44" s="333">
        <f>5906000+771000+208170+5913000+1596510</f>
        <v>14394680</v>
      </c>
      <c r="K44" s="333"/>
      <c r="L44" s="333"/>
      <c r="M44" s="333"/>
      <c r="N44" s="314">
        <f t="shared" si="2"/>
        <v>32808000</v>
      </c>
    </row>
    <row r="45" spans="1:14" ht="12.75">
      <c r="A45" s="360" t="s">
        <v>18</v>
      </c>
      <c r="B45" s="485"/>
      <c r="C45" s="333"/>
      <c r="D45" s="333"/>
      <c r="E45" s="333"/>
      <c r="F45" s="333"/>
      <c r="G45" s="322">
        <f t="shared" si="4"/>
        <v>0</v>
      </c>
      <c r="H45" s="324"/>
      <c r="I45" s="332"/>
      <c r="J45" s="333"/>
      <c r="K45" s="333"/>
      <c r="L45" s="333"/>
      <c r="M45" s="333"/>
      <c r="N45" s="314">
        <f t="shared" si="2"/>
        <v>0</v>
      </c>
    </row>
    <row r="46" spans="1:14" ht="12.75">
      <c r="A46" s="495" t="s">
        <v>557</v>
      </c>
      <c r="B46" s="485">
        <f>69942000+9665887+291175856+94906504</f>
        <v>465690247</v>
      </c>
      <c r="C46" s="333">
        <f>15179276</f>
        <v>15179276</v>
      </c>
      <c r="D46" s="333"/>
      <c r="E46" s="333"/>
      <c r="F46" s="333"/>
      <c r="G46" s="322">
        <f t="shared" si="4"/>
        <v>480869523</v>
      </c>
      <c r="H46" s="324"/>
      <c r="I46" s="332">
        <f>189014000+58000+8708008+957879+232903371+25618911+28972366+7822538+20000+400000+312000+94906504</f>
        <v>589693577</v>
      </c>
      <c r="J46" s="333">
        <f>204000+11952186+3227090</f>
        <v>15383276</v>
      </c>
      <c r="K46" s="333"/>
      <c r="L46" s="333"/>
      <c r="M46" s="333"/>
      <c r="N46" s="314">
        <f t="shared" si="2"/>
        <v>605076853</v>
      </c>
    </row>
    <row r="47" spans="1:14" ht="12.75">
      <c r="A47" s="360" t="s">
        <v>412</v>
      </c>
      <c r="B47" s="485"/>
      <c r="C47" s="333"/>
      <c r="D47" s="333"/>
      <c r="E47" s="333"/>
      <c r="F47" s="333"/>
      <c r="G47" s="322">
        <f t="shared" si="4"/>
        <v>0</v>
      </c>
      <c r="H47" s="324"/>
      <c r="I47" s="332"/>
      <c r="J47" s="333"/>
      <c r="K47" s="333"/>
      <c r="L47" s="333"/>
      <c r="M47" s="333"/>
      <c r="N47" s="314">
        <f t="shared" si="2"/>
        <v>0</v>
      </c>
    </row>
    <row r="48" spans="1:14" ht="12.75">
      <c r="A48" s="494" t="s">
        <v>514</v>
      </c>
      <c r="B48" s="485"/>
      <c r="C48" s="333"/>
      <c r="D48" s="333"/>
      <c r="E48" s="333"/>
      <c r="F48" s="333"/>
      <c r="G48" s="334">
        <f t="shared" si="4"/>
        <v>0</v>
      </c>
      <c r="H48" s="324"/>
      <c r="I48" s="332">
        <v>46750042</v>
      </c>
      <c r="J48" s="333"/>
      <c r="K48" s="333"/>
      <c r="L48" s="333"/>
      <c r="M48" s="333"/>
      <c r="N48" s="314">
        <f t="shared" si="2"/>
        <v>46750042</v>
      </c>
    </row>
    <row r="49" spans="1:14" ht="12.75">
      <c r="A49" s="494" t="s">
        <v>499</v>
      </c>
      <c r="B49" s="485">
        <v>204000</v>
      </c>
      <c r="C49" s="333"/>
      <c r="D49" s="333"/>
      <c r="E49" s="333"/>
      <c r="F49" s="333"/>
      <c r="G49" s="334">
        <f t="shared" si="4"/>
        <v>204000</v>
      </c>
      <c r="H49" s="324"/>
      <c r="I49" s="572">
        <f>1256800-50000</f>
        <v>1206800</v>
      </c>
      <c r="J49" s="333">
        <v>90200</v>
      </c>
      <c r="K49" s="333"/>
      <c r="L49" s="333"/>
      <c r="M49" s="333"/>
      <c r="N49" s="335">
        <f t="shared" si="2"/>
        <v>1297000</v>
      </c>
    </row>
    <row r="50" spans="1:14" ht="13.5" thickBot="1">
      <c r="A50" s="360" t="s">
        <v>556</v>
      </c>
      <c r="B50" s="485"/>
      <c r="C50" s="333"/>
      <c r="D50" s="333"/>
      <c r="E50" s="333"/>
      <c r="F50" s="333"/>
      <c r="G50" s="334">
        <f t="shared" si="4"/>
        <v>0</v>
      </c>
      <c r="H50" s="324"/>
      <c r="I50" s="332">
        <v>1200000</v>
      </c>
      <c r="J50" s="333"/>
      <c r="K50" s="333"/>
      <c r="L50" s="333"/>
      <c r="M50" s="333"/>
      <c r="N50" s="335">
        <f t="shared" si="2"/>
        <v>1200000</v>
      </c>
    </row>
    <row r="51" spans="1:14" ht="12.75">
      <c r="A51" s="498" t="s">
        <v>60</v>
      </c>
      <c r="B51" s="496">
        <f>SUM(B9:B13,B14:B20,B25:B28,B31:B50,B24)</f>
        <v>1823274300</v>
      </c>
      <c r="C51" s="336">
        <f>SUM(C9:C13,C14:C20,C25:C28,C31:C50,C24)</f>
        <v>72278576</v>
      </c>
      <c r="D51" s="336">
        <f>SUM(D9:D13,D14:D20,D25:D28,D31:D50,D24)</f>
        <v>319390000</v>
      </c>
      <c r="E51" s="336">
        <f>SUM(E9:E13,E14:E20,E25:E28,E31:E50,E24)</f>
        <v>144100000</v>
      </c>
      <c r="F51" s="336">
        <f>SUM(F9:F13,F14:F20,F25:F28,F31:F50,F24)</f>
        <v>289331423</v>
      </c>
      <c r="G51" s="336">
        <f>SUM(G9:G13,G14:G20,G24:G28,G31:G37,G38:G50,)</f>
        <v>2648374299</v>
      </c>
      <c r="H51" s="336" t="e">
        <f>SUM(H9:H13,H15:H20,H25:H28,H31:H37,H38:H50)</f>
        <v>#REF!</v>
      </c>
      <c r="I51" s="336">
        <f aca="true" t="shared" si="5" ref="I51:N51">SUM(I9:I13,I14:I20,I25:I28,I31:I50,I24)</f>
        <v>1030538559</v>
      </c>
      <c r="J51" s="336">
        <f t="shared" si="5"/>
        <v>184240856</v>
      </c>
      <c r="K51" s="336">
        <f t="shared" si="5"/>
        <v>1227005827</v>
      </c>
      <c r="L51" s="336">
        <f t="shared" si="5"/>
        <v>103161000</v>
      </c>
      <c r="M51" s="336">
        <f t="shared" si="5"/>
        <v>103428057</v>
      </c>
      <c r="N51" s="337">
        <f t="shared" si="5"/>
        <v>2648374299</v>
      </c>
    </row>
    <row r="52" spans="1:14" ht="12.75">
      <c r="A52" s="499" t="s">
        <v>398</v>
      </c>
      <c r="B52" s="497"/>
      <c r="C52" s="313"/>
      <c r="D52" s="313"/>
      <c r="E52" s="313"/>
      <c r="F52" s="313"/>
      <c r="G52" s="314"/>
      <c r="H52" s="338"/>
      <c r="I52" s="317"/>
      <c r="J52" s="319"/>
      <c r="K52" s="326">
        <v>1227005827</v>
      </c>
      <c r="L52" s="313"/>
      <c r="M52" s="313"/>
      <c r="N52" s="339">
        <f>SUM(I52:M52)</f>
        <v>1227005827</v>
      </c>
    </row>
    <row r="53" spans="1:14" ht="13.5" thickBot="1">
      <c r="A53" s="340" t="s">
        <v>71</v>
      </c>
      <c r="B53" s="341">
        <f aca="true" t="shared" si="6" ref="B53:N53">B51-B52</f>
        <v>1823274300</v>
      </c>
      <c r="C53" s="342">
        <f t="shared" si="6"/>
        <v>72278576</v>
      </c>
      <c r="D53" s="342">
        <f t="shared" si="6"/>
        <v>319390000</v>
      </c>
      <c r="E53" s="342">
        <f t="shared" si="6"/>
        <v>144100000</v>
      </c>
      <c r="F53" s="342">
        <f t="shared" si="6"/>
        <v>289331423</v>
      </c>
      <c r="G53" s="342">
        <f t="shared" si="6"/>
        <v>2648374299</v>
      </c>
      <c r="H53" s="343" t="e">
        <f t="shared" si="6"/>
        <v>#REF!</v>
      </c>
      <c r="I53" s="341">
        <f t="shared" si="6"/>
        <v>1030538559</v>
      </c>
      <c r="J53" s="342">
        <f t="shared" si="6"/>
        <v>184240856</v>
      </c>
      <c r="K53" s="342">
        <f t="shared" si="6"/>
        <v>0</v>
      </c>
      <c r="L53" s="342">
        <f t="shared" si="6"/>
        <v>103161000</v>
      </c>
      <c r="M53" s="342">
        <f t="shared" si="6"/>
        <v>103428057</v>
      </c>
      <c r="N53" s="344">
        <f t="shared" si="6"/>
        <v>1421368472</v>
      </c>
    </row>
    <row r="54" spans="1:14" ht="12.75">
      <c r="A54" s="345"/>
      <c r="B54" s="346"/>
      <c r="C54" s="346"/>
      <c r="D54" s="346"/>
      <c r="E54" s="346"/>
      <c r="F54" s="346"/>
      <c r="G54" s="329"/>
      <c r="H54" s="329"/>
      <c r="I54" s="347"/>
      <c r="J54" s="346"/>
      <c r="K54" s="348"/>
      <c r="L54" s="347"/>
      <c r="M54" s="347"/>
      <c r="N54" s="328"/>
    </row>
    <row r="55" spans="1:14" ht="12.75">
      <c r="A55" s="345"/>
      <c r="B55" s="346"/>
      <c r="C55" s="346"/>
      <c r="D55" s="346"/>
      <c r="E55" s="346"/>
      <c r="F55" s="346"/>
      <c r="G55" s="329"/>
      <c r="H55" s="329"/>
      <c r="I55" s="346"/>
      <c r="J55" s="346"/>
      <c r="K55" s="348"/>
      <c r="L55" s="347"/>
      <c r="M55" s="347"/>
      <c r="N55" s="328"/>
    </row>
    <row r="56" spans="1:14" ht="12.75">
      <c r="A56" s="345"/>
      <c r="B56" s="346"/>
      <c r="C56" s="346"/>
      <c r="D56" s="346"/>
      <c r="E56" s="346"/>
      <c r="F56" s="346"/>
      <c r="G56" s="329"/>
      <c r="H56" s="329"/>
      <c r="I56" s="349"/>
      <c r="J56" s="346"/>
      <c r="K56" s="328"/>
      <c r="L56" s="346"/>
      <c r="M56" s="346"/>
      <c r="N56" s="328"/>
    </row>
    <row r="57" spans="1:14" ht="12.75">
      <c r="A57" s="345"/>
      <c r="B57" s="346"/>
      <c r="C57" s="346"/>
      <c r="D57" s="346"/>
      <c r="E57" s="346"/>
      <c r="F57" s="346"/>
      <c r="G57" s="329"/>
      <c r="H57" s="329"/>
      <c r="I57" s="346"/>
      <c r="J57" s="346"/>
      <c r="K57" s="328"/>
      <c r="L57" s="346"/>
      <c r="M57" s="346"/>
      <c r="N57" s="328"/>
    </row>
    <row r="58" spans="1:14" ht="12.75">
      <c r="A58" s="345"/>
      <c r="B58" s="346"/>
      <c r="C58" s="346"/>
      <c r="D58" s="346"/>
      <c r="E58" s="346"/>
      <c r="F58" s="346"/>
      <c r="G58" s="329"/>
      <c r="H58" s="329"/>
      <c r="I58" s="346"/>
      <c r="J58" s="346"/>
      <c r="K58" s="328"/>
      <c r="L58" s="346"/>
      <c r="M58" s="346"/>
      <c r="N58" s="328"/>
    </row>
    <row r="59" spans="1:14" ht="12.75">
      <c r="A59" s="345"/>
      <c r="B59" s="346"/>
      <c r="C59" s="346"/>
      <c r="D59" s="346"/>
      <c r="E59" s="346"/>
      <c r="F59" s="346"/>
      <c r="G59" s="329"/>
      <c r="H59" s="329"/>
      <c r="I59" s="346"/>
      <c r="J59" s="346"/>
      <c r="K59" s="328"/>
      <c r="L59" s="346"/>
      <c r="M59" s="346"/>
      <c r="N59" s="328"/>
    </row>
    <row r="60" spans="1:14" ht="12.75">
      <c r="A60" s="345"/>
      <c r="B60" s="346"/>
      <c r="C60" s="346"/>
      <c r="D60" s="346"/>
      <c r="E60" s="346"/>
      <c r="F60" s="346"/>
      <c r="G60" s="329"/>
      <c r="H60" s="329"/>
      <c r="I60" s="346"/>
      <c r="J60" s="346"/>
      <c r="K60" s="328"/>
      <c r="L60" s="346"/>
      <c r="M60" s="346"/>
      <c r="N60" s="328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78" r:id="rId1"/>
  <headerFooter alignWithMargins="0">
    <oddHeader>&amp;R15. melléklet a 12/2017.(IV.11.) önkormányzati rendelethez
TÁJÉKOZTATÓ TÁBLA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03">
    <tabColor rgb="FF92D050"/>
  </sheetPr>
  <dimension ref="A1:I159"/>
  <sheetViews>
    <sheetView zoomScaleSheetLayoutView="100" workbookViewId="0" topLeftCell="A128">
      <selection activeCell="B160" sqref="B160"/>
    </sheetView>
  </sheetViews>
  <sheetFormatPr defaultColWidth="9.00390625" defaultRowHeight="12.75"/>
  <cols>
    <col min="1" max="1" width="9.50390625" style="190" customWidth="1"/>
    <col min="2" max="2" width="79.00390625" style="190" customWidth="1"/>
    <col min="3" max="3" width="21.625" style="191" customWidth="1"/>
    <col min="4" max="4" width="19.375" style="201" hidden="1" customWidth="1"/>
    <col min="5" max="5" width="15.875" style="201" hidden="1" customWidth="1"/>
    <col min="6" max="6" width="15.375" style="201" hidden="1" customWidth="1"/>
    <col min="7" max="16384" width="9.375" style="201" customWidth="1"/>
  </cols>
  <sheetData>
    <row r="1" spans="1:3" ht="15.75" customHeight="1">
      <c r="A1" s="598" t="s">
        <v>25</v>
      </c>
      <c r="B1" s="598"/>
      <c r="C1" s="598"/>
    </row>
    <row r="2" spans="1:3" ht="15.75" customHeight="1" thickBot="1">
      <c r="A2" s="597" t="s">
        <v>128</v>
      </c>
      <c r="B2" s="597"/>
      <c r="C2" s="138" t="s">
        <v>534</v>
      </c>
    </row>
    <row r="3" spans="1:6" ht="37.5" customHeight="1" thickBot="1">
      <c r="A3" s="22" t="s">
        <v>76</v>
      </c>
      <c r="B3" s="23" t="s">
        <v>27</v>
      </c>
      <c r="C3" s="31" t="s">
        <v>524</v>
      </c>
      <c r="D3" s="190" t="s">
        <v>558</v>
      </c>
      <c r="E3" s="190" t="s">
        <v>559</v>
      </c>
      <c r="F3" s="190" t="s">
        <v>560</v>
      </c>
    </row>
    <row r="4" spans="1:3" s="202" customFormat="1" ht="12" customHeight="1" thickBot="1">
      <c r="A4" s="196" t="s">
        <v>414</v>
      </c>
      <c r="B4" s="197" t="s">
        <v>415</v>
      </c>
      <c r="C4" s="198" t="s">
        <v>416</v>
      </c>
    </row>
    <row r="5" spans="1:6" s="203" customFormat="1" ht="12" customHeight="1" thickBot="1">
      <c r="A5" s="19" t="s">
        <v>28</v>
      </c>
      <c r="B5" s="20" t="s">
        <v>194</v>
      </c>
      <c r="C5" s="134">
        <f aca="true" t="shared" si="0" ref="C5:C36">SUM(D5:F5)</f>
        <v>1031461139</v>
      </c>
      <c r="D5" s="431">
        <f>+D6+D7+D8+D9+D10+D11</f>
        <v>1031461139</v>
      </c>
      <c r="E5" s="129">
        <f>+E6+E7+E8+E9+E10+E11</f>
        <v>0</v>
      </c>
      <c r="F5" s="129">
        <f>+F6+F7+F8+F9+F10+F11</f>
        <v>0</v>
      </c>
    </row>
    <row r="6" spans="1:6" s="203" customFormat="1" ht="12" customHeight="1">
      <c r="A6" s="14" t="s">
        <v>101</v>
      </c>
      <c r="B6" s="204" t="s">
        <v>195</v>
      </c>
      <c r="C6" s="556">
        <f t="shared" si="0"/>
        <v>228418282</v>
      </c>
      <c r="D6" s="438">
        <f>227512539+905743</f>
        <v>228418282</v>
      </c>
      <c r="E6" s="230"/>
      <c r="F6" s="230"/>
    </row>
    <row r="7" spans="1:6" s="203" customFormat="1" ht="12" customHeight="1">
      <c r="A7" s="13" t="s">
        <v>102</v>
      </c>
      <c r="B7" s="205" t="s">
        <v>196</v>
      </c>
      <c r="C7" s="557">
        <f t="shared" si="0"/>
        <v>218107294</v>
      </c>
      <c r="D7" s="385">
        <f>218107294</f>
        <v>218107294</v>
      </c>
      <c r="E7" s="133"/>
      <c r="F7" s="133"/>
    </row>
    <row r="8" spans="1:6" s="203" customFormat="1" ht="12" customHeight="1">
      <c r="A8" s="13" t="s">
        <v>103</v>
      </c>
      <c r="B8" s="205" t="s">
        <v>516</v>
      </c>
      <c r="C8" s="557">
        <f t="shared" si="0"/>
        <v>371167705</v>
      </c>
      <c r="D8" s="385">
        <f>121200000+67844165+177597260+4526280+11511000+24250000-35761000</f>
        <v>371167705</v>
      </c>
      <c r="E8" s="133"/>
      <c r="F8" s="133"/>
    </row>
    <row r="9" spans="1:6" s="203" customFormat="1" ht="12" customHeight="1">
      <c r="A9" s="13" t="s">
        <v>104</v>
      </c>
      <c r="B9" s="205" t="s">
        <v>198</v>
      </c>
      <c r="C9" s="557">
        <f t="shared" si="0"/>
        <v>25891320</v>
      </c>
      <c r="D9" s="385">
        <f>4412740+15262320+10629000-4412740</f>
        <v>25891320</v>
      </c>
      <c r="E9" s="133"/>
      <c r="F9" s="133"/>
    </row>
    <row r="10" spans="1:6" s="203" customFormat="1" ht="12" customHeight="1">
      <c r="A10" s="13" t="s">
        <v>125</v>
      </c>
      <c r="B10" s="125" t="s">
        <v>417</v>
      </c>
      <c r="C10" s="557">
        <f t="shared" si="0"/>
        <v>187876538</v>
      </c>
      <c r="D10" s="385">
        <f>1060845+3551000+168707597+128000+58000+13957152+413944</f>
        <v>187876538</v>
      </c>
      <c r="E10" s="133"/>
      <c r="F10" s="133"/>
    </row>
    <row r="11" spans="1:6" s="203" customFormat="1" ht="12" customHeight="1" thickBot="1">
      <c r="A11" s="15" t="s">
        <v>105</v>
      </c>
      <c r="B11" s="126" t="s">
        <v>418</v>
      </c>
      <c r="C11" s="558">
        <f t="shared" si="0"/>
        <v>0</v>
      </c>
      <c r="D11" s="116"/>
      <c r="E11" s="130"/>
      <c r="F11" s="130"/>
    </row>
    <row r="12" spans="1:6" s="203" customFormat="1" ht="12" customHeight="1" thickBot="1">
      <c r="A12" s="19" t="s">
        <v>29</v>
      </c>
      <c r="B12" s="124" t="s">
        <v>199</v>
      </c>
      <c r="C12" s="134">
        <f t="shared" si="0"/>
        <v>486611092</v>
      </c>
      <c r="D12" s="431">
        <f>+D13+D14+D15+D16+D17</f>
        <v>486611092</v>
      </c>
      <c r="E12" s="129">
        <f>+E13+E14+E15+E16+E17</f>
        <v>0</v>
      </c>
      <c r="F12" s="129">
        <f>+F13+F14+F15+F16+F17</f>
        <v>0</v>
      </c>
    </row>
    <row r="13" spans="1:6" s="203" customFormat="1" ht="12" customHeight="1">
      <c r="A13" s="14" t="s">
        <v>107</v>
      </c>
      <c r="B13" s="204" t="s">
        <v>200</v>
      </c>
      <c r="C13" s="556">
        <f t="shared" si="0"/>
        <v>0</v>
      </c>
      <c r="D13" s="433"/>
      <c r="E13" s="131"/>
      <c r="F13" s="131"/>
    </row>
    <row r="14" spans="1:6" s="203" customFormat="1" ht="12" customHeight="1">
      <c r="A14" s="13" t="s">
        <v>108</v>
      </c>
      <c r="B14" s="205" t="s">
        <v>201</v>
      </c>
      <c r="C14" s="557">
        <f t="shared" si="0"/>
        <v>0</v>
      </c>
      <c r="D14" s="116"/>
      <c r="E14" s="130"/>
      <c r="F14" s="130"/>
    </row>
    <row r="15" spans="1:6" s="203" customFormat="1" ht="12" customHeight="1">
      <c r="A15" s="13" t="s">
        <v>109</v>
      </c>
      <c r="B15" s="205" t="s">
        <v>352</v>
      </c>
      <c r="C15" s="557">
        <f t="shared" si="0"/>
        <v>0</v>
      </c>
      <c r="D15" s="116"/>
      <c r="E15" s="130"/>
      <c r="F15" s="130"/>
    </row>
    <row r="16" spans="1:6" s="203" customFormat="1" ht="12" customHeight="1">
      <c r="A16" s="13" t="s">
        <v>110</v>
      </c>
      <c r="B16" s="205" t="s">
        <v>353</v>
      </c>
      <c r="C16" s="557">
        <f t="shared" si="0"/>
        <v>0</v>
      </c>
      <c r="D16" s="116"/>
      <c r="E16" s="130"/>
      <c r="F16" s="130"/>
    </row>
    <row r="17" spans="1:6" s="203" customFormat="1" ht="12" customHeight="1">
      <c r="A17" s="13" t="s">
        <v>111</v>
      </c>
      <c r="B17" s="205" t="s">
        <v>202</v>
      </c>
      <c r="C17" s="557">
        <f t="shared" si="0"/>
        <v>486611092</v>
      </c>
      <c r="D17" s="385">
        <f>210000+65342000+25310845+9303887+291175856+362000+94906504</f>
        <v>486611092</v>
      </c>
      <c r="E17" s="390"/>
      <c r="F17" s="133"/>
    </row>
    <row r="18" spans="1:6" s="203" customFormat="1" ht="12" customHeight="1" thickBot="1">
      <c r="A18" s="15" t="s">
        <v>120</v>
      </c>
      <c r="B18" s="126" t="s">
        <v>203</v>
      </c>
      <c r="C18" s="558">
        <f t="shared" si="0"/>
        <v>0</v>
      </c>
      <c r="D18" s="117"/>
      <c r="E18" s="193"/>
      <c r="F18" s="193"/>
    </row>
    <row r="19" spans="1:6" s="203" customFormat="1" ht="12" customHeight="1" thickBot="1">
      <c r="A19" s="19" t="s">
        <v>30</v>
      </c>
      <c r="B19" s="20" t="s">
        <v>204</v>
      </c>
      <c r="C19" s="134">
        <f t="shared" si="0"/>
        <v>18976576</v>
      </c>
      <c r="D19" s="431">
        <f>+D20+D21+D22+D23+D24</f>
        <v>18976576</v>
      </c>
      <c r="E19" s="129">
        <f>+E20+E21+E22+E23+E24</f>
        <v>0</v>
      </c>
      <c r="F19" s="129">
        <f>+F20+F21+F22+F23+F24</f>
        <v>0</v>
      </c>
    </row>
    <row r="20" spans="1:6" s="203" customFormat="1" ht="12" customHeight="1">
      <c r="A20" s="14" t="s">
        <v>90</v>
      </c>
      <c r="B20" s="204" t="s">
        <v>205</v>
      </c>
      <c r="C20" s="556">
        <f t="shared" si="0"/>
        <v>0</v>
      </c>
      <c r="D20" s="501"/>
      <c r="E20" s="384"/>
      <c r="F20" s="384"/>
    </row>
    <row r="21" spans="1:6" s="203" customFormat="1" ht="12" customHeight="1">
      <c r="A21" s="13" t="s">
        <v>91</v>
      </c>
      <c r="B21" s="205" t="s">
        <v>206</v>
      </c>
      <c r="C21" s="557">
        <f t="shared" si="0"/>
        <v>0</v>
      </c>
      <c r="D21" s="385"/>
      <c r="E21" s="133"/>
      <c r="F21" s="133"/>
    </row>
    <row r="22" spans="1:6" s="203" customFormat="1" ht="12" customHeight="1">
      <c r="A22" s="13" t="s">
        <v>92</v>
      </c>
      <c r="B22" s="205" t="s">
        <v>354</v>
      </c>
      <c r="C22" s="557">
        <f t="shared" si="0"/>
        <v>0</v>
      </c>
      <c r="D22" s="385"/>
      <c r="E22" s="133"/>
      <c r="F22" s="133"/>
    </row>
    <row r="23" spans="1:6" s="203" customFormat="1" ht="12" customHeight="1">
      <c r="A23" s="13" t="s">
        <v>93</v>
      </c>
      <c r="B23" s="205" t="s">
        <v>355</v>
      </c>
      <c r="C23" s="557">
        <f t="shared" si="0"/>
        <v>0</v>
      </c>
      <c r="D23" s="385"/>
      <c r="E23" s="133"/>
      <c r="F23" s="133"/>
    </row>
    <row r="24" spans="1:6" s="203" customFormat="1" ht="12" customHeight="1">
      <c r="A24" s="13" t="s">
        <v>137</v>
      </c>
      <c r="B24" s="205" t="s">
        <v>207</v>
      </c>
      <c r="C24" s="557">
        <f t="shared" si="0"/>
        <v>18976576</v>
      </c>
      <c r="D24" s="385">
        <f>3797300+15179276</f>
        <v>18976576</v>
      </c>
      <c r="E24" s="133"/>
      <c r="F24" s="133"/>
    </row>
    <row r="25" spans="1:6" s="203" customFormat="1" ht="12" customHeight="1" thickBot="1">
      <c r="A25" s="15" t="s">
        <v>138</v>
      </c>
      <c r="B25" s="206" t="s">
        <v>208</v>
      </c>
      <c r="C25" s="558">
        <f t="shared" si="0"/>
        <v>3797300</v>
      </c>
      <c r="D25" s="397">
        <v>3797300</v>
      </c>
      <c r="E25" s="193"/>
      <c r="F25" s="132"/>
    </row>
    <row r="26" spans="1:6" s="203" customFormat="1" ht="12" customHeight="1" thickBot="1">
      <c r="A26" s="19" t="s">
        <v>139</v>
      </c>
      <c r="B26" s="20" t="s">
        <v>209</v>
      </c>
      <c r="C26" s="134">
        <f t="shared" si="0"/>
        <v>319390000</v>
      </c>
      <c r="D26" s="435">
        <f>+D27+D31+D32+D33</f>
        <v>319390000</v>
      </c>
      <c r="E26" s="134">
        <f>+E27+E31+E32+E33</f>
        <v>0</v>
      </c>
      <c r="F26" s="134">
        <f>+F27+F31+F32+F33</f>
        <v>0</v>
      </c>
    </row>
    <row r="27" spans="1:6" s="203" customFormat="1" ht="12" customHeight="1">
      <c r="A27" s="14" t="s">
        <v>210</v>
      </c>
      <c r="B27" s="204" t="s">
        <v>419</v>
      </c>
      <c r="C27" s="556">
        <f t="shared" si="0"/>
        <v>282830000</v>
      </c>
      <c r="D27" s="502">
        <f>SUM(D28:D30)</f>
        <v>282830000</v>
      </c>
      <c r="E27" s="199"/>
      <c r="F27" s="199"/>
    </row>
    <row r="28" spans="1:6" s="203" customFormat="1" ht="12" customHeight="1">
      <c r="A28" s="13" t="s">
        <v>211</v>
      </c>
      <c r="B28" s="205" t="s">
        <v>216</v>
      </c>
      <c r="C28" s="557">
        <f t="shared" si="0"/>
        <v>78990000</v>
      </c>
      <c r="D28" s="116">
        <f>8990000+70000000</f>
        <v>78990000</v>
      </c>
      <c r="E28" s="130"/>
      <c r="F28" s="130"/>
    </row>
    <row r="29" spans="1:6" s="203" customFormat="1" ht="12" customHeight="1">
      <c r="A29" s="13" t="s">
        <v>212</v>
      </c>
      <c r="B29" s="205" t="s">
        <v>507</v>
      </c>
      <c r="C29" s="557">
        <f t="shared" si="0"/>
        <v>203840000</v>
      </c>
      <c r="D29" s="116">
        <v>203840000</v>
      </c>
      <c r="E29" s="130"/>
      <c r="F29" s="130"/>
    </row>
    <row r="30" spans="1:6" s="203" customFormat="1" ht="12" customHeight="1">
      <c r="A30" s="13" t="s">
        <v>420</v>
      </c>
      <c r="B30" s="205" t="s">
        <v>504</v>
      </c>
      <c r="C30" s="557">
        <f t="shared" si="0"/>
        <v>0</v>
      </c>
      <c r="D30" s="385"/>
      <c r="E30" s="133"/>
      <c r="F30" s="133"/>
    </row>
    <row r="31" spans="1:6" s="203" customFormat="1" ht="12" customHeight="1">
      <c r="A31" s="13" t="s">
        <v>213</v>
      </c>
      <c r="B31" s="205" t="s">
        <v>218</v>
      </c>
      <c r="C31" s="557">
        <f t="shared" si="0"/>
        <v>27000000</v>
      </c>
      <c r="D31" s="116">
        <f>27000000</f>
        <v>27000000</v>
      </c>
      <c r="E31" s="130"/>
      <c r="F31" s="133"/>
    </row>
    <row r="32" spans="1:6" s="203" customFormat="1" ht="12" customHeight="1">
      <c r="A32" s="13" t="s">
        <v>214</v>
      </c>
      <c r="B32" s="205" t="s">
        <v>219</v>
      </c>
      <c r="C32" s="557">
        <f t="shared" si="0"/>
        <v>60000</v>
      </c>
      <c r="D32" s="116">
        <f>4060000-4000000</f>
        <v>60000</v>
      </c>
      <c r="E32" s="130"/>
      <c r="F32" s="133"/>
    </row>
    <row r="33" spans="1:6" s="203" customFormat="1" ht="12" customHeight="1" thickBot="1">
      <c r="A33" s="15" t="s">
        <v>215</v>
      </c>
      <c r="B33" s="206" t="s">
        <v>220</v>
      </c>
      <c r="C33" s="558">
        <f t="shared" si="0"/>
        <v>9500000</v>
      </c>
      <c r="D33" s="397">
        <f>5500000+4000000</f>
        <v>9500000</v>
      </c>
      <c r="E33" s="193"/>
      <c r="F33" s="193"/>
    </row>
    <row r="34" spans="1:6" s="203" customFormat="1" ht="12" customHeight="1" thickBot="1">
      <c r="A34" s="19" t="s">
        <v>32</v>
      </c>
      <c r="B34" s="20" t="s">
        <v>422</v>
      </c>
      <c r="C34" s="134">
        <f t="shared" si="0"/>
        <v>224216276</v>
      </c>
      <c r="D34" s="431">
        <f>SUM(D35:D45)</f>
        <v>43836000</v>
      </c>
      <c r="E34" s="129">
        <f>SUM(E35:E45)</f>
        <v>2748500</v>
      </c>
      <c r="F34" s="129">
        <f>SUM(F35:F45)</f>
        <v>177631776</v>
      </c>
    </row>
    <row r="35" spans="1:6" s="203" customFormat="1" ht="12" customHeight="1">
      <c r="A35" s="14" t="s">
        <v>94</v>
      </c>
      <c r="B35" s="204" t="s">
        <v>223</v>
      </c>
      <c r="C35" s="556">
        <f t="shared" si="0"/>
        <v>9150000</v>
      </c>
      <c r="D35" s="438">
        <f>4000000+5000000</f>
        <v>9000000</v>
      </c>
      <c r="E35" s="230"/>
      <c r="F35" s="230">
        <v>150000</v>
      </c>
    </row>
    <row r="36" spans="1:6" s="203" customFormat="1" ht="12" customHeight="1">
      <c r="A36" s="13" t="s">
        <v>95</v>
      </c>
      <c r="B36" s="205" t="s">
        <v>224</v>
      </c>
      <c r="C36" s="557">
        <f t="shared" si="0"/>
        <v>42613906</v>
      </c>
      <c r="D36" s="385">
        <f>100000+12004000</f>
        <v>12104000</v>
      </c>
      <c r="E36" s="133">
        <v>2164000</v>
      </c>
      <c r="F36" s="230">
        <v>28345906</v>
      </c>
    </row>
    <row r="37" spans="1:6" s="203" customFormat="1" ht="12" customHeight="1">
      <c r="A37" s="13" t="s">
        <v>96</v>
      </c>
      <c r="B37" s="205" t="s">
        <v>225</v>
      </c>
      <c r="C37" s="557">
        <f aca="true" t="shared" si="1" ref="C37:C68">SUM(D37:F37)</f>
        <v>84598340</v>
      </c>
      <c r="D37" s="385">
        <f>8458000+947000</f>
        <v>9405000</v>
      </c>
      <c r="E37" s="133"/>
      <c r="F37" s="230">
        <v>75193340</v>
      </c>
    </row>
    <row r="38" spans="1:6" s="203" customFormat="1" ht="12" customHeight="1">
      <c r="A38" s="13" t="s">
        <v>141</v>
      </c>
      <c r="B38" s="205" t="s">
        <v>226</v>
      </c>
      <c r="C38" s="557">
        <f t="shared" si="1"/>
        <v>430000</v>
      </c>
      <c r="D38" s="385">
        <f>430000</f>
        <v>430000</v>
      </c>
      <c r="E38" s="133"/>
      <c r="F38" s="230"/>
    </row>
    <row r="39" spans="1:6" s="203" customFormat="1" ht="12" customHeight="1">
      <c r="A39" s="13" t="s">
        <v>142</v>
      </c>
      <c r="B39" s="205" t="s">
        <v>227</v>
      </c>
      <c r="C39" s="557">
        <f t="shared" si="1"/>
        <v>23819682</v>
      </c>
      <c r="D39" s="385"/>
      <c r="E39" s="133"/>
      <c r="F39" s="230">
        <v>23819682</v>
      </c>
    </row>
    <row r="40" spans="1:6" s="203" customFormat="1" ht="12" customHeight="1">
      <c r="A40" s="13" t="s">
        <v>143</v>
      </c>
      <c r="B40" s="205" t="s">
        <v>228</v>
      </c>
      <c r="C40" s="557">
        <f t="shared" si="1"/>
        <v>41356348</v>
      </c>
      <c r="D40" s="385">
        <f>3242000+5853000+378000+600000+1350000+270000</f>
        <v>11693000</v>
      </c>
      <c r="E40" s="133">
        <v>584500</v>
      </c>
      <c r="F40" s="230">
        <v>29078848</v>
      </c>
    </row>
    <row r="41" spans="1:6" s="203" customFormat="1" ht="12" customHeight="1">
      <c r="A41" s="13" t="s">
        <v>144</v>
      </c>
      <c r="B41" s="205" t="s">
        <v>229</v>
      </c>
      <c r="C41" s="557">
        <f t="shared" si="1"/>
        <v>21034000</v>
      </c>
      <c r="D41" s="385"/>
      <c r="E41" s="133"/>
      <c r="F41" s="230">
        <v>21034000</v>
      </c>
    </row>
    <row r="42" spans="1:6" s="203" customFormat="1" ht="12" customHeight="1">
      <c r="A42" s="13" t="s">
        <v>145</v>
      </c>
      <c r="B42" s="205" t="s">
        <v>517</v>
      </c>
      <c r="C42" s="557">
        <f t="shared" si="1"/>
        <v>10000</v>
      </c>
      <c r="D42" s="385"/>
      <c r="E42" s="133"/>
      <c r="F42" s="230">
        <v>10000</v>
      </c>
    </row>
    <row r="43" spans="1:6" s="203" customFormat="1" ht="12" customHeight="1">
      <c r="A43" s="13" t="s">
        <v>221</v>
      </c>
      <c r="B43" s="205" t="s">
        <v>231</v>
      </c>
      <c r="C43" s="557">
        <f t="shared" si="1"/>
        <v>0</v>
      </c>
      <c r="D43" s="385"/>
      <c r="E43" s="133"/>
      <c r="F43" s="230"/>
    </row>
    <row r="44" spans="1:6" s="203" customFormat="1" ht="12" customHeight="1">
      <c r="A44" s="15" t="s">
        <v>222</v>
      </c>
      <c r="B44" s="206" t="s">
        <v>423</v>
      </c>
      <c r="C44" s="557">
        <f t="shared" si="1"/>
        <v>500000</v>
      </c>
      <c r="D44" s="397">
        <f>500000</f>
        <v>500000</v>
      </c>
      <c r="E44" s="193"/>
      <c r="F44" s="193"/>
    </row>
    <row r="45" spans="1:6" s="203" customFormat="1" ht="12" customHeight="1" thickBot="1">
      <c r="A45" s="15" t="s">
        <v>424</v>
      </c>
      <c r="B45" s="126" t="s">
        <v>232</v>
      </c>
      <c r="C45" s="558">
        <f t="shared" si="1"/>
        <v>704000</v>
      </c>
      <c r="D45" s="397">
        <v>704000</v>
      </c>
      <c r="E45" s="193"/>
      <c r="F45" s="411"/>
    </row>
    <row r="46" spans="1:6" s="203" customFormat="1" ht="12" customHeight="1" thickBot="1">
      <c r="A46" s="19" t="s">
        <v>33</v>
      </c>
      <c r="B46" s="20" t="s">
        <v>233</v>
      </c>
      <c r="C46" s="134">
        <f t="shared" si="1"/>
        <v>47179000</v>
      </c>
      <c r="D46" s="431">
        <f>SUM(D47:D51)</f>
        <v>47179000</v>
      </c>
      <c r="E46" s="129">
        <f>SUM(E47:E51)</f>
        <v>0</v>
      </c>
      <c r="F46" s="129">
        <f>SUM(F47:F51)</f>
        <v>0</v>
      </c>
    </row>
    <row r="47" spans="1:6" s="203" customFormat="1" ht="12" customHeight="1">
      <c r="A47" s="14" t="s">
        <v>97</v>
      </c>
      <c r="B47" s="204" t="s">
        <v>237</v>
      </c>
      <c r="C47" s="556">
        <f t="shared" si="1"/>
        <v>0</v>
      </c>
      <c r="D47" s="438"/>
      <c r="E47" s="230"/>
      <c r="F47" s="230"/>
    </row>
    <row r="48" spans="1:6" s="203" customFormat="1" ht="12" customHeight="1">
      <c r="A48" s="13" t="s">
        <v>98</v>
      </c>
      <c r="B48" s="205" t="s">
        <v>238</v>
      </c>
      <c r="C48" s="557">
        <f t="shared" si="1"/>
        <v>47179000</v>
      </c>
      <c r="D48" s="385">
        <f>25179000+22000000</f>
        <v>47179000</v>
      </c>
      <c r="E48" s="133"/>
      <c r="F48" s="133"/>
    </row>
    <row r="49" spans="1:6" s="203" customFormat="1" ht="12" customHeight="1">
      <c r="A49" s="13" t="s">
        <v>234</v>
      </c>
      <c r="B49" s="205" t="s">
        <v>239</v>
      </c>
      <c r="C49" s="557">
        <f t="shared" si="1"/>
        <v>0</v>
      </c>
      <c r="D49" s="385"/>
      <c r="E49" s="133"/>
      <c r="F49" s="133"/>
    </row>
    <row r="50" spans="1:6" s="203" customFormat="1" ht="12" customHeight="1">
      <c r="A50" s="13" t="s">
        <v>235</v>
      </c>
      <c r="B50" s="205" t="s">
        <v>240</v>
      </c>
      <c r="C50" s="557">
        <f t="shared" si="1"/>
        <v>0</v>
      </c>
      <c r="D50" s="385"/>
      <c r="E50" s="133"/>
      <c r="F50" s="133"/>
    </row>
    <row r="51" spans="1:6" s="203" customFormat="1" ht="12" customHeight="1" thickBot="1">
      <c r="A51" s="15" t="s">
        <v>236</v>
      </c>
      <c r="B51" s="126" t="s">
        <v>241</v>
      </c>
      <c r="C51" s="558">
        <f t="shared" si="1"/>
        <v>0</v>
      </c>
      <c r="D51" s="397"/>
      <c r="E51" s="193"/>
      <c r="F51" s="193"/>
    </row>
    <row r="52" spans="1:6" s="203" customFormat="1" ht="12" customHeight="1" thickBot="1">
      <c r="A52" s="19" t="s">
        <v>146</v>
      </c>
      <c r="B52" s="20" t="s">
        <v>242</v>
      </c>
      <c r="C52" s="134">
        <f t="shared" si="1"/>
        <v>4458000</v>
      </c>
      <c r="D52" s="431">
        <f>SUM(D53:D55)</f>
        <v>4458000</v>
      </c>
      <c r="E52" s="129">
        <f>SUM(E53:E55)</f>
        <v>0</v>
      </c>
      <c r="F52" s="129">
        <f>SUM(F53:F55)</f>
        <v>0</v>
      </c>
    </row>
    <row r="53" spans="1:6" s="203" customFormat="1" ht="12" customHeight="1">
      <c r="A53" s="14" t="s">
        <v>99</v>
      </c>
      <c r="B53" s="204" t="s">
        <v>243</v>
      </c>
      <c r="C53" s="556">
        <f t="shared" si="1"/>
        <v>0</v>
      </c>
      <c r="D53" s="433"/>
      <c r="E53" s="131"/>
      <c r="F53" s="131"/>
    </row>
    <row r="54" spans="1:6" s="203" customFormat="1" ht="12" customHeight="1">
      <c r="A54" s="13" t="s">
        <v>100</v>
      </c>
      <c r="B54" s="205" t="s">
        <v>356</v>
      </c>
      <c r="C54" s="557">
        <f t="shared" si="1"/>
        <v>383000</v>
      </c>
      <c r="D54" s="385">
        <v>383000</v>
      </c>
      <c r="E54" s="133"/>
      <c r="F54" s="133"/>
    </row>
    <row r="55" spans="1:6" s="203" customFormat="1" ht="12" customHeight="1">
      <c r="A55" s="13" t="s">
        <v>246</v>
      </c>
      <c r="B55" s="205" t="s">
        <v>244</v>
      </c>
      <c r="C55" s="557">
        <f t="shared" si="1"/>
        <v>4075000</v>
      </c>
      <c r="D55" s="385">
        <v>4075000</v>
      </c>
      <c r="E55" s="133"/>
      <c r="F55" s="133"/>
    </row>
    <row r="56" spans="1:6" s="203" customFormat="1" ht="12" customHeight="1" thickBot="1">
      <c r="A56" s="15" t="s">
        <v>247</v>
      </c>
      <c r="B56" s="126" t="s">
        <v>245</v>
      </c>
      <c r="C56" s="558">
        <f t="shared" si="1"/>
        <v>0</v>
      </c>
      <c r="D56" s="117"/>
      <c r="E56" s="132"/>
      <c r="F56" s="132"/>
    </row>
    <row r="57" spans="1:6" s="203" customFormat="1" ht="12" customHeight="1" thickBot="1">
      <c r="A57" s="19" t="s">
        <v>35</v>
      </c>
      <c r="B57" s="124" t="s">
        <v>248</v>
      </c>
      <c r="C57" s="387">
        <f t="shared" si="1"/>
        <v>0</v>
      </c>
      <c r="D57" s="431">
        <f>SUM(D58:D60)</f>
        <v>0</v>
      </c>
      <c r="E57" s="129">
        <f>SUM(E58:E60)</f>
        <v>0</v>
      </c>
      <c r="F57" s="129">
        <f>SUM(F58:F60)</f>
        <v>0</v>
      </c>
    </row>
    <row r="58" spans="1:6" s="203" customFormat="1" ht="12" customHeight="1">
      <c r="A58" s="14" t="s">
        <v>147</v>
      </c>
      <c r="B58" s="204" t="s">
        <v>250</v>
      </c>
      <c r="C58" s="556">
        <f t="shared" si="1"/>
        <v>0</v>
      </c>
      <c r="D58" s="385"/>
      <c r="E58" s="133"/>
      <c r="F58" s="133"/>
    </row>
    <row r="59" spans="1:6" s="203" customFormat="1" ht="12" customHeight="1">
      <c r="A59" s="13" t="s">
        <v>148</v>
      </c>
      <c r="B59" s="205" t="s">
        <v>357</v>
      </c>
      <c r="C59" s="557">
        <f t="shared" si="1"/>
        <v>0</v>
      </c>
      <c r="D59" s="385"/>
      <c r="E59" s="133"/>
      <c r="F59" s="133"/>
    </row>
    <row r="60" spans="1:6" s="203" customFormat="1" ht="12" customHeight="1">
      <c r="A60" s="13" t="s">
        <v>172</v>
      </c>
      <c r="B60" s="205" t="s">
        <v>251</v>
      </c>
      <c r="C60" s="557">
        <f t="shared" si="1"/>
        <v>0</v>
      </c>
      <c r="D60" s="385"/>
      <c r="E60" s="133"/>
      <c r="F60" s="133"/>
    </row>
    <row r="61" spans="1:6" s="203" customFormat="1" ht="12" customHeight="1" thickBot="1">
      <c r="A61" s="15" t="s">
        <v>249</v>
      </c>
      <c r="B61" s="126" t="s">
        <v>252</v>
      </c>
      <c r="C61" s="558">
        <f t="shared" si="1"/>
        <v>0</v>
      </c>
      <c r="D61" s="385"/>
      <c r="E61" s="133"/>
      <c r="F61" s="133"/>
    </row>
    <row r="62" spans="1:6" s="203" customFormat="1" ht="12" customHeight="1" thickBot="1">
      <c r="A62" s="369" t="s">
        <v>425</v>
      </c>
      <c r="B62" s="20" t="s">
        <v>253</v>
      </c>
      <c r="C62" s="134">
        <f t="shared" si="1"/>
        <v>2132292083</v>
      </c>
      <c r="D62" s="435">
        <f>+D5+D12+D19+D26+D34+D46+D52+D57</f>
        <v>1951911807</v>
      </c>
      <c r="E62" s="134">
        <f>+E5+E12+E19+E26+E34+E46+E52+E57</f>
        <v>2748500</v>
      </c>
      <c r="F62" s="134">
        <f>+F5+F12+F19+F26+F34+F46+F52+F57</f>
        <v>177631776</v>
      </c>
    </row>
    <row r="63" spans="1:6" s="203" customFormat="1" ht="12" customHeight="1" thickBot="1">
      <c r="A63" s="370" t="s">
        <v>254</v>
      </c>
      <c r="B63" s="124" t="s">
        <v>255</v>
      </c>
      <c r="C63" s="387">
        <f t="shared" si="1"/>
        <v>0</v>
      </c>
      <c r="D63" s="431">
        <f>SUM(D64:D66)</f>
        <v>0</v>
      </c>
      <c r="E63" s="129">
        <f>SUM(E64:E66)</f>
        <v>0</v>
      </c>
      <c r="F63" s="129">
        <f>SUM(F64:F66)</f>
        <v>0</v>
      </c>
    </row>
    <row r="64" spans="1:6" s="203" customFormat="1" ht="12" customHeight="1">
      <c r="A64" s="14" t="s">
        <v>286</v>
      </c>
      <c r="B64" s="204" t="s">
        <v>256</v>
      </c>
      <c r="C64" s="556">
        <f t="shared" si="1"/>
        <v>0</v>
      </c>
      <c r="D64" s="385"/>
      <c r="E64" s="133"/>
      <c r="F64" s="133"/>
    </row>
    <row r="65" spans="1:6" s="203" customFormat="1" ht="12" customHeight="1">
      <c r="A65" s="13" t="s">
        <v>295</v>
      </c>
      <c r="B65" s="205" t="s">
        <v>257</v>
      </c>
      <c r="C65" s="557">
        <f t="shared" si="1"/>
        <v>0</v>
      </c>
      <c r="D65" s="385"/>
      <c r="E65" s="133"/>
      <c r="F65" s="133"/>
    </row>
    <row r="66" spans="1:6" s="203" customFormat="1" ht="12" customHeight="1" thickBot="1">
      <c r="A66" s="15" t="s">
        <v>296</v>
      </c>
      <c r="B66" s="371" t="s">
        <v>426</v>
      </c>
      <c r="C66" s="558">
        <f t="shared" si="1"/>
        <v>0</v>
      </c>
      <c r="D66" s="385"/>
      <c r="E66" s="133"/>
      <c r="F66" s="133"/>
    </row>
    <row r="67" spans="1:6" s="203" customFormat="1" ht="12" customHeight="1" thickBot="1">
      <c r="A67" s="370" t="s">
        <v>259</v>
      </c>
      <c r="B67" s="124" t="s">
        <v>260</v>
      </c>
      <c r="C67" s="387">
        <f t="shared" si="1"/>
        <v>0</v>
      </c>
      <c r="D67" s="431">
        <f>SUM(D68:D71)</f>
        <v>0</v>
      </c>
      <c r="E67" s="129">
        <f>SUM(E68:E71)</f>
        <v>0</v>
      </c>
      <c r="F67" s="129">
        <f>SUM(F68:F71)</f>
        <v>0</v>
      </c>
    </row>
    <row r="68" spans="1:6" s="203" customFormat="1" ht="12" customHeight="1">
      <c r="A68" s="14" t="s">
        <v>126</v>
      </c>
      <c r="B68" s="204" t="s">
        <v>261</v>
      </c>
      <c r="C68" s="556">
        <f t="shared" si="1"/>
        <v>0</v>
      </c>
      <c r="D68" s="385"/>
      <c r="E68" s="133"/>
      <c r="F68" s="133"/>
    </row>
    <row r="69" spans="1:6" s="203" customFormat="1" ht="12" customHeight="1">
      <c r="A69" s="13" t="s">
        <v>127</v>
      </c>
      <c r="B69" s="205" t="s">
        <v>262</v>
      </c>
      <c r="C69" s="557">
        <f aca="true" t="shared" si="2" ref="C69:C87">SUM(D69:F69)</f>
        <v>0</v>
      </c>
      <c r="D69" s="385"/>
      <c r="E69" s="133"/>
      <c r="F69" s="133"/>
    </row>
    <row r="70" spans="1:6" s="203" customFormat="1" ht="12" customHeight="1">
      <c r="A70" s="13" t="s">
        <v>287</v>
      </c>
      <c r="B70" s="205" t="s">
        <v>263</v>
      </c>
      <c r="C70" s="557">
        <f t="shared" si="2"/>
        <v>0</v>
      </c>
      <c r="D70" s="385"/>
      <c r="E70" s="133"/>
      <c r="F70" s="133"/>
    </row>
    <row r="71" spans="1:6" s="203" customFormat="1" ht="12" customHeight="1" thickBot="1">
      <c r="A71" s="15" t="s">
        <v>288</v>
      </c>
      <c r="B71" s="126" t="s">
        <v>264</v>
      </c>
      <c r="C71" s="558">
        <f t="shared" si="2"/>
        <v>0</v>
      </c>
      <c r="D71" s="385"/>
      <c r="E71" s="133"/>
      <c r="F71" s="133"/>
    </row>
    <row r="72" spans="1:6" s="203" customFormat="1" ht="12" customHeight="1" thickBot="1">
      <c r="A72" s="370" t="s">
        <v>265</v>
      </c>
      <c r="B72" s="124" t="s">
        <v>266</v>
      </c>
      <c r="C72" s="134">
        <f t="shared" si="2"/>
        <v>292133965</v>
      </c>
      <c r="D72" s="431">
        <f>SUM(D73:D74)</f>
        <v>289331423</v>
      </c>
      <c r="E72" s="129">
        <f>SUM(E73:E74)</f>
        <v>0</v>
      </c>
      <c r="F72" s="129">
        <f>SUM(F73:F74)</f>
        <v>2802542</v>
      </c>
    </row>
    <row r="73" spans="1:6" s="203" customFormat="1" ht="12" customHeight="1">
      <c r="A73" s="14" t="s">
        <v>289</v>
      </c>
      <c r="B73" s="204" t="s">
        <v>267</v>
      </c>
      <c r="C73" s="556">
        <f t="shared" si="2"/>
        <v>292133965</v>
      </c>
      <c r="D73" s="385">
        <v>289331423</v>
      </c>
      <c r="E73" s="133"/>
      <c r="F73" s="133">
        <v>2802542</v>
      </c>
    </row>
    <row r="74" spans="1:6" s="203" customFormat="1" ht="12" customHeight="1" thickBot="1">
      <c r="A74" s="15" t="s">
        <v>290</v>
      </c>
      <c r="B74" s="126" t="s">
        <v>268</v>
      </c>
      <c r="C74" s="558">
        <f t="shared" si="2"/>
        <v>0</v>
      </c>
      <c r="D74" s="385"/>
      <c r="E74" s="133"/>
      <c r="F74" s="133"/>
    </row>
    <row r="75" spans="1:6" s="203" customFormat="1" ht="12" customHeight="1" thickBot="1">
      <c r="A75" s="370" t="s">
        <v>269</v>
      </c>
      <c r="B75" s="124" t="s">
        <v>270</v>
      </c>
      <c r="C75" s="387">
        <f t="shared" si="2"/>
        <v>0</v>
      </c>
      <c r="D75" s="431">
        <f>SUM(D76:D78)</f>
        <v>0</v>
      </c>
      <c r="E75" s="129">
        <f>SUM(E76:E78)</f>
        <v>0</v>
      </c>
      <c r="F75" s="129">
        <f>SUM(F76:F78)</f>
        <v>0</v>
      </c>
    </row>
    <row r="76" spans="1:6" s="203" customFormat="1" ht="12" customHeight="1">
      <c r="A76" s="14" t="s">
        <v>291</v>
      </c>
      <c r="B76" s="204" t="s">
        <v>271</v>
      </c>
      <c r="C76" s="556">
        <f t="shared" si="2"/>
        <v>0</v>
      </c>
      <c r="D76" s="385"/>
      <c r="E76" s="133"/>
      <c r="F76" s="133"/>
    </row>
    <row r="77" spans="1:6" s="203" customFormat="1" ht="12" customHeight="1">
      <c r="A77" s="13" t="s">
        <v>292</v>
      </c>
      <c r="B77" s="205" t="s">
        <v>272</v>
      </c>
      <c r="C77" s="557">
        <f t="shared" si="2"/>
        <v>0</v>
      </c>
      <c r="D77" s="385"/>
      <c r="E77" s="133"/>
      <c r="F77" s="133"/>
    </row>
    <row r="78" spans="1:6" s="203" customFormat="1" ht="12" customHeight="1" thickBot="1">
      <c r="A78" s="15" t="s">
        <v>293</v>
      </c>
      <c r="B78" s="126" t="s">
        <v>273</v>
      </c>
      <c r="C78" s="558">
        <f t="shared" si="2"/>
        <v>0</v>
      </c>
      <c r="D78" s="385"/>
      <c r="E78" s="133"/>
      <c r="F78" s="133"/>
    </row>
    <row r="79" spans="1:6" s="203" customFormat="1" ht="12" customHeight="1" thickBot="1">
      <c r="A79" s="370" t="s">
        <v>274</v>
      </c>
      <c r="B79" s="124" t="s">
        <v>294</v>
      </c>
      <c r="C79" s="387">
        <f t="shared" si="2"/>
        <v>0</v>
      </c>
      <c r="D79" s="431">
        <f>SUM(D80:D83)</f>
        <v>0</v>
      </c>
      <c r="E79" s="129">
        <f>SUM(E80:E83)</f>
        <v>0</v>
      </c>
      <c r="F79" s="129">
        <f>SUM(F80:F83)</f>
        <v>0</v>
      </c>
    </row>
    <row r="80" spans="1:6" s="203" customFormat="1" ht="12" customHeight="1">
      <c r="A80" s="208" t="s">
        <v>275</v>
      </c>
      <c r="B80" s="204" t="s">
        <v>276</v>
      </c>
      <c r="C80" s="556">
        <f t="shared" si="2"/>
        <v>0</v>
      </c>
      <c r="D80" s="385"/>
      <c r="E80" s="133"/>
      <c r="F80" s="133"/>
    </row>
    <row r="81" spans="1:6" s="203" customFormat="1" ht="12" customHeight="1">
      <c r="A81" s="209" t="s">
        <v>277</v>
      </c>
      <c r="B81" s="205" t="s">
        <v>278</v>
      </c>
      <c r="C81" s="557">
        <f t="shared" si="2"/>
        <v>0</v>
      </c>
      <c r="D81" s="385"/>
      <c r="E81" s="133"/>
      <c r="F81" s="133"/>
    </row>
    <row r="82" spans="1:6" s="203" customFormat="1" ht="12" customHeight="1">
      <c r="A82" s="209" t="s">
        <v>279</v>
      </c>
      <c r="B82" s="205" t="s">
        <v>280</v>
      </c>
      <c r="C82" s="557">
        <f t="shared" si="2"/>
        <v>0</v>
      </c>
      <c r="D82" s="385"/>
      <c r="E82" s="133"/>
      <c r="F82" s="133"/>
    </row>
    <row r="83" spans="1:6" s="203" customFormat="1" ht="12" customHeight="1" thickBot="1">
      <c r="A83" s="210" t="s">
        <v>281</v>
      </c>
      <c r="B83" s="126" t="s">
        <v>282</v>
      </c>
      <c r="C83" s="558">
        <f t="shared" si="2"/>
        <v>0</v>
      </c>
      <c r="D83" s="385"/>
      <c r="E83" s="133"/>
      <c r="F83" s="133"/>
    </row>
    <row r="84" spans="1:6" s="203" customFormat="1" ht="12" customHeight="1" thickBot="1">
      <c r="A84" s="370" t="s">
        <v>283</v>
      </c>
      <c r="B84" s="124" t="s">
        <v>427</v>
      </c>
      <c r="C84" s="550">
        <f t="shared" si="2"/>
        <v>0</v>
      </c>
      <c r="D84" s="439"/>
      <c r="E84" s="231"/>
      <c r="F84" s="231"/>
    </row>
    <row r="85" spans="1:6" s="203" customFormat="1" ht="13.5" customHeight="1" thickBot="1">
      <c r="A85" s="370" t="s">
        <v>285</v>
      </c>
      <c r="B85" s="124" t="s">
        <v>284</v>
      </c>
      <c r="C85" s="387">
        <f t="shared" si="2"/>
        <v>0</v>
      </c>
      <c r="D85" s="439"/>
      <c r="E85" s="231"/>
      <c r="F85" s="231"/>
    </row>
    <row r="86" spans="1:6" s="203" customFormat="1" ht="15.75" customHeight="1" thickBot="1">
      <c r="A86" s="370" t="s">
        <v>297</v>
      </c>
      <c r="B86" s="211" t="s">
        <v>428</v>
      </c>
      <c r="C86" s="134">
        <f t="shared" si="2"/>
        <v>292133965</v>
      </c>
      <c r="D86" s="435">
        <f>+D63+D67+D72+D75+D79+D85+D84</f>
        <v>289331423</v>
      </c>
      <c r="E86" s="134">
        <f>+E63+E67+E72+E75+E79+E85+E84</f>
        <v>0</v>
      </c>
      <c r="F86" s="134">
        <f>+F63+F67+F72+F75+F79+F85+F84</f>
        <v>2802542</v>
      </c>
    </row>
    <row r="87" spans="1:6" s="203" customFormat="1" ht="16.5" customHeight="1" thickBot="1">
      <c r="A87" s="372" t="s">
        <v>429</v>
      </c>
      <c r="B87" s="212" t="s">
        <v>430</v>
      </c>
      <c r="C87" s="553">
        <f t="shared" si="2"/>
        <v>2424426048</v>
      </c>
      <c r="D87" s="435">
        <f>+D62+D86</f>
        <v>2241243230</v>
      </c>
      <c r="E87" s="134">
        <f>+E62+E86</f>
        <v>2748500</v>
      </c>
      <c r="F87" s="134">
        <f>+F62+F86</f>
        <v>180434318</v>
      </c>
    </row>
    <row r="88" spans="1:3" s="203" customFormat="1" ht="83.25" customHeight="1">
      <c r="A88" s="4"/>
      <c r="B88" s="5"/>
      <c r="C88" s="135"/>
    </row>
    <row r="89" spans="1:3" ht="16.5" customHeight="1">
      <c r="A89" s="598" t="s">
        <v>56</v>
      </c>
      <c r="B89" s="598"/>
      <c r="C89" s="598"/>
    </row>
    <row r="90" spans="1:3" s="213" customFormat="1" ht="16.5" customHeight="1" thickBot="1">
      <c r="A90" s="599" t="s">
        <v>129</v>
      </c>
      <c r="B90" s="599"/>
      <c r="C90" s="79" t="s">
        <v>534</v>
      </c>
    </row>
    <row r="91" spans="1:3" ht="37.5" customHeight="1" thickBot="1">
      <c r="A91" s="22" t="s">
        <v>76</v>
      </c>
      <c r="B91" s="23" t="s">
        <v>57</v>
      </c>
      <c r="C91" s="31" t="str">
        <f>+C3</f>
        <v>2017. évi előirányzat</v>
      </c>
    </row>
    <row r="92" spans="1:3" s="202" customFormat="1" ht="12" customHeight="1" thickBot="1">
      <c r="A92" s="27" t="s">
        <v>414</v>
      </c>
      <c r="B92" s="28" t="s">
        <v>415</v>
      </c>
      <c r="C92" s="198" t="s">
        <v>416</v>
      </c>
    </row>
    <row r="93" spans="1:6" ht="12" customHeight="1" thickBot="1">
      <c r="A93" s="21" t="s">
        <v>28</v>
      </c>
      <c r="B93" s="26" t="s">
        <v>468</v>
      </c>
      <c r="C93" s="134">
        <f aca="true" t="shared" si="3" ref="C93:C124">SUM(D93:F93)</f>
        <v>1934061755</v>
      </c>
      <c r="D93" s="444">
        <f>+D94+D95+D96+D97+D98+D111</f>
        <v>1032684083</v>
      </c>
      <c r="E93" s="128">
        <f>+E94+E95+E96+E97+E98+E111</f>
        <v>26260350</v>
      </c>
      <c r="F93" s="500">
        <f>F94+F95+F96+F97+F98+F111</f>
        <v>875117322</v>
      </c>
    </row>
    <row r="94" spans="1:6" ht="12" customHeight="1">
      <c r="A94" s="16" t="s">
        <v>101</v>
      </c>
      <c r="B94" s="9" t="s">
        <v>58</v>
      </c>
      <c r="C94" s="556">
        <f t="shared" si="3"/>
        <v>923453690</v>
      </c>
      <c r="D94" s="504">
        <f>25364000+1932000+165142000+105000+48000+8381882+232903371+281000+326126+85501355</f>
        <v>519984734</v>
      </c>
      <c r="E94" s="404">
        <v>579000</v>
      </c>
      <c r="F94" s="437">
        <f>400743120+112360+2034476</f>
        <v>402889956</v>
      </c>
    </row>
    <row r="95" spans="1:6" ht="12" customHeight="1">
      <c r="A95" s="13" t="s">
        <v>102</v>
      </c>
      <c r="B95" s="7" t="s">
        <v>149</v>
      </c>
      <c r="C95" s="557">
        <f t="shared" si="3"/>
        <v>156267257</v>
      </c>
      <c r="D95" s="385">
        <f>5239000+425000+14000+19299000+23000+10000+922005+25618911+31000+35874+9405149</f>
        <v>61022939</v>
      </c>
      <c r="E95" s="133">
        <v>231000</v>
      </c>
      <c r="F95" s="436">
        <f>94550329+22247+440742</f>
        <v>95013318</v>
      </c>
    </row>
    <row r="96" spans="1:6" ht="12" customHeight="1">
      <c r="A96" s="13" t="s">
        <v>103</v>
      </c>
      <c r="B96" s="7" t="s">
        <v>124</v>
      </c>
      <c r="C96" s="557">
        <f t="shared" si="3"/>
        <v>621016251</v>
      </c>
      <c r="D96" s="397">
        <f>11475000+835000+2092900+774087+8715000+1817000+17736000+735000+300000+8485000+34925000+40773000+3429000+576000+3351000+16980000+46750042+1200000+4573000+1350000+36794904+20000+812000+400000+1982000+270000+3939600-8488680</f>
        <v>242601853</v>
      </c>
      <c r="E96" s="193">
        <f>1141350+59000</f>
        <v>1200350</v>
      </c>
      <c r="F96" s="436">
        <f>377214048</f>
        <v>377214048</v>
      </c>
    </row>
    <row r="97" spans="1:6" ht="12" customHeight="1">
      <c r="A97" s="13" t="s">
        <v>104</v>
      </c>
      <c r="B97" s="7" t="s">
        <v>150</v>
      </c>
      <c r="C97" s="557">
        <f t="shared" si="3"/>
        <v>95230000</v>
      </c>
      <c r="D97" s="397">
        <f>70980000</f>
        <v>70980000</v>
      </c>
      <c r="E97" s="193">
        <v>24250000</v>
      </c>
      <c r="F97" s="436"/>
    </row>
    <row r="98" spans="1:6" ht="12" customHeight="1">
      <c r="A98" s="13" t="s">
        <v>115</v>
      </c>
      <c r="B98" s="6" t="s">
        <v>151</v>
      </c>
      <c r="C98" s="557">
        <f t="shared" si="3"/>
        <v>34666500</v>
      </c>
      <c r="D98" s="397">
        <f>SUM(D99:D110)</f>
        <v>34666500</v>
      </c>
      <c r="E98" s="193">
        <f>SUM(E99:E110)</f>
        <v>0</v>
      </c>
      <c r="F98" s="193"/>
    </row>
    <row r="99" spans="1:6" ht="12" customHeight="1">
      <c r="A99" s="13" t="s">
        <v>105</v>
      </c>
      <c r="B99" s="7" t="s">
        <v>431</v>
      </c>
      <c r="C99" s="557">
        <f t="shared" si="3"/>
        <v>1500</v>
      </c>
      <c r="D99" s="397">
        <v>1500</v>
      </c>
      <c r="E99" s="193"/>
      <c r="F99" s="193"/>
    </row>
    <row r="100" spans="1:6" ht="12" customHeight="1">
      <c r="A100" s="13" t="s">
        <v>106</v>
      </c>
      <c r="B100" s="82" t="s">
        <v>432</v>
      </c>
      <c r="C100" s="557">
        <f t="shared" si="3"/>
        <v>0</v>
      </c>
      <c r="D100" s="397"/>
      <c r="E100" s="193"/>
      <c r="F100" s="193"/>
    </row>
    <row r="101" spans="1:6" ht="12" customHeight="1">
      <c r="A101" s="13" t="s">
        <v>116</v>
      </c>
      <c r="B101" s="82" t="s">
        <v>433</v>
      </c>
      <c r="C101" s="557">
        <f t="shared" si="3"/>
        <v>0</v>
      </c>
      <c r="D101" s="397"/>
      <c r="E101" s="193"/>
      <c r="F101" s="193"/>
    </row>
    <row r="102" spans="1:6" ht="12" customHeight="1">
      <c r="A102" s="13" t="s">
        <v>117</v>
      </c>
      <c r="B102" s="80" t="s">
        <v>300</v>
      </c>
      <c r="C102" s="557">
        <f t="shared" si="3"/>
        <v>0</v>
      </c>
      <c r="D102" s="397"/>
      <c r="E102" s="193"/>
      <c r="F102" s="193"/>
    </row>
    <row r="103" spans="1:6" ht="12" customHeight="1">
      <c r="A103" s="13" t="s">
        <v>118</v>
      </c>
      <c r="B103" s="81" t="s">
        <v>301</v>
      </c>
      <c r="C103" s="557">
        <f t="shared" si="3"/>
        <v>0</v>
      </c>
      <c r="D103" s="397"/>
      <c r="E103" s="193"/>
      <c r="F103" s="193"/>
    </row>
    <row r="104" spans="1:6" ht="12" customHeight="1">
      <c r="A104" s="13" t="s">
        <v>119</v>
      </c>
      <c r="B104" s="81" t="s">
        <v>302</v>
      </c>
      <c r="C104" s="557">
        <f t="shared" si="3"/>
        <v>0</v>
      </c>
      <c r="D104" s="397"/>
      <c r="E104" s="193"/>
      <c r="F104" s="193"/>
    </row>
    <row r="105" spans="1:6" ht="12" customHeight="1">
      <c r="A105" s="13" t="s">
        <v>121</v>
      </c>
      <c r="B105" s="80" t="s">
        <v>303</v>
      </c>
      <c r="C105" s="557">
        <f t="shared" si="3"/>
        <v>0</v>
      </c>
      <c r="D105" s="397"/>
      <c r="E105" s="193"/>
      <c r="F105" s="193"/>
    </row>
    <row r="106" spans="1:6" ht="12" customHeight="1">
      <c r="A106" s="13" t="s">
        <v>152</v>
      </c>
      <c r="B106" s="80" t="s">
        <v>304</v>
      </c>
      <c r="C106" s="557">
        <f t="shared" si="3"/>
        <v>0</v>
      </c>
      <c r="D106" s="551"/>
      <c r="E106" s="193"/>
      <c r="F106" s="193"/>
    </row>
    <row r="107" spans="1:6" ht="12" customHeight="1">
      <c r="A107" s="13" t="s">
        <v>298</v>
      </c>
      <c r="B107" s="81" t="s">
        <v>305</v>
      </c>
      <c r="C107" s="557">
        <f t="shared" si="3"/>
        <v>0</v>
      </c>
      <c r="D107" s="397"/>
      <c r="E107" s="193"/>
      <c r="F107" s="193"/>
    </row>
    <row r="108" spans="1:6" ht="12" customHeight="1">
      <c r="A108" s="12" t="s">
        <v>299</v>
      </c>
      <c r="B108" s="82" t="s">
        <v>306</v>
      </c>
      <c r="C108" s="557">
        <f t="shared" si="3"/>
        <v>0</v>
      </c>
      <c r="D108" s="397"/>
      <c r="E108" s="193"/>
      <c r="F108" s="193"/>
    </row>
    <row r="109" spans="1:6" ht="12" customHeight="1">
      <c r="A109" s="13" t="s">
        <v>434</v>
      </c>
      <c r="B109" s="82" t="s">
        <v>307</v>
      </c>
      <c r="C109" s="557">
        <f t="shared" si="3"/>
        <v>0</v>
      </c>
      <c r="D109" s="397"/>
      <c r="E109" s="193"/>
      <c r="F109" s="193"/>
    </row>
    <row r="110" spans="1:6" ht="12" customHeight="1">
      <c r="A110" s="15" t="s">
        <v>435</v>
      </c>
      <c r="B110" s="82" t="s">
        <v>308</v>
      </c>
      <c r="C110" s="557">
        <f t="shared" si="3"/>
        <v>34665000</v>
      </c>
      <c r="D110" s="385">
        <f>536000+1500000+500000+4000000+200000+189000+7562000+16678000+3500000</f>
        <v>34665000</v>
      </c>
      <c r="E110" s="133"/>
      <c r="F110" s="193"/>
    </row>
    <row r="111" spans="1:6" ht="12" customHeight="1">
      <c r="A111" s="13" t="s">
        <v>436</v>
      </c>
      <c r="B111" s="7" t="s">
        <v>59</v>
      </c>
      <c r="C111" s="557">
        <f t="shared" si="3"/>
        <v>103428057</v>
      </c>
      <c r="D111" s="385">
        <f>SUM(D112:D113)</f>
        <v>103428057</v>
      </c>
      <c r="E111" s="133"/>
      <c r="F111" s="133">
        <f>SUM(F112:F113)</f>
        <v>0</v>
      </c>
    </row>
    <row r="112" spans="1:6" ht="12" customHeight="1">
      <c r="A112" s="13" t="s">
        <v>437</v>
      </c>
      <c r="B112" s="7" t="s">
        <v>438</v>
      </c>
      <c r="C112" s="557">
        <f t="shared" si="3"/>
        <v>10827687</v>
      </c>
      <c r="D112" s="397">
        <f>20000000-9172313</f>
        <v>10827687</v>
      </c>
      <c r="E112" s="193"/>
      <c r="F112" s="133"/>
    </row>
    <row r="113" spans="1:6" ht="12" customHeight="1" thickBot="1">
      <c r="A113" s="17" t="s">
        <v>439</v>
      </c>
      <c r="B113" s="373" t="s">
        <v>440</v>
      </c>
      <c r="C113" s="558">
        <f t="shared" si="3"/>
        <v>92600370</v>
      </c>
      <c r="D113" s="505">
        <f>111113300-8373330-1600000-8539600</f>
        <v>92600370</v>
      </c>
      <c r="E113" s="415"/>
      <c r="F113" s="415"/>
    </row>
    <row r="114" spans="1:6" ht="12" customHeight="1" thickBot="1">
      <c r="A114" s="374" t="s">
        <v>29</v>
      </c>
      <c r="B114" s="375" t="s">
        <v>309</v>
      </c>
      <c r="C114" s="134">
        <f t="shared" si="3"/>
        <v>165569074</v>
      </c>
      <c r="D114" s="431">
        <f>+D115+D117+D119</f>
        <v>159586654</v>
      </c>
      <c r="E114" s="129">
        <f>+E115+E117+E119</f>
        <v>0</v>
      </c>
      <c r="F114" s="376">
        <f>+F115+F117+F119</f>
        <v>5982420</v>
      </c>
    </row>
    <row r="115" spans="1:6" ht="12" customHeight="1">
      <c r="A115" s="14" t="s">
        <v>107</v>
      </c>
      <c r="B115" s="7" t="s">
        <v>171</v>
      </c>
      <c r="C115" s="556">
        <f t="shared" si="3"/>
        <v>54564171</v>
      </c>
      <c r="D115" s="438">
        <f>6621000+787402+10624171+3081125+529000+1654000+447000+2237000+6604000+204000+15179276+979170</f>
        <v>48947144</v>
      </c>
      <c r="E115" s="230"/>
      <c r="F115" s="230">
        <v>5617027</v>
      </c>
    </row>
    <row r="116" spans="1:6" ht="12" customHeight="1">
      <c r="A116" s="14" t="s">
        <v>108</v>
      </c>
      <c r="B116" s="11" t="s">
        <v>313</v>
      </c>
      <c r="C116" s="557">
        <f t="shared" si="3"/>
        <v>14492698</v>
      </c>
      <c r="D116" s="438">
        <v>14492698</v>
      </c>
      <c r="E116" s="230"/>
      <c r="F116" s="230"/>
    </row>
    <row r="117" spans="1:6" ht="12" customHeight="1">
      <c r="A117" s="14" t="s">
        <v>109</v>
      </c>
      <c r="B117" s="11" t="s">
        <v>153</v>
      </c>
      <c r="C117" s="557">
        <f t="shared" si="3"/>
        <v>66532903</v>
      </c>
      <c r="D117" s="385">
        <f>53340000+1513000+2996000+809000+7509510</f>
        <v>66167510</v>
      </c>
      <c r="E117" s="133"/>
      <c r="F117" s="133">
        <f>500000-134607</f>
        <v>365393</v>
      </c>
    </row>
    <row r="118" spans="1:6" ht="12" customHeight="1">
      <c r="A118" s="14" t="s">
        <v>110</v>
      </c>
      <c r="B118" s="11" t="s">
        <v>314</v>
      </c>
      <c r="C118" s="557">
        <f t="shared" si="3"/>
        <v>53340000</v>
      </c>
      <c r="D118" s="385">
        <v>53340000</v>
      </c>
      <c r="E118" s="406"/>
      <c r="F118" s="406"/>
    </row>
    <row r="119" spans="1:6" ht="12" customHeight="1">
      <c r="A119" s="14" t="s">
        <v>111</v>
      </c>
      <c r="B119" s="126" t="s">
        <v>173</v>
      </c>
      <c r="C119" s="557">
        <f t="shared" si="3"/>
        <v>44472000</v>
      </c>
      <c r="D119" s="397">
        <f>SUM(D120:D127)</f>
        <v>44472000</v>
      </c>
      <c r="E119" s="385"/>
      <c r="F119" s="385"/>
    </row>
    <row r="120" spans="1:6" ht="12" customHeight="1">
      <c r="A120" s="14" t="s">
        <v>120</v>
      </c>
      <c r="B120" s="125" t="s">
        <v>358</v>
      </c>
      <c r="C120" s="557">
        <f t="shared" si="3"/>
        <v>0</v>
      </c>
      <c r="D120" s="116"/>
      <c r="E120" s="116"/>
      <c r="F120" s="116"/>
    </row>
    <row r="121" spans="1:6" ht="12" customHeight="1">
      <c r="A121" s="14" t="s">
        <v>122</v>
      </c>
      <c r="B121" s="200" t="s">
        <v>319</v>
      </c>
      <c r="C121" s="557">
        <f t="shared" si="3"/>
        <v>0</v>
      </c>
      <c r="D121" s="116"/>
      <c r="E121" s="116"/>
      <c r="F121" s="116"/>
    </row>
    <row r="122" spans="1:6" ht="15.75">
      <c r="A122" s="14" t="s">
        <v>154</v>
      </c>
      <c r="B122" s="81" t="s">
        <v>302</v>
      </c>
      <c r="C122" s="557">
        <f t="shared" si="3"/>
        <v>0</v>
      </c>
      <c r="D122" s="116"/>
      <c r="E122" s="116"/>
      <c r="F122" s="116"/>
    </row>
    <row r="123" spans="1:6" ht="12" customHeight="1">
      <c r="A123" s="14" t="s">
        <v>155</v>
      </c>
      <c r="B123" s="81" t="s">
        <v>318</v>
      </c>
      <c r="C123" s="557">
        <f t="shared" si="3"/>
        <v>0</v>
      </c>
      <c r="D123" s="116"/>
      <c r="E123" s="116"/>
      <c r="F123" s="116"/>
    </row>
    <row r="124" spans="1:6" ht="12" customHeight="1">
      <c r="A124" s="14" t="s">
        <v>156</v>
      </c>
      <c r="B124" s="81" t="s">
        <v>317</v>
      </c>
      <c r="C124" s="557">
        <f t="shared" si="3"/>
        <v>0</v>
      </c>
      <c r="D124" s="116"/>
      <c r="E124" s="116"/>
      <c r="F124" s="116"/>
    </row>
    <row r="125" spans="1:6" ht="12" customHeight="1">
      <c r="A125" s="14" t="s">
        <v>310</v>
      </c>
      <c r="B125" s="81" t="s">
        <v>305</v>
      </c>
      <c r="C125" s="557">
        <f aca="true" t="shared" si="4" ref="C125:C154">SUM(D125:F125)</f>
        <v>0</v>
      </c>
      <c r="D125" s="116"/>
      <c r="E125" s="116"/>
      <c r="F125" s="116"/>
    </row>
    <row r="126" spans="1:6" ht="12" customHeight="1">
      <c r="A126" s="14" t="s">
        <v>311</v>
      </c>
      <c r="B126" s="81" t="s">
        <v>316</v>
      </c>
      <c r="C126" s="557">
        <f t="shared" si="4"/>
        <v>0</v>
      </c>
      <c r="D126" s="116"/>
      <c r="E126" s="116"/>
      <c r="F126" s="116"/>
    </row>
    <row r="127" spans="1:6" ht="16.5" thickBot="1">
      <c r="A127" s="12" t="s">
        <v>312</v>
      </c>
      <c r="B127" s="81" t="s">
        <v>315</v>
      </c>
      <c r="C127" s="558">
        <f t="shared" si="4"/>
        <v>44472000</v>
      </c>
      <c r="D127" s="117">
        <f>42072000+2400000</f>
        <v>44472000</v>
      </c>
      <c r="E127" s="397"/>
      <c r="F127" s="117"/>
    </row>
    <row r="128" spans="1:6" ht="12" customHeight="1" thickBot="1">
      <c r="A128" s="19" t="s">
        <v>30</v>
      </c>
      <c r="B128" s="77" t="s">
        <v>441</v>
      </c>
      <c r="C128" s="134">
        <f t="shared" si="4"/>
        <v>2099630829</v>
      </c>
      <c r="D128" s="431">
        <f>+D93+D114</f>
        <v>1192270737</v>
      </c>
      <c r="E128" s="129">
        <f>+E93+E114</f>
        <v>26260350</v>
      </c>
      <c r="F128" s="129">
        <f>+F93+F114</f>
        <v>881099742</v>
      </c>
    </row>
    <row r="129" spans="1:6" ht="12" customHeight="1" thickBot="1">
      <c r="A129" s="19" t="s">
        <v>31</v>
      </c>
      <c r="B129" s="77" t="s">
        <v>442</v>
      </c>
      <c r="C129" s="387">
        <f t="shared" si="4"/>
        <v>0</v>
      </c>
      <c r="D129" s="431">
        <f>+D130+D131+D132</f>
        <v>0</v>
      </c>
      <c r="E129" s="129">
        <f>+E130+E131+E132</f>
        <v>0</v>
      </c>
      <c r="F129" s="129">
        <f>+F130+F131+F132</f>
        <v>0</v>
      </c>
    </row>
    <row r="130" spans="1:6" ht="12" customHeight="1">
      <c r="A130" s="14" t="s">
        <v>210</v>
      </c>
      <c r="B130" s="11" t="s">
        <v>443</v>
      </c>
      <c r="C130" s="556">
        <f t="shared" si="4"/>
        <v>0</v>
      </c>
      <c r="D130" s="385"/>
      <c r="E130" s="385"/>
      <c r="F130" s="385"/>
    </row>
    <row r="131" spans="1:6" ht="12" customHeight="1">
      <c r="A131" s="14" t="s">
        <v>213</v>
      </c>
      <c r="B131" s="11" t="s">
        <v>444</v>
      </c>
      <c r="C131" s="557">
        <f t="shared" si="4"/>
        <v>0</v>
      </c>
      <c r="D131" s="116"/>
      <c r="E131" s="116"/>
      <c r="F131" s="116"/>
    </row>
    <row r="132" spans="1:6" ht="12" customHeight="1" thickBot="1">
      <c r="A132" s="12" t="s">
        <v>214</v>
      </c>
      <c r="B132" s="11" t="s">
        <v>445</v>
      </c>
      <c r="C132" s="558">
        <f t="shared" si="4"/>
        <v>0</v>
      </c>
      <c r="D132" s="116"/>
      <c r="E132" s="116"/>
      <c r="F132" s="116"/>
    </row>
    <row r="133" spans="1:6" ht="12" customHeight="1" thickBot="1">
      <c r="A133" s="19" t="s">
        <v>32</v>
      </c>
      <c r="B133" s="77" t="s">
        <v>446</v>
      </c>
      <c r="C133" s="387">
        <f t="shared" si="4"/>
        <v>0</v>
      </c>
      <c r="D133" s="431">
        <f>+D134+D135+D136+D137+D138+D139</f>
        <v>0</v>
      </c>
      <c r="E133" s="129">
        <f>+E134+E135+E136+E137+E138+E139</f>
        <v>0</v>
      </c>
      <c r="F133" s="129">
        <f>SUM(F134:F139)</f>
        <v>0</v>
      </c>
    </row>
    <row r="134" spans="1:6" ht="12" customHeight="1">
      <c r="A134" s="14" t="s">
        <v>94</v>
      </c>
      <c r="B134" s="8" t="s">
        <v>447</v>
      </c>
      <c r="C134" s="556">
        <f t="shared" si="4"/>
        <v>0</v>
      </c>
      <c r="D134" s="116"/>
      <c r="E134" s="116"/>
      <c r="F134" s="116"/>
    </row>
    <row r="135" spans="1:6" ht="12" customHeight="1">
      <c r="A135" s="14" t="s">
        <v>95</v>
      </c>
      <c r="B135" s="8" t="s">
        <v>448</v>
      </c>
      <c r="C135" s="557">
        <f t="shared" si="4"/>
        <v>0</v>
      </c>
      <c r="D135" s="116"/>
      <c r="E135" s="116"/>
      <c r="F135" s="116"/>
    </row>
    <row r="136" spans="1:6" ht="12" customHeight="1">
      <c r="A136" s="14" t="s">
        <v>96</v>
      </c>
      <c r="B136" s="8" t="s">
        <v>449</v>
      </c>
      <c r="C136" s="557">
        <f t="shared" si="4"/>
        <v>0</v>
      </c>
      <c r="D136" s="116"/>
      <c r="E136" s="116"/>
      <c r="F136" s="116"/>
    </row>
    <row r="137" spans="1:6" ht="12" customHeight="1">
      <c r="A137" s="14" t="s">
        <v>141</v>
      </c>
      <c r="B137" s="8" t="s">
        <v>450</v>
      </c>
      <c r="C137" s="557">
        <f t="shared" si="4"/>
        <v>0</v>
      </c>
      <c r="D137" s="116"/>
      <c r="E137" s="116"/>
      <c r="F137" s="116"/>
    </row>
    <row r="138" spans="1:6" ht="12" customHeight="1">
      <c r="A138" s="14" t="s">
        <v>142</v>
      </c>
      <c r="B138" s="8" t="s">
        <v>451</v>
      </c>
      <c r="C138" s="557">
        <f t="shared" si="4"/>
        <v>0</v>
      </c>
      <c r="D138" s="116"/>
      <c r="E138" s="116"/>
      <c r="F138" s="116"/>
    </row>
    <row r="139" spans="1:6" ht="12" customHeight="1" thickBot="1">
      <c r="A139" s="12" t="s">
        <v>143</v>
      </c>
      <c r="B139" s="8" t="s">
        <v>452</v>
      </c>
      <c r="C139" s="558">
        <f t="shared" si="4"/>
        <v>0</v>
      </c>
      <c r="D139" s="116"/>
      <c r="E139" s="116"/>
      <c r="F139" s="116"/>
    </row>
    <row r="140" spans="1:6" ht="12" customHeight="1" thickBot="1">
      <c r="A140" s="19" t="s">
        <v>33</v>
      </c>
      <c r="B140" s="77" t="s">
        <v>453</v>
      </c>
      <c r="C140" s="134">
        <f t="shared" si="4"/>
        <v>35164932</v>
      </c>
      <c r="D140" s="435">
        <f>+D141+D142+D143+D144</f>
        <v>35164932</v>
      </c>
      <c r="E140" s="134">
        <f>+E141+E142+E143+E144</f>
        <v>0</v>
      </c>
      <c r="F140" s="134">
        <f>+F141+F142+F143+F144</f>
        <v>0</v>
      </c>
    </row>
    <row r="141" spans="1:6" ht="12" customHeight="1">
      <c r="A141" s="14" t="s">
        <v>97</v>
      </c>
      <c r="B141" s="8" t="s">
        <v>320</v>
      </c>
      <c r="C141" s="556">
        <f t="shared" si="4"/>
        <v>0</v>
      </c>
      <c r="D141" s="116"/>
      <c r="E141" s="116"/>
      <c r="F141" s="116"/>
    </row>
    <row r="142" spans="1:6" ht="12" customHeight="1">
      <c r="A142" s="14" t="s">
        <v>98</v>
      </c>
      <c r="B142" s="8" t="s">
        <v>321</v>
      </c>
      <c r="C142" s="557">
        <f t="shared" si="4"/>
        <v>35164932</v>
      </c>
      <c r="D142" s="116">
        <v>35164932</v>
      </c>
      <c r="E142" s="116"/>
      <c r="F142" s="116"/>
    </row>
    <row r="143" spans="1:6" ht="12" customHeight="1">
      <c r="A143" s="14" t="s">
        <v>234</v>
      </c>
      <c r="B143" s="8" t="s">
        <v>454</v>
      </c>
      <c r="C143" s="557">
        <f t="shared" si="4"/>
        <v>0</v>
      </c>
      <c r="D143" s="116"/>
      <c r="E143" s="116"/>
      <c r="F143" s="116"/>
    </row>
    <row r="144" spans="1:6" ht="12" customHeight="1" thickBot="1">
      <c r="A144" s="12" t="s">
        <v>235</v>
      </c>
      <c r="B144" s="6" t="s">
        <v>339</v>
      </c>
      <c r="C144" s="558">
        <f t="shared" si="4"/>
        <v>0</v>
      </c>
      <c r="D144" s="116"/>
      <c r="E144" s="116"/>
      <c r="F144" s="116"/>
    </row>
    <row r="145" spans="1:6" ht="12" customHeight="1" thickBot="1">
      <c r="A145" s="19" t="s">
        <v>34</v>
      </c>
      <c r="B145" s="77" t="s">
        <v>455</v>
      </c>
      <c r="C145" s="387">
        <f t="shared" si="4"/>
        <v>0</v>
      </c>
      <c r="D145" s="448">
        <f>+D146+D147+D148+D149+D150</f>
        <v>0</v>
      </c>
      <c r="E145" s="137">
        <f>+E146+E147+E148+E149+E150</f>
        <v>0</v>
      </c>
      <c r="F145" s="137">
        <f>SUM(F146:F150)</f>
        <v>0</v>
      </c>
    </row>
    <row r="146" spans="1:6" ht="12" customHeight="1">
      <c r="A146" s="14" t="s">
        <v>99</v>
      </c>
      <c r="B146" s="8" t="s">
        <v>456</v>
      </c>
      <c r="C146" s="556">
        <f t="shared" si="4"/>
        <v>0</v>
      </c>
      <c r="D146" s="116"/>
      <c r="E146" s="116"/>
      <c r="F146" s="116"/>
    </row>
    <row r="147" spans="1:6" ht="12" customHeight="1">
      <c r="A147" s="14" t="s">
        <v>100</v>
      </c>
      <c r="B147" s="8" t="s">
        <v>457</v>
      </c>
      <c r="C147" s="557">
        <f t="shared" si="4"/>
        <v>0</v>
      </c>
      <c r="D147" s="116"/>
      <c r="E147" s="116"/>
      <c r="F147" s="116"/>
    </row>
    <row r="148" spans="1:6" ht="12" customHeight="1">
      <c r="A148" s="14" t="s">
        <v>246</v>
      </c>
      <c r="B148" s="8" t="s">
        <v>458</v>
      </c>
      <c r="C148" s="557">
        <f t="shared" si="4"/>
        <v>0</v>
      </c>
      <c r="D148" s="116"/>
      <c r="E148" s="116"/>
      <c r="F148" s="116"/>
    </row>
    <row r="149" spans="1:6" ht="12" customHeight="1">
      <c r="A149" s="14" t="s">
        <v>247</v>
      </c>
      <c r="B149" s="8" t="s">
        <v>459</v>
      </c>
      <c r="C149" s="557">
        <f t="shared" si="4"/>
        <v>0</v>
      </c>
      <c r="D149" s="116"/>
      <c r="E149" s="116"/>
      <c r="F149" s="116"/>
    </row>
    <row r="150" spans="1:6" ht="12" customHeight="1" thickBot="1">
      <c r="A150" s="14" t="s">
        <v>460</v>
      </c>
      <c r="B150" s="8" t="s">
        <v>461</v>
      </c>
      <c r="C150" s="558">
        <f t="shared" si="4"/>
        <v>0</v>
      </c>
      <c r="D150" s="117"/>
      <c r="E150" s="117"/>
      <c r="F150" s="116"/>
    </row>
    <row r="151" spans="1:6" ht="12" customHeight="1" thickBot="1">
      <c r="A151" s="19" t="s">
        <v>35</v>
      </c>
      <c r="B151" s="77" t="s">
        <v>462</v>
      </c>
      <c r="C151" s="129">
        <f t="shared" si="4"/>
        <v>0</v>
      </c>
      <c r="D151" s="448"/>
      <c r="E151" s="137"/>
      <c r="F151" s="377"/>
    </row>
    <row r="152" spans="1:6" ht="12" customHeight="1" thickBot="1">
      <c r="A152" s="19" t="s">
        <v>36</v>
      </c>
      <c r="B152" s="77" t="s">
        <v>463</v>
      </c>
      <c r="C152" s="128">
        <f t="shared" si="4"/>
        <v>0</v>
      </c>
      <c r="D152" s="448"/>
      <c r="E152" s="137"/>
      <c r="F152" s="377"/>
    </row>
    <row r="153" spans="1:9" ht="15" customHeight="1" thickBot="1">
      <c r="A153" s="19" t="s">
        <v>37</v>
      </c>
      <c r="B153" s="77" t="s">
        <v>464</v>
      </c>
      <c r="C153" s="128">
        <f t="shared" si="4"/>
        <v>35164932</v>
      </c>
      <c r="D153" s="451">
        <f>+D129+D133+D140+D145+D151+D152</f>
        <v>35164932</v>
      </c>
      <c r="E153" s="214">
        <f>+E129+E133+E140+E145+E151+E152</f>
        <v>0</v>
      </c>
      <c r="F153" s="214">
        <f>+F129+F133+F140+F145+F151+F152</f>
        <v>0</v>
      </c>
      <c r="G153" s="215"/>
      <c r="H153" s="215"/>
      <c r="I153" s="215"/>
    </row>
    <row r="154" spans="1:6" s="203" customFormat="1" ht="12.75" customHeight="1" thickBot="1">
      <c r="A154" s="127" t="s">
        <v>38</v>
      </c>
      <c r="B154" s="189" t="s">
        <v>465</v>
      </c>
      <c r="C154" s="129">
        <f t="shared" si="4"/>
        <v>2134795761</v>
      </c>
      <c r="D154" s="451">
        <f>+D128+D153</f>
        <v>1227435669</v>
      </c>
      <c r="E154" s="214">
        <f>+E128+E153</f>
        <v>26260350</v>
      </c>
      <c r="F154" s="214">
        <f>+F128+F153</f>
        <v>881099742</v>
      </c>
    </row>
    <row r="155" ht="7.5" customHeight="1"/>
    <row r="156" spans="1:3" ht="15.75">
      <c r="A156" s="600" t="s">
        <v>322</v>
      </c>
      <c r="B156" s="600"/>
      <c r="C156" s="600"/>
    </row>
    <row r="157" spans="1:3" ht="15" customHeight="1" thickBot="1">
      <c r="A157" s="597" t="s">
        <v>130</v>
      </c>
      <c r="B157" s="597"/>
      <c r="C157" s="138" t="s">
        <v>534</v>
      </c>
    </row>
    <row r="158" spans="1:3" ht="13.5" customHeight="1" thickBot="1">
      <c r="A158" s="19">
        <v>1</v>
      </c>
      <c r="B158" s="25" t="s">
        <v>466</v>
      </c>
      <c r="C158" s="129">
        <f>+C62-C128</f>
        <v>32661254</v>
      </c>
    </row>
    <row r="159" spans="1:3" ht="27.75" customHeight="1" thickBot="1">
      <c r="A159" s="19" t="s">
        <v>29</v>
      </c>
      <c r="B159" s="25" t="s">
        <v>467</v>
      </c>
      <c r="C159" s="129">
        <f>+C86-C153</f>
        <v>256969033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melléklet a 12/2017.(IV.11.) önkormányzati rendelethez</oddHeader>
  </headerFooter>
  <rowBreaks count="1" manualBreakCount="1">
    <brk id="8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04">
    <tabColor rgb="FF92D050"/>
  </sheetPr>
  <dimension ref="A1:I159"/>
  <sheetViews>
    <sheetView zoomScaleSheetLayoutView="100" workbookViewId="0" topLeftCell="A1">
      <selection activeCell="H146" sqref="H146"/>
    </sheetView>
  </sheetViews>
  <sheetFormatPr defaultColWidth="9.00390625" defaultRowHeight="12.75"/>
  <cols>
    <col min="1" max="1" width="9.50390625" style="190" customWidth="1"/>
    <col min="2" max="2" width="83.875" style="190" customWidth="1"/>
    <col min="3" max="3" width="21.625" style="191" customWidth="1"/>
    <col min="4" max="4" width="19.375" style="201" hidden="1" customWidth="1"/>
    <col min="5" max="5" width="15.875" style="201" hidden="1" customWidth="1"/>
    <col min="6" max="6" width="15.375" style="201" hidden="1" customWidth="1"/>
    <col min="7" max="16384" width="9.375" style="201" customWidth="1"/>
  </cols>
  <sheetData>
    <row r="1" spans="1:3" ht="15.75" customHeight="1">
      <c r="A1" s="598" t="s">
        <v>25</v>
      </c>
      <c r="B1" s="598"/>
      <c r="C1" s="598"/>
    </row>
    <row r="2" spans="1:3" ht="15.75" customHeight="1" thickBot="1">
      <c r="A2" s="601"/>
      <c r="B2" s="601"/>
      <c r="C2" s="138" t="s">
        <v>534</v>
      </c>
    </row>
    <row r="3" spans="1:6" ht="37.5" customHeight="1" thickBot="1">
      <c r="A3" s="22" t="s">
        <v>76</v>
      </c>
      <c r="B3" s="23" t="s">
        <v>27</v>
      </c>
      <c r="C3" s="31" t="s">
        <v>524</v>
      </c>
      <c r="D3" s="190" t="s">
        <v>558</v>
      </c>
      <c r="E3" s="190" t="s">
        <v>559</v>
      </c>
      <c r="F3" s="190" t="s">
        <v>560</v>
      </c>
    </row>
    <row r="4" spans="1:3" s="202" customFormat="1" ht="12" customHeight="1" thickBot="1">
      <c r="A4" s="196" t="s">
        <v>414</v>
      </c>
      <c r="B4" s="197" t="s">
        <v>415</v>
      </c>
      <c r="C4" s="198" t="s">
        <v>416</v>
      </c>
    </row>
    <row r="5" spans="1:6" s="203" customFormat="1" ht="12" customHeight="1" thickBot="1">
      <c r="A5" s="19" t="s">
        <v>28</v>
      </c>
      <c r="B5" s="20" t="s">
        <v>194</v>
      </c>
      <c r="C5" s="134">
        <f aca="true" t="shared" si="0" ref="C5:C36">SUM(D5:F5)</f>
        <v>143500069</v>
      </c>
      <c r="D5" s="431">
        <f>+D6+D7+D8+D9+D10+D11</f>
        <v>143500069</v>
      </c>
      <c r="E5" s="129">
        <f>+E6+E7+E8+E9+E10+E11</f>
        <v>0</v>
      </c>
      <c r="F5" s="129">
        <f>+F6+F7+F8+F9+F10+F11</f>
        <v>0</v>
      </c>
    </row>
    <row r="6" spans="1:6" s="203" customFormat="1" ht="12" customHeight="1">
      <c r="A6" s="14" t="s">
        <v>101</v>
      </c>
      <c r="B6" s="204" t="s">
        <v>195</v>
      </c>
      <c r="C6" s="556">
        <f t="shared" si="0"/>
        <v>0</v>
      </c>
      <c r="D6" s="433"/>
      <c r="E6" s="230"/>
      <c r="F6" s="131"/>
    </row>
    <row r="7" spans="1:6" s="203" customFormat="1" ht="12" customHeight="1">
      <c r="A7" s="13" t="s">
        <v>102</v>
      </c>
      <c r="B7" s="205" t="s">
        <v>196</v>
      </c>
      <c r="C7" s="557">
        <f t="shared" si="0"/>
        <v>0</v>
      </c>
      <c r="D7" s="116"/>
      <c r="E7" s="133"/>
      <c r="F7" s="130"/>
    </row>
    <row r="8" spans="1:6" s="203" customFormat="1" ht="12" customHeight="1">
      <c r="A8" s="13" t="s">
        <v>103</v>
      </c>
      <c r="B8" s="205" t="s">
        <v>518</v>
      </c>
      <c r="C8" s="557">
        <f t="shared" si="0"/>
        <v>133985360</v>
      </c>
      <c r="D8" s="116">
        <f>118423160+15562200</f>
        <v>133985360</v>
      </c>
      <c r="E8" s="133"/>
      <c r="F8" s="130"/>
    </row>
    <row r="9" spans="1:6" s="203" customFormat="1" ht="12" customHeight="1">
      <c r="A9" s="13" t="s">
        <v>104</v>
      </c>
      <c r="B9" s="205" t="s">
        <v>198</v>
      </c>
      <c r="C9" s="557">
        <f t="shared" si="0"/>
        <v>0</v>
      </c>
      <c r="D9" s="116"/>
      <c r="E9" s="133"/>
      <c r="F9" s="130"/>
    </row>
    <row r="10" spans="1:6" s="203" customFormat="1" ht="12" customHeight="1">
      <c r="A10" s="13" t="s">
        <v>125</v>
      </c>
      <c r="B10" s="125" t="s">
        <v>417</v>
      </c>
      <c r="C10" s="557">
        <f t="shared" si="0"/>
        <v>9514709</v>
      </c>
      <c r="D10" s="385">
        <f>9514709</f>
        <v>9514709</v>
      </c>
      <c r="E10" s="133"/>
      <c r="F10" s="133"/>
    </row>
    <row r="11" spans="1:6" s="203" customFormat="1" ht="12" customHeight="1" thickBot="1">
      <c r="A11" s="15" t="s">
        <v>105</v>
      </c>
      <c r="B11" s="126" t="s">
        <v>418</v>
      </c>
      <c r="C11" s="558">
        <f t="shared" si="0"/>
        <v>0</v>
      </c>
      <c r="D11" s="116"/>
      <c r="E11" s="130"/>
      <c r="F11" s="130"/>
    </row>
    <row r="12" spans="1:6" s="203" customFormat="1" ht="12" customHeight="1" thickBot="1">
      <c r="A12" s="19" t="s">
        <v>29</v>
      </c>
      <c r="B12" s="124" t="s">
        <v>199</v>
      </c>
      <c r="C12" s="134">
        <f t="shared" si="0"/>
        <v>118216000</v>
      </c>
      <c r="D12" s="431">
        <f>+D13+D14+D15+D16+D17</f>
        <v>112731000</v>
      </c>
      <c r="E12" s="129">
        <f>+E13+E14+E15+E16+E17</f>
        <v>0</v>
      </c>
      <c r="F12" s="129">
        <f>+F13+F14+F15+F16+F17</f>
        <v>5485000</v>
      </c>
    </row>
    <row r="13" spans="1:6" s="203" customFormat="1" ht="12" customHeight="1">
      <c r="A13" s="14" t="s">
        <v>107</v>
      </c>
      <c r="B13" s="204" t="s">
        <v>200</v>
      </c>
      <c r="C13" s="556">
        <f t="shared" si="0"/>
        <v>0</v>
      </c>
      <c r="D13" s="433"/>
      <c r="E13" s="131"/>
      <c r="F13" s="131"/>
    </row>
    <row r="14" spans="1:6" s="203" customFormat="1" ht="12" customHeight="1">
      <c r="A14" s="13" t="s">
        <v>108</v>
      </c>
      <c r="B14" s="205" t="s">
        <v>201</v>
      </c>
      <c r="C14" s="557">
        <f t="shared" si="0"/>
        <v>0</v>
      </c>
      <c r="D14" s="116"/>
      <c r="E14" s="130"/>
      <c r="F14" s="130"/>
    </row>
    <row r="15" spans="1:6" s="203" customFormat="1" ht="12" customHeight="1">
      <c r="A15" s="13" t="s">
        <v>109</v>
      </c>
      <c r="B15" s="205" t="s">
        <v>352</v>
      </c>
      <c r="C15" s="557">
        <f t="shared" si="0"/>
        <v>0</v>
      </c>
      <c r="D15" s="116"/>
      <c r="E15" s="130"/>
      <c r="F15" s="130"/>
    </row>
    <row r="16" spans="1:6" s="203" customFormat="1" ht="12" customHeight="1">
      <c r="A16" s="13" t="s">
        <v>110</v>
      </c>
      <c r="B16" s="205" t="s">
        <v>353</v>
      </c>
      <c r="C16" s="557">
        <f t="shared" si="0"/>
        <v>0</v>
      </c>
      <c r="D16" s="116"/>
      <c r="E16" s="130"/>
      <c r="F16" s="130"/>
    </row>
    <row r="17" spans="1:6" s="203" customFormat="1" ht="12" customHeight="1">
      <c r="A17" s="13" t="s">
        <v>111</v>
      </c>
      <c r="B17" s="205" t="s">
        <v>202</v>
      </c>
      <c r="C17" s="557">
        <f t="shared" si="0"/>
        <v>118216000</v>
      </c>
      <c r="D17" s="385">
        <f>2285000+110446000</f>
        <v>112731000</v>
      </c>
      <c r="E17" s="390"/>
      <c r="F17" s="133">
        <v>5485000</v>
      </c>
    </row>
    <row r="18" spans="1:6" s="203" customFormat="1" ht="12" customHeight="1" thickBot="1">
      <c r="A18" s="15" t="s">
        <v>120</v>
      </c>
      <c r="B18" s="126" t="s">
        <v>203</v>
      </c>
      <c r="C18" s="558">
        <f t="shared" si="0"/>
        <v>0</v>
      </c>
      <c r="D18" s="397"/>
      <c r="E18" s="193"/>
      <c r="F18" s="193"/>
    </row>
    <row r="19" spans="1:6" s="203" customFormat="1" ht="12" customHeight="1" thickBot="1">
      <c r="A19" s="19" t="s">
        <v>30</v>
      </c>
      <c r="B19" s="20" t="s">
        <v>204</v>
      </c>
      <c r="C19" s="387">
        <f t="shared" si="0"/>
        <v>0</v>
      </c>
      <c r="D19" s="431">
        <f>+D20+D21+D22+D23+D24</f>
        <v>0</v>
      </c>
      <c r="E19" s="129">
        <f>+E20+E21+E22+E23+E24</f>
        <v>0</v>
      </c>
      <c r="F19" s="129">
        <f>+F20+F21+F22+F23+F24</f>
        <v>0</v>
      </c>
    </row>
    <row r="20" spans="1:6" s="203" customFormat="1" ht="12" customHeight="1">
      <c r="A20" s="14" t="s">
        <v>90</v>
      </c>
      <c r="B20" s="204" t="s">
        <v>205</v>
      </c>
      <c r="C20" s="556">
        <f t="shared" si="0"/>
        <v>0</v>
      </c>
      <c r="D20" s="433"/>
      <c r="E20" s="384"/>
      <c r="F20" s="131"/>
    </row>
    <row r="21" spans="1:6" s="203" customFormat="1" ht="12" customHeight="1">
      <c r="A21" s="13" t="s">
        <v>91</v>
      </c>
      <c r="B21" s="205" t="s">
        <v>206</v>
      </c>
      <c r="C21" s="557">
        <f t="shared" si="0"/>
        <v>0</v>
      </c>
      <c r="D21" s="116"/>
      <c r="E21" s="133"/>
      <c r="F21" s="130"/>
    </row>
    <row r="22" spans="1:6" s="203" customFormat="1" ht="12" customHeight="1">
      <c r="A22" s="13" t="s">
        <v>92</v>
      </c>
      <c r="B22" s="205" t="s">
        <v>354</v>
      </c>
      <c r="C22" s="557">
        <f t="shared" si="0"/>
        <v>0</v>
      </c>
      <c r="D22" s="116"/>
      <c r="E22" s="133"/>
      <c r="F22" s="130"/>
    </row>
    <row r="23" spans="1:6" s="203" customFormat="1" ht="12" customHeight="1">
      <c r="A23" s="13" t="s">
        <v>93</v>
      </c>
      <c r="B23" s="205" t="s">
        <v>355</v>
      </c>
      <c r="C23" s="557">
        <f t="shared" si="0"/>
        <v>0</v>
      </c>
      <c r="D23" s="116"/>
      <c r="E23" s="133"/>
      <c r="F23" s="130"/>
    </row>
    <row r="24" spans="1:6" s="203" customFormat="1" ht="12" customHeight="1">
      <c r="A24" s="13" t="s">
        <v>137</v>
      </c>
      <c r="B24" s="205" t="s">
        <v>207</v>
      </c>
      <c r="C24" s="557">
        <f t="shared" si="0"/>
        <v>0</v>
      </c>
      <c r="D24" s="385"/>
      <c r="E24" s="133"/>
      <c r="F24" s="133"/>
    </row>
    <row r="25" spans="1:6" s="203" customFormat="1" ht="12" customHeight="1" thickBot="1">
      <c r="A25" s="15" t="s">
        <v>138</v>
      </c>
      <c r="B25" s="206" t="s">
        <v>208</v>
      </c>
      <c r="C25" s="558">
        <f t="shared" si="0"/>
        <v>0</v>
      </c>
      <c r="D25" s="397"/>
      <c r="E25" s="193"/>
      <c r="F25" s="193"/>
    </row>
    <row r="26" spans="1:6" s="203" customFormat="1" ht="12" customHeight="1" thickBot="1">
      <c r="A26" s="19" t="s">
        <v>139</v>
      </c>
      <c r="B26" s="20" t="s">
        <v>209</v>
      </c>
      <c r="C26" s="387">
        <f t="shared" si="0"/>
        <v>0</v>
      </c>
      <c r="D26" s="435">
        <f>+D27+D31+D32+D33</f>
        <v>0</v>
      </c>
      <c r="E26" s="134">
        <f>+E27+E31+E32+E33</f>
        <v>0</v>
      </c>
      <c r="F26" s="134">
        <f>+F27+F31+F32+F33</f>
        <v>0</v>
      </c>
    </row>
    <row r="27" spans="1:6" s="203" customFormat="1" ht="12" customHeight="1">
      <c r="A27" s="14" t="s">
        <v>210</v>
      </c>
      <c r="B27" s="204" t="s">
        <v>419</v>
      </c>
      <c r="C27" s="556">
        <f t="shared" si="0"/>
        <v>0</v>
      </c>
      <c r="D27" s="502">
        <f>+D28+D29+D30</f>
        <v>0</v>
      </c>
      <c r="E27" s="199"/>
      <c r="F27" s="199">
        <f>+F28+F29+F30</f>
        <v>0</v>
      </c>
    </row>
    <row r="28" spans="1:6" s="203" customFormat="1" ht="12" customHeight="1">
      <c r="A28" s="13" t="s">
        <v>211</v>
      </c>
      <c r="B28" s="205" t="s">
        <v>216</v>
      </c>
      <c r="C28" s="557">
        <f t="shared" si="0"/>
        <v>0</v>
      </c>
      <c r="D28" s="116"/>
      <c r="E28" s="130"/>
      <c r="F28" s="130"/>
    </row>
    <row r="29" spans="1:6" s="203" customFormat="1" ht="12" customHeight="1">
      <c r="A29" s="13" t="s">
        <v>212</v>
      </c>
      <c r="B29" s="205" t="s">
        <v>217</v>
      </c>
      <c r="C29" s="557">
        <f t="shared" si="0"/>
        <v>0</v>
      </c>
      <c r="D29" s="116"/>
      <c r="E29" s="130"/>
      <c r="F29" s="130"/>
    </row>
    <row r="30" spans="1:6" s="203" customFormat="1" ht="12" customHeight="1">
      <c r="A30" s="13" t="s">
        <v>420</v>
      </c>
      <c r="B30" s="368" t="s">
        <v>421</v>
      </c>
      <c r="C30" s="557">
        <f t="shared" si="0"/>
        <v>0</v>
      </c>
      <c r="D30" s="116"/>
      <c r="E30" s="133"/>
      <c r="F30" s="130"/>
    </row>
    <row r="31" spans="1:6" s="203" customFormat="1" ht="12" customHeight="1">
      <c r="A31" s="13" t="s">
        <v>213</v>
      </c>
      <c r="B31" s="205" t="s">
        <v>218</v>
      </c>
      <c r="C31" s="557">
        <f t="shared" si="0"/>
        <v>0</v>
      </c>
      <c r="D31" s="116"/>
      <c r="E31" s="130"/>
      <c r="F31" s="130"/>
    </row>
    <row r="32" spans="1:6" s="203" customFormat="1" ht="12" customHeight="1">
      <c r="A32" s="13" t="s">
        <v>214</v>
      </c>
      <c r="B32" s="205" t="s">
        <v>219</v>
      </c>
      <c r="C32" s="557">
        <f t="shared" si="0"/>
        <v>0</v>
      </c>
      <c r="D32" s="116"/>
      <c r="E32" s="130"/>
      <c r="F32" s="130"/>
    </row>
    <row r="33" spans="1:6" s="203" customFormat="1" ht="12" customHeight="1" thickBot="1">
      <c r="A33" s="15" t="s">
        <v>215</v>
      </c>
      <c r="B33" s="206" t="s">
        <v>220</v>
      </c>
      <c r="C33" s="558">
        <f t="shared" si="0"/>
        <v>0</v>
      </c>
      <c r="D33" s="117"/>
      <c r="E33" s="193"/>
      <c r="F33" s="132"/>
    </row>
    <row r="34" spans="1:6" s="203" customFormat="1" ht="12" customHeight="1" thickBot="1">
      <c r="A34" s="19" t="s">
        <v>32</v>
      </c>
      <c r="B34" s="20" t="s">
        <v>422</v>
      </c>
      <c r="C34" s="134">
        <f t="shared" si="0"/>
        <v>218075402</v>
      </c>
      <c r="D34" s="431">
        <f>SUM(D35:D45)</f>
        <v>5234000</v>
      </c>
      <c r="E34" s="129">
        <f>SUM(E35:E45)</f>
        <v>635000</v>
      </c>
      <c r="F34" s="129">
        <f>SUM(F35:F45)</f>
        <v>212206402</v>
      </c>
    </row>
    <row r="35" spans="1:6" s="203" customFormat="1" ht="12" customHeight="1">
      <c r="A35" s="14" t="s">
        <v>94</v>
      </c>
      <c r="B35" s="204" t="s">
        <v>223</v>
      </c>
      <c r="C35" s="556">
        <f t="shared" si="0"/>
        <v>3937000</v>
      </c>
      <c r="D35" s="433">
        <v>3937000</v>
      </c>
      <c r="E35" s="230"/>
      <c r="F35" s="131"/>
    </row>
    <row r="36" spans="1:6" s="203" customFormat="1" ht="12" customHeight="1">
      <c r="A36" s="13" t="s">
        <v>95</v>
      </c>
      <c r="B36" s="205" t="s">
        <v>224</v>
      </c>
      <c r="C36" s="557">
        <f t="shared" si="0"/>
        <v>40507932</v>
      </c>
      <c r="D36" s="385">
        <f>160000</f>
        <v>160000</v>
      </c>
      <c r="E36" s="133">
        <v>500000</v>
      </c>
      <c r="F36" s="131">
        <v>39847932</v>
      </c>
    </row>
    <row r="37" spans="1:6" s="203" customFormat="1" ht="12" customHeight="1">
      <c r="A37" s="13" t="s">
        <v>96</v>
      </c>
      <c r="B37" s="205" t="s">
        <v>225</v>
      </c>
      <c r="C37" s="557">
        <f aca="true" t="shared" si="1" ref="C37:C68">SUM(D37:F37)</f>
        <v>10525000</v>
      </c>
      <c r="D37" s="385"/>
      <c r="E37" s="133"/>
      <c r="F37" s="131">
        <v>10525000</v>
      </c>
    </row>
    <row r="38" spans="1:6" s="203" customFormat="1" ht="12" customHeight="1">
      <c r="A38" s="13" t="s">
        <v>141</v>
      </c>
      <c r="B38" s="205" t="s">
        <v>226</v>
      </c>
      <c r="C38" s="557">
        <f t="shared" si="1"/>
        <v>0</v>
      </c>
      <c r="D38" s="116"/>
      <c r="E38" s="133"/>
      <c r="F38" s="131"/>
    </row>
    <row r="39" spans="1:6" s="203" customFormat="1" ht="12" customHeight="1">
      <c r="A39" s="13" t="s">
        <v>142</v>
      </c>
      <c r="B39" s="205" t="s">
        <v>227</v>
      </c>
      <c r="C39" s="557">
        <f t="shared" si="1"/>
        <v>158991720</v>
      </c>
      <c r="D39" s="116"/>
      <c r="E39" s="133"/>
      <c r="F39" s="131">
        <v>158991720</v>
      </c>
    </row>
    <row r="40" spans="1:6" s="203" customFormat="1" ht="12" customHeight="1">
      <c r="A40" s="13" t="s">
        <v>143</v>
      </c>
      <c r="B40" s="205" t="s">
        <v>228</v>
      </c>
      <c r="C40" s="557">
        <f t="shared" si="1"/>
        <v>4083750</v>
      </c>
      <c r="D40" s="116">
        <f>1063000+44000</f>
        <v>1107000</v>
      </c>
      <c r="E40" s="133">
        <v>135000</v>
      </c>
      <c r="F40" s="131">
        <v>2841750</v>
      </c>
    </row>
    <row r="41" spans="1:6" s="203" customFormat="1" ht="12" customHeight="1">
      <c r="A41" s="13" t="s">
        <v>144</v>
      </c>
      <c r="B41" s="205" t="s">
        <v>229</v>
      </c>
      <c r="C41" s="557">
        <f t="shared" si="1"/>
        <v>0</v>
      </c>
      <c r="D41" s="116"/>
      <c r="E41" s="133"/>
      <c r="F41" s="131"/>
    </row>
    <row r="42" spans="1:6" s="203" customFormat="1" ht="12" customHeight="1">
      <c r="A42" s="13" t="s">
        <v>145</v>
      </c>
      <c r="B42" s="205" t="s">
        <v>515</v>
      </c>
      <c r="C42" s="557">
        <f t="shared" si="1"/>
        <v>30000</v>
      </c>
      <c r="D42" s="116">
        <v>30000</v>
      </c>
      <c r="E42" s="133"/>
      <c r="F42" s="133"/>
    </row>
    <row r="43" spans="1:6" s="203" customFormat="1" ht="12" customHeight="1">
      <c r="A43" s="13" t="s">
        <v>221</v>
      </c>
      <c r="B43" s="205" t="s">
        <v>231</v>
      </c>
      <c r="C43" s="557">
        <f t="shared" si="1"/>
        <v>0</v>
      </c>
      <c r="D43" s="385"/>
      <c r="E43" s="133"/>
      <c r="F43" s="133"/>
    </row>
    <row r="44" spans="1:6" s="203" customFormat="1" ht="12" customHeight="1">
      <c r="A44" s="15" t="s">
        <v>222</v>
      </c>
      <c r="B44" s="206" t="s">
        <v>423</v>
      </c>
      <c r="C44" s="557">
        <f t="shared" si="1"/>
        <v>0</v>
      </c>
      <c r="D44" s="397"/>
      <c r="E44" s="193"/>
      <c r="F44" s="193"/>
    </row>
    <row r="45" spans="1:6" s="203" customFormat="1" ht="12" customHeight="1" thickBot="1">
      <c r="A45" s="15" t="s">
        <v>424</v>
      </c>
      <c r="B45" s="126" t="s">
        <v>232</v>
      </c>
      <c r="C45" s="558">
        <f t="shared" si="1"/>
        <v>0</v>
      </c>
      <c r="D45" s="397"/>
      <c r="E45" s="193"/>
      <c r="F45" s="193"/>
    </row>
    <row r="46" spans="1:6" s="203" customFormat="1" ht="12" customHeight="1" thickBot="1">
      <c r="A46" s="19" t="s">
        <v>33</v>
      </c>
      <c r="B46" s="20" t="s">
        <v>233</v>
      </c>
      <c r="C46" s="134">
        <f t="shared" si="1"/>
        <v>0</v>
      </c>
      <c r="D46" s="431">
        <f>SUM(D47:D51)</f>
        <v>0</v>
      </c>
      <c r="E46" s="129">
        <f>SUM(E47:E51)</f>
        <v>0</v>
      </c>
      <c r="F46" s="129">
        <f>SUM(F47:F51)</f>
        <v>0</v>
      </c>
    </row>
    <row r="47" spans="1:6" s="203" customFormat="1" ht="12" customHeight="1">
      <c r="A47" s="14" t="s">
        <v>97</v>
      </c>
      <c r="B47" s="204" t="s">
        <v>237</v>
      </c>
      <c r="C47" s="556">
        <f t="shared" si="1"/>
        <v>0</v>
      </c>
      <c r="D47" s="438"/>
      <c r="E47" s="230"/>
      <c r="F47" s="230"/>
    </row>
    <row r="48" spans="1:6" s="203" customFormat="1" ht="12" customHeight="1">
      <c r="A48" s="13" t="s">
        <v>98</v>
      </c>
      <c r="B48" s="205" t="s">
        <v>238</v>
      </c>
      <c r="C48" s="557">
        <f t="shared" si="1"/>
        <v>0</v>
      </c>
      <c r="D48" s="385"/>
      <c r="E48" s="133"/>
      <c r="F48" s="133"/>
    </row>
    <row r="49" spans="1:6" s="203" customFormat="1" ht="12" customHeight="1">
      <c r="A49" s="13" t="s">
        <v>234</v>
      </c>
      <c r="B49" s="205" t="s">
        <v>239</v>
      </c>
      <c r="C49" s="557">
        <f t="shared" si="1"/>
        <v>0</v>
      </c>
      <c r="D49" s="385"/>
      <c r="E49" s="133"/>
      <c r="F49" s="133"/>
    </row>
    <row r="50" spans="1:6" s="203" customFormat="1" ht="12" customHeight="1">
      <c r="A50" s="13" t="s">
        <v>235</v>
      </c>
      <c r="B50" s="205" t="s">
        <v>240</v>
      </c>
      <c r="C50" s="557">
        <f t="shared" si="1"/>
        <v>0</v>
      </c>
      <c r="D50" s="385"/>
      <c r="E50" s="133"/>
      <c r="F50" s="133"/>
    </row>
    <row r="51" spans="1:6" s="203" customFormat="1" ht="12" customHeight="1" thickBot="1">
      <c r="A51" s="15" t="s">
        <v>236</v>
      </c>
      <c r="B51" s="126" t="s">
        <v>241</v>
      </c>
      <c r="C51" s="558">
        <f t="shared" si="1"/>
        <v>0</v>
      </c>
      <c r="D51" s="397"/>
      <c r="E51" s="193"/>
      <c r="F51" s="193"/>
    </row>
    <row r="52" spans="1:6" s="203" customFormat="1" ht="12" customHeight="1" thickBot="1">
      <c r="A52" s="19" t="s">
        <v>146</v>
      </c>
      <c r="B52" s="20" t="s">
        <v>242</v>
      </c>
      <c r="C52" s="134">
        <f t="shared" si="1"/>
        <v>1566000</v>
      </c>
      <c r="D52" s="431">
        <f>SUM(D53:D55)</f>
        <v>1566000</v>
      </c>
      <c r="E52" s="129">
        <f>SUM(E53:E55)</f>
        <v>0</v>
      </c>
      <c r="F52" s="129">
        <f>SUM(F53:F55)</f>
        <v>0</v>
      </c>
    </row>
    <row r="53" spans="1:6" s="203" customFormat="1" ht="12" customHeight="1">
      <c r="A53" s="14" t="s">
        <v>99</v>
      </c>
      <c r="B53" s="204" t="s">
        <v>243</v>
      </c>
      <c r="C53" s="556">
        <f t="shared" si="1"/>
        <v>0</v>
      </c>
      <c r="D53" s="433"/>
      <c r="E53" s="131"/>
      <c r="F53" s="131"/>
    </row>
    <row r="54" spans="1:6" s="203" customFormat="1" ht="12" customHeight="1">
      <c r="A54" s="13" t="s">
        <v>100</v>
      </c>
      <c r="B54" s="205" t="s">
        <v>356</v>
      </c>
      <c r="C54" s="557">
        <f t="shared" si="1"/>
        <v>1566000</v>
      </c>
      <c r="D54" s="385">
        <v>1566000</v>
      </c>
      <c r="E54" s="133"/>
      <c r="F54" s="133"/>
    </row>
    <row r="55" spans="1:6" s="203" customFormat="1" ht="12" customHeight="1">
      <c r="A55" s="13" t="s">
        <v>246</v>
      </c>
      <c r="B55" s="205" t="s">
        <v>244</v>
      </c>
      <c r="C55" s="557">
        <f t="shared" si="1"/>
        <v>0</v>
      </c>
      <c r="D55" s="385"/>
      <c r="E55" s="133"/>
      <c r="F55" s="133"/>
    </row>
    <row r="56" spans="1:6" s="203" customFormat="1" ht="12" customHeight="1" thickBot="1">
      <c r="A56" s="15" t="s">
        <v>247</v>
      </c>
      <c r="B56" s="126" t="s">
        <v>245</v>
      </c>
      <c r="C56" s="558">
        <f t="shared" si="1"/>
        <v>0</v>
      </c>
      <c r="D56" s="117"/>
      <c r="E56" s="132"/>
      <c r="F56" s="132"/>
    </row>
    <row r="57" spans="1:6" s="203" customFormat="1" ht="12" customHeight="1" thickBot="1">
      <c r="A57" s="19" t="s">
        <v>35</v>
      </c>
      <c r="B57" s="124" t="s">
        <v>248</v>
      </c>
      <c r="C57" s="134">
        <f t="shared" si="1"/>
        <v>0</v>
      </c>
      <c r="D57" s="431">
        <f>SUM(D58:D60)</f>
        <v>0</v>
      </c>
      <c r="E57" s="129">
        <f>SUM(E58:E60)</f>
        <v>0</v>
      </c>
      <c r="F57" s="129">
        <f>SUM(F58:F60)</f>
        <v>0</v>
      </c>
    </row>
    <row r="58" spans="1:6" s="203" customFormat="1" ht="12" customHeight="1">
      <c r="A58" s="14" t="s">
        <v>147</v>
      </c>
      <c r="B58" s="204" t="s">
        <v>250</v>
      </c>
      <c r="C58" s="556">
        <f t="shared" si="1"/>
        <v>0</v>
      </c>
      <c r="D58" s="385"/>
      <c r="E58" s="133"/>
      <c r="F58" s="133"/>
    </row>
    <row r="59" spans="1:6" s="203" customFormat="1" ht="12" customHeight="1">
      <c r="A59" s="13" t="s">
        <v>148</v>
      </c>
      <c r="B59" s="205" t="s">
        <v>357</v>
      </c>
      <c r="C59" s="557">
        <f t="shared" si="1"/>
        <v>0</v>
      </c>
      <c r="D59" s="385"/>
      <c r="E59" s="133"/>
      <c r="F59" s="133"/>
    </row>
    <row r="60" spans="1:6" s="203" customFormat="1" ht="12" customHeight="1">
      <c r="A60" s="13" t="s">
        <v>172</v>
      </c>
      <c r="B60" s="205" t="s">
        <v>251</v>
      </c>
      <c r="C60" s="557">
        <f t="shared" si="1"/>
        <v>0</v>
      </c>
      <c r="D60" s="385"/>
      <c r="E60" s="133"/>
      <c r="F60" s="133"/>
    </row>
    <row r="61" spans="1:6" s="203" customFormat="1" ht="12" customHeight="1" thickBot="1">
      <c r="A61" s="15" t="s">
        <v>249</v>
      </c>
      <c r="B61" s="126" t="s">
        <v>252</v>
      </c>
      <c r="C61" s="558">
        <f t="shared" si="1"/>
        <v>0</v>
      </c>
      <c r="D61" s="385"/>
      <c r="E61" s="133"/>
      <c r="F61" s="133"/>
    </row>
    <row r="62" spans="1:6" s="203" customFormat="1" ht="12" customHeight="1" thickBot="1">
      <c r="A62" s="369" t="s">
        <v>425</v>
      </c>
      <c r="B62" s="20" t="s">
        <v>253</v>
      </c>
      <c r="C62" s="134">
        <f t="shared" si="1"/>
        <v>481357471</v>
      </c>
      <c r="D62" s="435">
        <f>+D5+D12+D19+D26+D34+D46+D52+D57</f>
        <v>263031069</v>
      </c>
      <c r="E62" s="134">
        <f>+E5+E12+E19+E26+E34+E46+E52+E57</f>
        <v>635000</v>
      </c>
      <c r="F62" s="134">
        <f>+F5+F12+F19+F26+F34+F46+F52+F57</f>
        <v>217691402</v>
      </c>
    </row>
    <row r="63" spans="1:6" s="203" customFormat="1" ht="12" customHeight="1" thickBot="1">
      <c r="A63" s="370" t="s">
        <v>254</v>
      </c>
      <c r="B63" s="124" t="s">
        <v>255</v>
      </c>
      <c r="C63" s="134">
        <f t="shared" si="1"/>
        <v>144100000</v>
      </c>
      <c r="D63" s="431">
        <f>SUM(D64:D66)</f>
        <v>144100000</v>
      </c>
      <c r="E63" s="129">
        <f>SUM(E64:E66)</f>
        <v>0</v>
      </c>
      <c r="F63" s="387">
        <f>SUM(F64:F66)</f>
        <v>0</v>
      </c>
    </row>
    <row r="64" spans="1:6" s="203" customFormat="1" ht="12" customHeight="1">
      <c r="A64" s="14" t="s">
        <v>286</v>
      </c>
      <c r="B64" s="204" t="s">
        <v>256</v>
      </c>
      <c r="C64" s="556">
        <f t="shared" si="1"/>
        <v>44100000</v>
      </c>
      <c r="D64" s="398">
        <v>44100000</v>
      </c>
      <c r="E64" s="133"/>
      <c r="F64" s="133">
        <v>0</v>
      </c>
    </row>
    <row r="65" spans="1:6" s="203" customFormat="1" ht="12" customHeight="1">
      <c r="A65" s="13" t="s">
        <v>295</v>
      </c>
      <c r="B65" s="205" t="s">
        <v>257</v>
      </c>
      <c r="C65" s="557">
        <f t="shared" si="1"/>
        <v>100000000</v>
      </c>
      <c r="D65" s="385">
        <v>100000000</v>
      </c>
      <c r="E65" s="133"/>
      <c r="F65" s="133"/>
    </row>
    <row r="66" spans="1:6" s="203" customFormat="1" ht="12" customHeight="1" thickBot="1">
      <c r="A66" s="15" t="s">
        <v>296</v>
      </c>
      <c r="B66" s="371" t="s">
        <v>426</v>
      </c>
      <c r="C66" s="558">
        <f t="shared" si="1"/>
        <v>0</v>
      </c>
      <c r="D66" s="385"/>
      <c r="E66" s="133"/>
      <c r="F66" s="133"/>
    </row>
    <row r="67" spans="1:6" s="203" customFormat="1" ht="12" customHeight="1" thickBot="1">
      <c r="A67" s="370" t="s">
        <v>259</v>
      </c>
      <c r="B67" s="124" t="s">
        <v>260</v>
      </c>
      <c r="C67" s="387">
        <f t="shared" si="1"/>
        <v>0</v>
      </c>
      <c r="D67" s="431">
        <f>SUM(D68:D71)</f>
        <v>0</v>
      </c>
      <c r="E67" s="129">
        <f>SUM(E68:E71)</f>
        <v>0</v>
      </c>
      <c r="F67" s="129">
        <f>SUM(F68:F71)</f>
        <v>0</v>
      </c>
    </row>
    <row r="68" spans="1:6" s="203" customFormat="1" ht="12" customHeight="1">
      <c r="A68" s="14" t="s">
        <v>126</v>
      </c>
      <c r="B68" s="204" t="s">
        <v>261</v>
      </c>
      <c r="C68" s="556">
        <f t="shared" si="1"/>
        <v>0</v>
      </c>
      <c r="D68" s="385"/>
      <c r="E68" s="133"/>
      <c r="F68" s="133"/>
    </row>
    <row r="69" spans="1:6" s="203" customFormat="1" ht="12" customHeight="1">
      <c r="A69" s="13" t="s">
        <v>127</v>
      </c>
      <c r="B69" s="205" t="s">
        <v>262</v>
      </c>
      <c r="C69" s="557">
        <f aca="true" t="shared" si="2" ref="C69:C87">SUM(D69:F69)</f>
        <v>0</v>
      </c>
      <c r="D69" s="385"/>
      <c r="E69" s="133"/>
      <c r="F69" s="133"/>
    </row>
    <row r="70" spans="1:6" s="203" customFormat="1" ht="12" customHeight="1">
      <c r="A70" s="13" t="s">
        <v>287</v>
      </c>
      <c r="B70" s="205" t="s">
        <v>263</v>
      </c>
      <c r="C70" s="557">
        <f t="shared" si="2"/>
        <v>0</v>
      </c>
      <c r="D70" s="385"/>
      <c r="E70" s="133"/>
      <c r="F70" s="133"/>
    </row>
    <row r="71" spans="1:6" s="203" customFormat="1" ht="12" customHeight="1" thickBot="1">
      <c r="A71" s="15" t="s">
        <v>288</v>
      </c>
      <c r="B71" s="126" t="s">
        <v>264</v>
      </c>
      <c r="C71" s="558">
        <f t="shared" si="2"/>
        <v>0</v>
      </c>
      <c r="D71" s="385"/>
      <c r="E71" s="133"/>
      <c r="F71" s="133"/>
    </row>
    <row r="72" spans="1:6" s="203" customFormat="1" ht="12" customHeight="1" thickBot="1">
      <c r="A72" s="370" t="s">
        <v>265</v>
      </c>
      <c r="B72" s="124" t="s">
        <v>266</v>
      </c>
      <c r="C72" s="134">
        <f t="shared" si="2"/>
        <v>418046</v>
      </c>
      <c r="D72" s="431">
        <f>SUM(D73:D74)</f>
        <v>0</v>
      </c>
      <c r="E72" s="129">
        <f>SUM(E73:E74)</f>
        <v>0</v>
      </c>
      <c r="F72" s="129">
        <f>SUM(F73:F74)</f>
        <v>418046</v>
      </c>
    </row>
    <row r="73" spans="1:6" s="203" customFormat="1" ht="12" customHeight="1">
      <c r="A73" s="14" t="s">
        <v>289</v>
      </c>
      <c r="B73" s="204" t="s">
        <v>267</v>
      </c>
      <c r="C73" s="556">
        <f t="shared" si="2"/>
        <v>418046</v>
      </c>
      <c r="D73" s="385"/>
      <c r="E73" s="133"/>
      <c r="F73" s="133">
        <v>418046</v>
      </c>
    </row>
    <row r="74" spans="1:6" s="203" customFormat="1" ht="12" customHeight="1" thickBot="1">
      <c r="A74" s="15" t="s">
        <v>290</v>
      </c>
      <c r="B74" s="126" t="s">
        <v>268</v>
      </c>
      <c r="C74" s="558">
        <f t="shared" si="2"/>
        <v>0</v>
      </c>
      <c r="D74" s="385"/>
      <c r="E74" s="133"/>
      <c r="F74" s="133"/>
    </row>
    <row r="75" spans="1:6" s="203" customFormat="1" ht="12" customHeight="1" thickBot="1">
      <c r="A75" s="370" t="s">
        <v>269</v>
      </c>
      <c r="B75" s="124" t="s">
        <v>270</v>
      </c>
      <c r="C75" s="134">
        <f t="shared" si="2"/>
        <v>0</v>
      </c>
      <c r="D75" s="431">
        <f>SUM(D76:D78)</f>
        <v>0</v>
      </c>
      <c r="E75" s="129">
        <f>SUM(E76:E78)</f>
        <v>0</v>
      </c>
      <c r="F75" s="129">
        <f>SUM(F76:F78)</f>
        <v>0</v>
      </c>
    </row>
    <row r="76" spans="1:6" s="203" customFormat="1" ht="12" customHeight="1">
      <c r="A76" s="14" t="s">
        <v>291</v>
      </c>
      <c r="B76" s="204" t="s">
        <v>271</v>
      </c>
      <c r="C76" s="556">
        <f t="shared" si="2"/>
        <v>0</v>
      </c>
      <c r="D76" s="385"/>
      <c r="E76" s="133"/>
      <c r="F76" s="133"/>
    </row>
    <row r="77" spans="1:6" s="203" customFormat="1" ht="12" customHeight="1">
      <c r="A77" s="13" t="s">
        <v>292</v>
      </c>
      <c r="B77" s="205" t="s">
        <v>272</v>
      </c>
      <c r="C77" s="557">
        <f t="shared" si="2"/>
        <v>0</v>
      </c>
      <c r="D77" s="385"/>
      <c r="E77" s="133"/>
      <c r="F77" s="133"/>
    </row>
    <row r="78" spans="1:6" s="203" customFormat="1" ht="12" customHeight="1" thickBot="1">
      <c r="A78" s="15" t="s">
        <v>293</v>
      </c>
      <c r="B78" s="126" t="s">
        <v>273</v>
      </c>
      <c r="C78" s="558">
        <f t="shared" si="2"/>
        <v>0</v>
      </c>
      <c r="D78" s="385"/>
      <c r="E78" s="133"/>
      <c r="F78" s="133"/>
    </row>
    <row r="79" spans="1:6" s="203" customFormat="1" ht="12" customHeight="1" thickBot="1">
      <c r="A79" s="370" t="s">
        <v>274</v>
      </c>
      <c r="B79" s="124" t="s">
        <v>294</v>
      </c>
      <c r="C79" s="134">
        <f t="shared" si="2"/>
        <v>0</v>
      </c>
      <c r="D79" s="431">
        <f>SUM(D80:D83)</f>
        <v>0</v>
      </c>
      <c r="E79" s="129">
        <f>SUM(E80:E83)</f>
        <v>0</v>
      </c>
      <c r="F79" s="129">
        <f>SUM(F80:F83)</f>
        <v>0</v>
      </c>
    </row>
    <row r="80" spans="1:6" s="203" customFormat="1" ht="12" customHeight="1">
      <c r="A80" s="208" t="s">
        <v>275</v>
      </c>
      <c r="B80" s="204" t="s">
        <v>276</v>
      </c>
      <c r="C80" s="556">
        <f t="shared" si="2"/>
        <v>0</v>
      </c>
      <c r="D80" s="385"/>
      <c r="E80" s="133"/>
      <c r="F80" s="133"/>
    </row>
    <row r="81" spans="1:6" s="203" customFormat="1" ht="12" customHeight="1">
      <c r="A81" s="209" t="s">
        <v>277</v>
      </c>
      <c r="B81" s="205" t="s">
        <v>278</v>
      </c>
      <c r="C81" s="557">
        <f t="shared" si="2"/>
        <v>0</v>
      </c>
      <c r="D81" s="385"/>
      <c r="E81" s="133"/>
      <c r="F81" s="133"/>
    </row>
    <row r="82" spans="1:6" s="203" customFormat="1" ht="12" customHeight="1">
      <c r="A82" s="209" t="s">
        <v>279</v>
      </c>
      <c r="B82" s="205" t="s">
        <v>280</v>
      </c>
      <c r="C82" s="557">
        <f t="shared" si="2"/>
        <v>0</v>
      </c>
      <c r="D82" s="385"/>
      <c r="E82" s="133"/>
      <c r="F82" s="133"/>
    </row>
    <row r="83" spans="1:6" s="203" customFormat="1" ht="12" customHeight="1" thickBot="1">
      <c r="A83" s="210" t="s">
        <v>281</v>
      </c>
      <c r="B83" s="126" t="s">
        <v>282</v>
      </c>
      <c r="C83" s="558">
        <f t="shared" si="2"/>
        <v>0</v>
      </c>
      <c r="D83" s="385"/>
      <c r="E83" s="133"/>
      <c r="F83" s="133"/>
    </row>
    <row r="84" spans="1:6" s="203" customFormat="1" ht="12" customHeight="1" thickBot="1">
      <c r="A84" s="370" t="s">
        <v>283</v>
      </c>
      <c r="B84" s="124" t="s">
        <v>427</v>
      </c>
      <c r="C84" s="129">
        <f t="shared" si="2"/>
        <v>0</v>
      </c>
      <c r="D84" s="439"/>
      <c r="E84" s="231"/>
      <c r="F84" s="231"/>
    </row>
    <row r="85" spans="1:6" s="203" customFormat="1" ht="13.5" customHeight="1" thickBot="1">
      <c r="A85" s="370" t="s">
        <v>285</v>
      </c>
      <c r="B85" s="124" t="s">
        <v>284</v>
      </c>
      <c r="C85" s="129">
        <f t="shared" si="2"/>
        <v>0</v>
      </c>
      <c r="D85" s="439"/>
      <c r="E85" s="231"/>
      <c r="F85" s="231"/>
    </row>
    <row r="86" spans="1:6" s="203" customFormat="1" ht="15.75" customHeight="1" thickBot="1">
      <c r="A86" s="370" t="s">
        <v>297</v>
      </c>
      <c r="B86" s="211" t="s">
        <v>428</v>
      </c>
      <c r="C86" s="129">
        <f t="shared" si="2"/>
        <v>144518046</v>
      </c>
      <c r="D86" s="435">
        <f>+D63+D67+D72+D75+D79+D85+D84</f>
        <v>144100000</v>
      </c>
      <c r="E86" s="134">
        <f>+E63+E67+E72+E75+E79+E85+E84</f>
        <v>0</v>
      </c>
      <c r="F86" s="134">
        <f>+F63+F67+F72+F75+F79+F85+F84</f>
        <v>418046</v>
      </c>
    </row>
    <row r="87" spans="1:6" s="203" customFormat="1" ht="16.5" customHeight="1" thickBot="1">
      <c r="A87" s="372" t="s">
        <v>429</v>
      </c>
      <c r="B87" s="212" t="s">
        <v>430</v>
      </c>
      <c r="C87" s="129">
        <f t="shared" si="2"/>
        <v>625875517</v>
      </c>
      <c r="D87" s="435">
        <f>+D62+D86</f>
        <v>407131069</v>
      </c>
      <c r="E87" s="134">
        <f>+E62+E86</f>
        <v>635000</v>
      </c>
      <c r="F87" s="134">
        <f>+F62+F86</f>
        <v>218109448</v>
      </c>
    </row>
    <row r="88" spans="1:3" s="203" customFormat="1" ht="83.25" customHeight="1">
      <c r="A88" s="4"/>
      <c r="B88" s="5"/>
      <c r="C88" s="135"/>
    </row>
    <row r="89" spans="1:3" ht="16.5" customHeight="1">
      <c r="A89" s="598" t="s">
        <v>56</v>
      </c>
      <c r="B89" s="598"/>
      <c r="C89" s="598"/>
    </row>
    <row r="90" spans="1:3" s="213" customFormat="1" ht="16.5" customHeight="1" thickBot="1">
      <c r="A90" s="599" t="s">
        <v>129</v>
      </c>
      <c r="B90" s="599"/>
      <c r="C90" s="79" t="s">
        <v>534</v>
      </c>
    </row>
    <row r="91" spans="1:3" ht="37.5" customHeight="1" thickBot="1">
      <c r="A91" s="22" t="s">
        <v>76</v>
      </c>
      <c r="B91" s="23" t="s">
        <v>57</v>
      </c>
      <c r="C91" s="31" t="str">
        <f>+C3</f>
        <v>2017. évi előirányzat</v>
      </c>
    </row>
    <row r="92" spans="1:3" s="202" customFormat="1" ht="12" customHeight="1" thickBot="1">
      <c r="A92" s="27" t="s">
        <v>414</v>
      </c>
      <c r="B92" s="28" t="s">
        <v>415</v>
      </c>
      <c r="C92" s="29" t="s">
        <v>416</v>
      </c>
    </row>
    <row r="93" spans="1:6" ht="12" customHeight="1" thickBot="1">
      <c r="A93" s="21" t="s">
        <v>28</v>
      </c>
      <c r="B93" s="26" t="s">
        <v>468</v>
      </c>
      <c r="C93" s="129">
        <f aca="true" t="shared" si="3" ref="C93:C124">SUM(D93:F93)</f>
        <v>596058146</v>
      </c>
      <c r="D93" s="444">
        <f>+D94+D95+D96+D97+D98+D111</f>
        <v>66117601</v>
      </c>
      <c r="E93" s="128">
        <f>+E94+E95+E96+E97+E98+E111</f>
        <v>4419000</v>
      </c>
      <c r="F93" s="129">
        <f>F94+F95+F96+F97+F98+F111</f>
        <v>525521545</v>
      </c>
    </row>
    <row r="94" spans="1:6" ht="12" customHeight="1">
      <c r="A94" s="16" t="s">
        <v>101</v>
      </c>
      <c r="B94" s="9" t="s">
        <v>58</v>
      </c>
      <c r="C94" s="556">
        <f t="shared" si="3"/>
        <v>274845757</v>
      </c>
      <c r="D94" s="504">
        <f>310000+175000+172000+24000+3882000+3749000-282000+589000+24000</f>
        <v>8643000</v>
      </c>
      <c r="E94" s="404"/>
      <c r="F94" s="404">
        <f>258452451+7750306</f>
        <v>266202757</v>
      </c>
    </row>
    <row r="95" spans="1:6" ht="12" customHeight="1">
      <c r="A95" s="13" t="s">
        <v>102</v>
      </c>
      <c r="B95" s="7" t="s">
        <v>149</v>
      </c>
      <c r="C95" s="557">
        <f t="shared" si="3"/>
        <v>64636374</v>
      </c>
      <c r="D95" s="385">
        <f>62000+33000+48000+808000+1652000-63900+117000+10800</f>
        <v>2666900</v>
      </c>
      <c r="E95" s="133"/>
      <c r="F95" s="133">
        <f>60280532+1688942</f>
        <v>61969474</v>
      </c>
    </row>
    <row r="96" spans="1:6" ht="12" customHeight="1">
      <c r="A96" s="13" t="s">
        <v>103</v>
      </c>
      <c r="B96" s="7" t="s">
        <v>124</v>
      </c>
      <c r="C96" s="557">
        <f t="shared" si="3"/>
        <v>250576015</v>
      </c>
      <c r="D96" s="397">
        <f>4801000+800001+376000+120000+386000+50000+18800+32000+22000+11212000+1682000+295900+401000+411000+1600000+26600000</f>
        <v>48807701</v>
      </c>
      <c r="E96" s="193">
        <v>4419000</v>
      </c>
      <c r="F96" s="133">
        <f>196774214-59900+635000</f>
        <v>197349314</v>
      </c>
    </row>
    <row r="97" spans="1:6" ht="12" customHeight="1">
      <c r="A97" s="13" t="s">
        <v>104</v>
      </c>
      <c r="B97" s="7" t="s">
        <v>150</v>
      </c>
      <c r="C97" s="557">
        <f t="shared" si="3"/>
        <v>0</v>
      </c>
      <c r="D97" s="397"/>
      <c r="E97" s="193"/>
      <c r="F97" s="133"/>
    </row>
    <row r="98" spans="1:6" ht="12" customHeight="1">
      <c r="A98" s="13" t="s">
        <v>115</v>
      </c>
      <c r="B98" s="6" t="s">
        <v>151</v>
      </c>
      <c r="C98" s="557">
        <f t="shared" si="3"/>
        <v>6000000</v>
      </c>
      <c r="D98" s="397">
        <f>SUM(D99:D110)</f>
        <v>6000000</v>
      </c>
      <c r="E98" s="193">
        <f>SUM(E99:E110)</f>
        <v>0</v>
      </c>
      <c r="F98" s="193"/>
    </row>
    <row r="99" spans="1:6" ht="12" customHeight="1">
      <c r="A99" s="13" t="s">
        <v>105</v>
      </c>
      <c r="B99" s="7" t="s">
        <v>431</v>
      </c>
      <c r="C99" s="557">
        <f t="shared" si="3"/>
        <v>0</v>
      </c>
      <c r="D99" s="397"/>
      <c r="E99" s="193"/>
      <c r="F99" s="193"/>
    </row>
    <row r="100" spans="1:6" ht="12" customHeight="1">
      <c r="A100" s="13" t="s">
        <v>106</v>
      </c>
      <c r="B100" s="82" t="s">
        <v>432</v>
      </c>
      <c r="C100" s="557">
        <f t="shared" si="3"/>
        <v>0</v>
      </c>
      <c r="D100" s="397"/>
      <c r="E100" s="193"/>
      <c r="F100" s="193"/>
    </row>
    <row r="101" spans="1:6" ht="12" customHeight="1">
      <c r="A101" s="13" t="s">
        <v>116</v>
      </c>
      <c r="B101" s="82" t="s">
        <v>433</v>
      </c>
      <c r="C101" s="557">
        <f t="shared" si="3"/>
        <v>0</v>
      </c>
      <c r="D101" s="397"/>
      <c r="E101" s="193"/>
      <c r="F101" s="193"/>
    </row>
    <row r="102" spans="1:6" ht="12" customHeight="1">
      <c r="A102" s="13" t="s">
        <v>117</v>
      </c>
      <c r="B102" s="80" t="s">
        <v>300</v>
      </c>
      <c r="C102" s="557">
        <f t="shared" si="3"/>
        <v>0</v>
      </c>
      <c r="D102" s="397"/>
      <c r="E102" s="193"/>
      <c r="F102" s="193"/>
    </row>
    <row r="103" spans="1:6" ht="12" customHeight="1">
      <c r="A103" s="13" t="s">
        <v>118</v>
      </c>
      <c r="B103" s="81" t="s">
        <v>301</v>
      </c>
      <c r="C103" s="557">
        <f t="shared" si="3"/>
        <v>0</v>
      </c>
      <c r="D103" s="397"/>
      <c r="E103" s="193"/>
      <c r="F103" s="193"/>
    </row>
    <row r="104" spans="1:6" ht="12" customHeight="1">
      <c r="A104" s="13" t="s">
        <v>119</v>
      </c>
      <c r="B104" s="81" t="s">
        <v>302</v>
      </c>
      <c r="C104" s="557">
        <f t="shared" si="3"/>
        <v>0</v>
      </c>
      <c r="D104" s="397"/>
      <c r="E104" s="193"/>
      <c r="F104" s="193"/>
    </row>
    <row r="105" spans="1:6" ht="12" customHeight="1">
      <c r="A105" s="13" t="s">
        <v>121</v>
      </c>
      <c r="B105" s="80" t="s">
        <v>303</v>
      </c>
      <c r="C105" s="557">
        <f t="shared" si="3"/>
        <v>0</v>
      </c>
      <c r="D105" s="397"/>
      <c r="E105" s="193"/>
      <c r="F105" s="193"/>
    </row>
    <row r="106" spans="1:6" ht="12" customHeight="1">
      <c r="A106" s="13" t="s">
        <v>152</v>
      </c>
      <c r="B106" s="80" t="s">
        <v>304</v>
      </c>
      <c r="C106" s="557">
        <f t="shared" si="3"/>
        <v>0</v>
      </c>
      <c r="D106" s="397"/>
      <c r="E106" s="193"/>
      <c r="F106" s="193"/>
    </row>
    <row r="107" spans="1:6" ht="12" customHeight="1">
      <c r="A107" s="13" t="s">
        <v>298</v>
      </c>
      <c r="B107" s="81" t="s">
        <v>305</v>
      </c>
      <c r="C107" s="557">
        <f t="shared" si="3"/>
        <v>0</v>
      </c>
      <c r="D107" s="397"/>
      <c r="E107" s="193"/>
      <c r="F107" s="193"/>
    </row>
    <row r="108" spans="1:6" ht="12" customHeight="1">
      <c r="A108" s="12" t="s">
        <v>299</v>
      </c>
      <c r="B108" s="82" t="s">
        <v>306</v>
      </c>
      <c r="C108" s="557">
        <f t="shared" si="3"/>
        <v>0</v>
      </c>
      <c r="D108" s="397"/>
      <c r="E108" s="193"/>
      <c r="F108" s="193"/>
    </row>
    <row r="109" spans="1:6" ht="12" customHeight="1">
      <c r="A109" s="13" t="s">
        <v>434</v>
      </c>
      <c r="B109" s="82" t="s">
        <v>307</v>
      </c>
      <c r="C109" s="557">
        <f t="shared" si="3"/>
        <v>0</v>
      </c>
      <c r="D109" s="397"/>
      <c r="E109" s="193"/>
      <c r="F109" s="193"/>
    </row>
    <row r="110" spans="1:6" ht="12" customHeight="1">
      <c r="A110" s="15" t="s">
        <v>435</v>
      </c>
      <c r="B110" s="82" t="s">
        <v>308</v>
      </c>
      <c r="C110" s="557">
        <f t="shared" si="3"/>
        <v>6000000</v>
      </c>
      <c r="D110" s="385">
        <f>5000000+800000+150000+50000</f>
        <v>6000000</v>
      </c>
      <c r="E110" s="133"/>
      <c r="F110" s="407"/>
    </row>
    <row r="111" spans="1:6" ht="12" customHeight="1">
      <c r="A111" s="13" t="s">
        <v>436</v>
      </c>
      <c r="B111" s="7" t="s">
        <v>59</v>
      </c>
      <c r="C111" s="557">
        <f t="shared" si="3"/>
        <v>0</v>
      </c>
      <c r="D111" s="116"/>
      <c r="E111" s="133"/>
      <c r="F111" s="130"/>
    </row>
    <row r="112" spans="1:6" ht="12" customHeight="1">
      <c r="A112" s="13" t="s">
        <v>437</v>
      </c>
      <c r="B112" s="7" t="s">
        <v>438</v>
      </c>
      <c r="C112" s="557">
        <f t="shared" si="3"/>
        <v>0</v>
      </c>
      <c r="D112" s="117"/>
      <c r="E112" s="193"/>
      <c r="F112" s="130"/>
    </row>
    <row r="113" spans="1:6" ht="12" customHeight="1" thickBot="1">
      <c r="A113" s="17" t="s">
        <v>439</v>
      </c>
      <c r="B113" s="373" t="s">
        <v>440</v>
      </c>
      <c r="C113" s="558">
        <f t="shared" si="3"/>
        <v>0</v>
      </c>
      <c r="D113" s="445"/>
      <c r="E113" s="415"/>
      <c r="F113" s="136"/>
    </row>
    <row r="114" spans="1:6" ht="12" customHeight="1" thickBot="1">
      <c r="A114" s="374" t="s">
        <v>29</v>
      </c>
      <c r="B114" s="375" t="s">
        <v>309</v>
      </c>
      <c r="C114" s="134">
        <f t="shared" si="3"/>
        <v>27869362</v>
      </c>
      <c r="D114" s="431">
        <f>+D115+D117+D119</f>
        <v>24654202</v>
      </c>
      <c r="E114" s="129">
        <f>+E115+E117+E119</f>
        <v>0</v>
      </c>
      <c r="F114" s="376">
        <f>+F115+F117+F119</f>
        <v>3215160</v>
      </c>
    </row>
    <row r="115" spans="1:6" ht="12" customHeight="1">
      <c r="A115" s="14" t="s">
        <v>107</v>
      </c>
      <c r="B115" s="7" t="s">
        <v>171</v>
      </c>
      <c r="C115" s="556">
        <f t="shared" si="3"/>
        <v>6869362</v>
      </c>
      <c r="D115" s="438">
        <f>2963001+300001+90200+301000</f>
        <v>3654202</v>
      </c>
      <c r="E115" s="230"/>
      <c r="F115" s="230">
        <f>3155260+59900</f>
        <v>3215160</v>
      </c>
    </row>
    <row r="116" spans="1:6" ht="12" customHeight="1">
      <c r="A116" s="14" t="s">
        <v>108</v>
      </c>
      <c r="B116" s="11" t="s">
        <v>313</v>
      </c>
      <c r="C116" s="557">
        <f t="shared" si="3"/>
        <v>0</v>
      </c>
      <c r="D116" s="438"/>
      <c r="E116" s="230"/>
      <c r="F116" s="230"/>
    </row>
    <row r="117" spans="1:6" ht="12" customHeight="1">
      <c r="A117" s="14" t="s">
        <v>109</v>
      </c>
      <c r="B117" s="11" t="s">
        <v>153</v>
      </c>
      <c r="C117" s="557">
        <f t="shared" si="3"/>
        <v>21000000</v>
      </c>
      <c r="D117" s="116">
        <f>21000000</f>
        <v>21000000</v>
      </c>
      <c r="E117" s="133"/>
      <c r="F117" s="133"/>
    </row>
    <row r="118" spans="1:6" ht="12" customHeight="1">
      <c r="A118" s="14" t="s">
        <v>110</v>
      </c>
      <c r="B118" s="11" t="s">
        <v>314</v>
      </c>
      <c r="C118" s="557">
        <f t="shared" si="3"/>
        <v>0</v>
      </c>
      <c r="D118" s="116"/>
      <c r="E118" s="406"/>
      <c r="F118" s="385"/>
    </row>
    <row r="119" spans="1:6" ht="12" customHeight="1">
      <c r="A119" s="14" t="s">
        <v>111</v>
      </c>
      <c r="B119" s="126" t="s">
        <v>173</v>
      </c>
      <c r="C119" s="557">
        <f t="shared" si="3"/>
        <v>0</v>
      </c>
      <c r="D119" s="398">
        <f>SUM(D120:D127)</f>
        <v>0</v>
      </c>
      <c r="E119" s="385"/>
      <c r="F119" s="385"/>
    </row>
    <row r="120" spans="1:6" ht="12" customHeight="1">
      <c r="A120" s="14" t="s">
        <v>120</v>
      </c>
      <c r="B120" s="125" t="s">
        <v>358</v>
      </c>
      <c r="C120" s="557">
        <f t="shared" si="3"/>
        <v>0</v>
      </c>
      <c r="D120" s="398"/>
      <c r="E120" s="116"/>
      <c r="F120" s="116"/>
    </row>
    <row r="121" spans="1:6" ht="12" customHeight="1">
      <c r="A121" s="14" t="s">
        <v>122</v>
      </c>
      <c r="B121" s="200" t="s">
        <v>319</v>
      </c>
      <c r="C121" s="557">
        <f t="shared" si="3"/>
        <v>0</v>
      </c>
      <c r="D121" s="398"/>
      <c r="E121" s="116"/>
      <c r="F121" s="116"/>
    </row>
    <row r="122" spans="1:6" ht="15.75">
      <c r="A122" s="14" t="s">
        <v>154</v>
      </c>
      <c r="B122" s="81" t="s">
        <v>302</v>
      </c>
      <c r="C122" s="557">
        <f t="shared" si="3"/>
        <v>0</v>
      </c>
      <c r="D122" s="398"/>
      <c r="E122" s="116"/>
      <c r="F122" s="116"/>
    </row>
    <row r="123" spans="1:6" ht="12" customHeight="1">
      <c r="A123" s="14" t="s">
        <v>155</v>
      </c>
      <c r="B123" s="81" t="s">
        <v>318</v>
      </c>
      <c r="C123" s="557">
        <f t="shared" si="3"/>
        <v>0</v>
      </c>
      <c r="D123" s="398"/>
      <c r="E123" s="116"/>
      <c r="F123" s="116"/>
    </row>
    <row r="124" spans="1:6" ht="12" customHeight="1">
      <c r="A124" s="14" t="s">
        <v>156</v>
      </c>
      <c r="B124" s="81" t="s">
        <v>317</v>
      </c>
      <c r="C124" s="557">
        <f t="shared" si="3"/>
        <v>0</v>
      </c>
      <c r="D124" s="398"/>
      <c r="E124" s="116"/>
      <c r="F124" s="116"/>
    </row>
    <row r="125" spans="1:6" ht="12" customHeight="1">
      <c r="A125" s="14" t="s">
        <v>310</v>
      </c>
      <c r="B125" s="81" t="s">
        <v>305</v>
      </c>
      <c r="C125" s="557">
        <f aca="true" t="shared" si="4" ref="C125:C154">SUM(D125:F125)</f>
        <v>0</v>
      </c>
      <c r="D125" s="398"/>
      <c r="E125" s="116"/>
      <c r="F125" s="116"/>
    </row>
    <row r="126" spans="1:6" ht="12" customHeight="1">
      <c r="A126" s="14" t="s">
        <v>311</v>
      </c>
      <c r="B126" s="81" t="s">
        <v>316</v>
      </c>
      <c r="C126" s="557">
        <f t="shared" si="4"/>
        <v>0</v>
      </c>
      <c r="D126" s="398"/>
      <c r="E126" s="116"/>
      <c r="F126" s="116"/>
    </row>
    <row r="127" spans="1:6" ht="16.5" thickBot="1">
      <c r="A127" s="12" t="s">
        <v>312</v>
      </c>
      <c r="B127" s="81" t="s">
        <v>315</v>
      </c>
      <c r="C127" s="558">
        <f t="shared" si="4"/>
        <v>0</v>
      </c>
      <c r="D127" s="399"/>
      <c r="E127" s="397"/>
      <c r="F127" s="397"/>
    </row>
    <row r="128" spans="1:6" ht="12" customHeight="1" thickBot="1">
      <c r="A128" s="19" t="s">
        <v>30</v>
      </c>
      <c r="B128" s="77" t="s">
        <v>441</v>
      </c>
      <c r="C128" s="134">
        <f t="shared" si="4"/>
        <v>623927508</v>
      </c>
      <c r="D128" s="431">
        <f>+D93+D114</f>
        <v>90771803</v>
      </c>
      <c r="E128" s="129">
        <f>+E93+E114</f>
        <v>4419000</v>
      </c>
      <c r="F128" s="129">
        <f>+F93+F114</f>
        <v>528736705</v>
      </c>
    </row>
    <row r="129" spans="1:6" ht="12" customHeight="1" thickBot="1">
      <c r="A129" s="19" t="s">
        <v>31</v>
      </c>
      <c r="B129" s="77" t="s">
        <v>442</v>
      </c>
      <c r="C129" s="134">
        <f t="shared" si="4"/>
        <v>103161000</v>
      </c>
      <c r="D129" s="431">
        <f>+D130+D131+D132</f>
        <v>103161000</v>
      </c>
      <c r="E129" s="129">
        <f>+E130+E131+E132</f>
        <v>0</v>
      </c>
      <c r="F129" s="129">
        <f>+F130+F131+F132</f>
        <v>0</v>
      </c>
    </row>
    <row r="130" spans="1:6" ht="12" customHeight="1">
      <c r="A130" s="14" t="s">
        <v>210</v>
      </c>
      <c r="B130" s="11" t="s">
        <v>443</v>
      </c>
      <c r="C130" s="556">
        <f t="shared" si="4"/>
        <v>3161000</v>
      </c>
      <c r="D130" s="385">
        <v>3161000</v>
      </c>
      <c r="E130" s="385"/>
      <c r="F130" s="385"/>
    </row>
    <row r="131" spans="1:6" ht="12" customHeight="1">
      <c r="A131" s="14" t="s">
        <v>213</v>
      </c>
      <c r="B131" s="11" t="s">
        <v>444</v>
      </c>
      <c r="C131" s="557">
        <f t="shared" si="4"/>
        <v>100000000</v>
      </c>
      <c r="D131" s="116">
        <v>100000000</v>
      </c>
      <c r="E131" s="116"/>
      <c r="F131" s="116"/>
    </row>
    <row r="132" spans="1:6" ht="12" customHeight="1" thickBot="1">
      <c r="A132" s="12" t="s">
        <v>214</v>
      </c>
      <c r="B132" s="11" t="s">
        <v>445</v>
      </c>
      <c r="C132" s="558">
        <f t="shared" si="4"/>
        <v>0</v>
      </c>
      <c r="D132" s="116"/>
      <c r="E132" s="116"/>
      <c r="F132" s="116"/>
    </row>
    <row r="133" spans="1:6" ht="12" customHeight="1" thickBot="1">
      <c r="A133" s="19" t="s">
        <v>32</v>
      </c>
      <c r="B133" s="77" t="s">
        <v>446</v>
      </c>
      <c r="C133" s="387">
        <f t="shared" si="4"/>
        <v>0</v>
      </c>
      <c r="D133" s="431">
        <f>+D134+D135+D136+D137+D138+D139</f>
        <v>0</v>
      </c>
      <c r="E133" s="129">
        <f>+E134+E135+E136+E137+E138+E139</f>
        <v>0</v>
      </c>
      <c r="F133" s="129">
        <f>SUM(F134:F139)</f>
        <v>0</v>
      </c>
    </row>
    <row r="134" spans="1:6" ht="12" customHeight="1">
      <c r="A134" s="14" t="s">
        <v>94</v>
      </c>
      <c r="B134" s="8" t="s">
        <v>447</v>
      </c>
      <c r="C134" s="556">
        <f t="shared" si="4"/>
        <v>0</v>
      </c>
      <c r="D134" s="116"/>
      <c r="E134" s="116"/>
      <c r="F134" s="116"/>
    </row>
    <row r="135" spans="1:6" ht="12" customHeight="1">
      <c r="A135" s="14" t="s">
        <v>95</v>
      </c>
      <c r="B135" s="8" t="s">
        <v>448</v>
      </c>
      <c r="C135" s="557">
        <f t="shared" si="4"/>
        <v>0</v>
      </c>
      <c r="D135" s="116"/>
      <c r="E135" s="116"/>
      <c r="F135" s="116"/>
    </row>
    <row r="136" spans="1:6" ht="12" customHeight="1">
      <c r="A136" s="14" t="s">
        <v>96</v>
      </c>
      <c r="B136" s="8" t="s">
        <v>449</v>
      </c>
      <c r="C136" s="557">
        <f t="shared" si="4"/>
        <v>0</v>
      </c>
      <c r="D136" s="116"/>
      <c r="E136" s="116"/>
      <c r="F136" s="116"/>
    </row>
    <row r="137" spans="1:6" ht="12" customHeight="1">
      <c r="A137" s="14" t="s">
        <v>141</v>
      </c>
      <c r="B137" s="8" t="s">
        <v>450</v>
      </c>
      <c r="C137" s="557">
        <f t="shared" si="4"/>
        <v>0</v>
      </c>
      <c r="D137" s="116"/>
      <c r="E137" s="116"/>
      <c r="F137" s="116"/>
    </row>
    <row r="138" spans="1:6" ht="12" customHeight="1">
      <c r="A138" s="14" t="s">
        <v>142</v>
      </c>
      <c r="B138" s="8" t="s">
        <v>451</v>
      </c>
      <c r="C138" s="557">
        <f t="shared" si="4"/>
        <v>0</v>
      </c>
      <c r="D138" s="116"/>
      <c r="E138" s="116"/>
      <c r="F138" s="116"/>
    </row>
    <row r="139" spans="1:6" ht="12" customHeight="1" thickBot="1">
      <c r="A139" s="12" t="s">
        <v>143</v>
      </c>
      <c r="B139" s="8" t="s">
        <v>452</v>
      </c>
      <c r="C139" s="558">
        <f t="shared" si="4"/>
        <v>0</v>
      </c>
      <c r="D139" s="116"/>
      <c r="E139" s="116"/>
      <c r="F139" s="116"/>
    </row>
    <row r="140" spans="1:6" ht="12" customHeight="1" thickBot="1">
      <c r="A140" s="19" t="s">
        <v>33</v>
      </c>
      <c r="B140" s="77" t="s">
        <v>453</v>
      </c>
      <c r="C140" s="134">
        <f t="shared" si="4"/>
        <v>0</v>
      </c>
      <c r="D140" s="435">
        <f>+D141+D142+D143+D144</f>
        <v>0</v>
      </c>
      <c r="E140" s="134">
        <f>+E141+E142+E143+E144</f>
        <v>0</v>
      </c>
      <c r="F140" s="134">
        <f>+F141+F142+F143+F144</f>
        <v>0</v>
      </c>
    </row>
    <row r="141" spans="1:6" ht="12" customHeight="1">
      <c r="A141" s="14" t="s">
        <v>97</v>
      </c>
      <c r="B141" s="8" t="s">
        <v>320</v>
      </c>
      <c r="C141" s="556">
        <f t="shared" si="4"/>
        <v>0</v>
      </c>
      <c r="D141" s="116"/>
      <c r="E141" s="116"/>
      <c r="F141" s="116"/>
    </row>
    <row r="142" spans="1:6" ht="12" customHeight="1">
      <c r="A142" s="14" t="s">
        <v>98</v>
      </c>
      <c r="B142" s="8" t="s">
        <v>321</v>
      </c>
      <c r="C142" s="557">
        <f t="shared" si="4"/>
        <v>0</v>
      </c>
      <c r="D142" s="116"/>
      <c r="E142" s="116"/>
      <c r="F142" s="116"/>
    </row>
    <row r="143" spans="1:6" ht="12" customHeight="1">
      <c r="A143" s="14" t="s">
        <v>234</v>
      </c>
      <c r="B143" s="8" t="s">
        <v>454</v>
      </c>
      <c r="C143" s="557">
        <f t="shared" si="4"/>
        <v>0</v>
      </c>
      <c r="D143" s="116"/>
      <c r="E143" s="116"/>
      <c r="F143" s="116"/>
    </row>
    <row r="144" spans="1:6" ht="12" customHeight="1" thickBot="1">
      <c r="A144" s="12" t="s">
        <v>235</v>
      </c>
      <c r="B144" s="6" t="s">
        <v>339</v>
      </c>
      <c r="C144" s="558">
        <f t="shared" si="4"/>
        <v>0</v>
      </c>
      <c r="D144" s="116"/>
      <c r="E144" s="116"/>
      <c r="F144" s="116"/>
    </row>
    <row r="145" spans="1:6" ht="12" customHeight="1" thickBot="1">
      <c r="A145" s="19" t="s">
        <v>34</v>
      </c>
      <c r="B145" s="77" t="s">
        <v>455</v>
      </c>
      <c r="C145" s="134">
        <f t="shared" si="4"/>
        <v>0</v>
      </c>
      <c r="D145" s="448">
        <f>+D146+D147+D148+D149+D150</f>
        <v>0</v>
      </c>
      <c r="E145" s="137">
        <f>+E146+E147+E148+E149+E150</f>
        <v>0</v>
      </c>
      <c r="F145" s="137">
        <f>SUM(F146:F150)</f>
        <v>0</v>
      </c>
    </row>
    <row r="146" spans="1:6" ht="12" customHeight="1">
      <c r="A146" s="14" t="s">
        <v>99</v>
      </c>
      <c r="B146" s="8" t="s">
        <v>456</v>
      </c>
      <c r="C146" s="556">
        <f t="shared" si="4"/>
        <v>0</v>
      </c>
      <c r="D146" s="116"/>
      <c r="E146" s="116"/>
      <c r="F146" s="116"/>
    </row>
    <row r="147" spans="1:6" ht="12" customHeight="1">
      <c r="A147" s="14" t="s">
        <v>100</v>
      </c>
      <c r="B147" s="8" t="s">
        <v>457</v>
      </c>
      <c r="C147" s="557">
        <f t="shared" si="4"/>
        <v>0</v>
      </c>
      <c r="D147" s="116"/>
      <c r="E147" s="116"/>
      <c r="F147" s="116"/>
    </row>
    <row r="148" spans="1:6" ht="12" customHeight="1">
      <c r="A148" s="14" t="s">
        <v>246</v>
      </c>
      <c r="B148" s="8" t="s">
        <v>458</v>
      </c>
      <c r="C148" s="557">
        <f t="shared" si="4"/>
        <v>0</v>
      </c>
      <c r="D148" s="116"/>
      <c r="E148" s="116"/>
      <c r="F148" s="116"/>
    </row>
    <row r="149" spans="1:6" ht="12" customHeight="1">
      <c r="A149" s="14" t="s">
        <v>247</v>
      </c>
      <c r="B149" s="8" t="s">
        <v>459</v>
      </c>
      <c r="C149" s="557">
        <f t="shared" si="4"/>
        <v>0</v>
      </c>
      <c r="D149" s="116"/>
      <c r="E149" s="116"/>
      <c r="F149" s="116"/>
    </row>
    <row r="150" spans="1:6" ht="12" customHeight="1" thickBot="1">
      <c r="A150" s="14" t="s">
        <v>460</v>
      </c>
      <c r="B150" s="8" t="s">
        <v>461</v>
      </c>
      <c r="C150" s="558">
        <f t="shared" si="4"/>
        <v>0</v>
      </c>
      <c r="D150" s="117"/>
      <c r="E150" s="117"/>
      <c r="F150" s="116"/>
    </row>
    <row r="151" spans="1:6" ht="12" customHeight="1" thickBot="1">
      <c r="A151" s="19" t="s">
        <v>35</v>
      </c>
      <c r="B151" s="77" t="s">
        <v>462</v>
      </c>
      <c r="C151" s="129">
        <f t="shared" si="4"/>
        <v>0</v>
      </c>
      <c r="D151" s="448"/>
      <c r="E151" s="137"/>
      <c r="F151" s="377"/>
    </row>
    <row r="152" spans="1:6" ht="12" customHeight="1" thickBot="1">
      <c r="A152" s="19" t="s">
        <v>36</v>
      </c>
      <c r="B152" s="77" t="s">
        <v>463</v>
      </c>
      <c r="C152" s="129">
        <f t="shared" si="4"/>
        <v>0</v>
      </c>
      <c r="D152" s="448"/>
      <c r="E152" s="137"/>
      <c r="F152" s="377"/>
    </row>
    <row r="153" spans="1:9" ht="15" customHeight="1" thickBot="1">
      <c r="A153" s="19" t="s">
        <v>37</v>
      </c>
      <c r="B153" s="77" t="s">
        <v>464</v>
      </c>
      <c r="C153" s="129">
        <f t="shared" si="4"/>
        <v>103161000</v>
      </c>
      <c r="D153" s="451">
        <f>+D129+D133+D140+D145+D151+D152</f>
        <v>103161000</v>
      </c>
      <c r="E153" s="214">
        <f>+E129+E133+E140+E145+E151+E152</f>
        <v>0</v>
      </c>
      <c r="F153" s="214">
        <f>+F129+F133+F140+F145+F151+F152</f>
        <v>0</v>
      </c>
      <c r="G153" s="215"/>
      <c r="H153" s="215"/>
      <c r="I153" s="215"/>
    </row>
    <row r="154" spans="1:6" s="203" customFormat="1" ht="12.75" customHeight="1" thickBot="1">
      <c r="A154" s="127" t="s">
        <v>38</v>
      </c>
      <c r="B154" s="189" t="s">
        <v>465</v>
      </c>
      <c r="C154" s="129">
        <f t="shared" si="4"/>
        <v>727088508</v>
      </c>
      <c r="D154" s="451">
        <f>+D128+D153</f>
        <v>193932803</v>
      </c>
      <c r="E154" s="214">
        <f>+E128+E153</f>
        <v>4419000</v>
      </c>
      <c r="F154" s="214">
        <f>+F128+F153</f>
        <v>528736705</v>
      </c>
    </row>
    <row r="155" ht="7.5" customHeight="1"/>
    <row r="156" spans="1:3" ht="15.75">
      <c r="A156" s="600" t="s">
        <v>322</v>
      </c>
      <c r="B156" s="600"/>
      <c r="C156" s="600"/>
    </row>
    <row r="157" spans="1:3" ht="15" customHeight="1" thickBot="1">
      <c r="A157" s="597" t="s">
        <v>130</v>
      </c>
      <c r="B157" s="597"/>
      <c r="C157" s="138" t="s">
        <v>534</v>
      </c>
    </row>
    <row r="158" spans="1:3" ht="13.5" customHeight="1" thickBot="1">
      <c r="A158" s="19">
        <v>1</v>
      </c>
      <c r="B158" s="25" t="s">
        <v>466</v>
      </c>
      <c r="C158" s="129">
        <f>+C62-C128</f>
        <v>-142570037</v>
      </c>
    </row>
    <row r="159" spans="1:3" ht="27.75" customHeight="1" thickBot="1">
      <c r="A159" s="19" t="s">
        <v>29</v>
      </c>
      <c r="B159" s="25" t="s">
        <v>467</v>
      </c>
      <c r="C159" s="129">
        <f>+C86-C153</f>
        <v>41357046</v>
      </c>
    </row>
  </sheetData>
  <sheetProtection/>
  <mergeCells count="6">
    <mergeCell ref="A156:C156"/>
    <mergeCell ref="A157:B157"/>
    <mergeCell ref="A1:C1"/>
    <mergeCell ref="A2:B2"/>
    <mergeCell ref="A89:C89"/>
    <mergeCell ref="A90:B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ÖNKÉNT VÁLLALT FELADATAINAK MÉRLEGE
&amp;R&amp;"Times New Roman CE,Félkövér dőlt"&amp;11 3. melléklet a 12/2017.(IV.11.) önkormányzati rendelethez</oddHeader>
  </headerFooter>
  <rowBreaks count="1" manualBreakCount="1">
    <brk id="88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105">
    <tabColor rgb="FF92D050"/>
  </sheetPr>
  <dimension ref="A1:F33"/>
  <sheetViews>
    <sheetView zoomScaleSheetLayoutView="100" workbookViewId="0" topLeftCell="A1">
      <selection activeCell="E33" sqref="E33"/>
    </sheetView>
  </sheetViews>
  <sheetFormatPr defaultColWidth="9.00390625" defaultRowHeight="12.75"/>
  <cols>
    <col min="1" max="1" width="6.875" style="38" customWidth="1"/>
    <col min="2" max="2" width="55.125" style="92" customWidth="1"/>
    <col min="3" max="3" width="16.00390625" style="38" bestFit="1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9.75" customHeight="1">
      <c r="B1" s="147" t="s">
        <v>133</v>
      </c>
      <c r="C1" s="148"/>
      <c r="D1" s="148"/>
      <c r="E1" s="148"/>
      <c r="F1" s="604"/>
    </row>
    <row r="2" spans="5:6" ht="14.25" thickBot="1">
      <c r="E2" s="149" t="s">
        <v>552</v>
      </c>
      <c r="F2" s="604"/>
    </row>
    <row r="3" spans="1:6" ht="18" customHeight="1" thickBot="1">
      <c r="A3" s="602" t="s">
        <v>76</v>
      </c>
      <c r="B3" s="150" t="s">
        <v>64</v>
      </c>
      <c r="C3" s="151"/>
      <c r="D3" s="150" t="s">
        <v>65</v>
      </c>
      <c r="E3" s="152"/>
      <c r="F3" s="604"/>
    </row>
    <row r="4" spans="1:6" s="153" customFormat="1" ht="35.25" customHeight="1" thickBot="1">
      <c r="A4" s="603"/>
      <c r="B4" s="93" t="s">
        <v>69</v>
      </c>
      <c r="C4" s="31" t="s">
        <v>524</v>
      </c>
      <c r="D4" s="93" t="s">
        <v>69</v>
      </c>
      <c r="E4" s="37" t="str">
        <f>+C4</f>
        <v>2017. évi előirányzat</v>
      </c>
      <c r="F4" s="604"/>
    </row>
    <row r="5" spans="1:6" s="158" customFormat="1" ht="12" customHeight="1" thickBot="1">
      <c r="A5" s="154" t="s">
        <v>414</v>
      </c>
      <c r="B5" s="155" t="s">
        <v>415</v>
      </c>
      <c r="C5" s="156" t="s">
        <v>416</v>
      </c>
      <c r="D5" s="155" t="s">
        <v>469</v>
      </c>
      <c r="E5" s="157" t="s">
        <v>470</v>
      </c>
      <c r="F5" s="604"/>
    </row>
    <row r="6" spans="1:6" ht="12.75" customHeight="1">
      <c r="A6" s="159" t="s">
        <v>28</v>
      </c>
      <c r="B6" s="160" t="s">
        <v>323</v>
      </c>
      <c r="C6" s="508">
        <v>1174961208</v>
      </c>
      <c r="D6" s="177" t="s">
        <v>70</v>
      </c>
      <c r="E6" s="47">
        <v>1316908447</v>
      </c>
      <c r="F6" s="604"/>
    </row>
    <row r="7" spans="1:6" ht="12.75" customHeight="1">
      <c r="A7" s="161" t="s">
        <v>29</v>
      </c>
      <c r="B7" s="162" t="s">
        <v>324</v>
      </c>
      <c r="C7" s="48">
        <v>604827092</v>
      </c>
      <c r="D7" s="167" t="s">
        <v>149</v>
      </c>
      <c r="E7" s="49">
        <v>248985331</v>
      </c>
      <c r="F7" s="604"/>
    </row>
    <row r="8" spans="1:6" ht="12.75" customHeight="1">
      <c r="A8" s="161" t="s">
        <v>30</v>
      </c>
      <c r="B8" s="162" t="s">
        <v>344</v>
      </c>
      <c r="C8" s="48"/>
      <c r="D8" s="167" t="s">
        <v>176</v>
      </c>
      <c r="E8" s="49">
        <v>917898266</v>
      </c>
      <c r="F8" s="604"/>
    </row>
    <row r="9" spans="1:6" ht="12.75" customHeight="1">
      <c r="A9" s="161" t="s">
        <v>31</v>
      </c>
      <c r="B9" s="162" t="s">
        <v>140</v>
      </c>
      <c r="C9" s="48">
        <v>319390000</v>
      </c>
      <c r="D9" s="167" t="s">
        <v>150</v>
      </c>
      <c r="E9" s="49">
        <v>95230000</v>
      </c>
      <c r="F9" s="604"/>
    </row>
    <row r="10" spans="1:6" ht="12.75" customHeight="1">
      <c r="A10" s="161" t="s">
        <v>32</v>
      </c>
      <c r="B10" s="163" t="s">
        <v>351</v>
      </c>
      <c r="C10" s="48">
        <v>448324678</v>
      </c>
      <c r="D10" s="167" t="s">
        <v>151</v>
      </c>
      <c r="E10" s="49">
        <v>40666500</v>
      </c>
      <c r="F10" s="604"/>
    </row>
    <row r="11" spans="1:6" ht="12.75" customHeight="1">
      <c r="A11" s="161" t="s">
        <v>33</v>
      </c>
      <c r="B11" s="162" t="s">
        <v>325</v>
      </c>
      <c r="C11" s="405">
        <v>6024000</v>
      </c>
      <c r="D11" s="167" t="s">
        <v>59</v>
      </c>
      <c r="E11" s="49">
        <v>98028057</v>
      </c>
      <c r="F11" s="604"/>
    </row>
    <row r="12" spans="1:6" ht="12.75" customHeight="1">
      <c r="A12" s="161" t="s">
        <v>34</v>
      </c>
      <c r="B12" s="162" t="s">
        <v>471</v>
      </c>
      <c r="C12" s="48"/>
      <c r="D12" s="507"/>
      <c r="E12" s="49"/>
      <c r="F12" s="604"/>
    </row>
    <row r="13" spans="1:6" ht="12.75" customHeight="1">
      <c r="A13" s="161" t="s">
        <v>35</v>
      </c>
      <c r="B13" s="35"/>
      <c r="C13" s="48"/>
      <c r="D13" s="507"/>
      <c r="E13" s="49"/>
      <c r="F13" s="604"/>
    </row>
    <row r="14" spans="1:6" ht="12.75" customHeight="1">
      <c r="A14" s="161" t="s">
        <v>36</v>
      </c>
      <c r="B14" s="216"/>
      <c r="C14" s="405"/>
      <c r="D14" s="507"/>
      <c r="E14" s="49"/>
      <c r="F14" s="604"/>
    </row>
    <row r="15" spans="1:6" ht="12.75" customHeight="1">
      <c r="A15" s="161" t="s">
        <v>37</v>
      </c>
      <c r="B15" s="35"/>
      <c r="C15" s="48"/>
      <c r="D15" s="507"/>
      <c r="E15" s="49"/>
      <c r="F15" s="604"/>
    </row>
    <row r="16" spans="1:6" ht="12.75" customHeight="1">
      <c r="A16" s="161" t="s">
        <v>38</v>
      </c>
      <c r="B16" s="35"/>
      <c r="C16" s="139"/>
      <c r="D16" s="35"/>
      <c r="E16" s="143"/>
      <c r="F16" s="604"/>
    </row>
    <row r="17" spans="1:6" ht="12.75" customHeight="1" thickBot="1">
      <c r="A17" s="161" t="s">
        <v>39</v>
      </c>
      <c r="B17" s="40"/>
      <c r="C17" s="140"/>
      <c r="D17" s="35"/>
      <c r="E17" s="144"/>
      <c r="F17" s="604"/>
    </row>
    <row r="18" spans="1:6" ht="15.75" customHeight="1" thickBot="1">
      <c r="A18" s="164" t="s">
        <v>40</v>
      </c>
      <c r="B18" s="78" t="s">
        <v>472</v>
      </c>
      <c r="C18" s="141">
        <f>SUM(C6:C17)-C8</f>
        <v>2553526978</v>
      </c>
      <c r="D18" s="78" t="s">
        <v>330</v>
      </c>
      <c r="E18" s="145">
        <f>SUM(E6:E17)</f>
        <v>2717716601</v>
      </c>
      <c r="F18" s="604"/>
    </row>
    <row r="19" spans="1:6" ht="12.75" customHeight="1">
      <c r="A19" s="165" t="s">
        <v>41</v>
      </c>
      <c r="B19" s="166" t="s">
        <v>327</v>
      </c>
      <c r="C19" s="234">
        <f>SUM(C20:C23)</f>
        <v>292999415</v>
      </c>
      <c r="D19" s="167" t="s">
        <v>157</v>
      </c>
      <c r="E19" s="146"/>
      <c r="F19" s="604"/>
    </row>
    <row r="20" spans="1:6" ht="12.75" customHeight="1">
      <c r="A20" s="168" t="s">
        <v>42</v>
      </c>
      <c r="B20" s="167" t="s">
        <v>169</v>
      </c>
      <c r="C20" s="48">
        <v>292999415</v>
      </c>
      <c r="D20" s="167" t="s">
        <v>329</v>
      </c>
      <c r="E20" s="49">
        <v>100000000</v>
      </c>
      <c r="F20" s="604"/>
    </row>
    <row r="21" spans="1:6" ht="12.75" customHeight="1">
      <c r="A21" s="168" t="s">
        <v>43</v>
      </c>
      <c r="B21" s="167" t="s">
        <v>170</v>
      </c>
      <c r="C21" s="48"/>
      <c r="D21" s="167" t="s">
        <v>131</v>
      </c>
      <c r="E21" s="49"/>
      <c r="F21" s="604"/>
    </row>
    <row r="22" spans="1:6" ht="12.75" customHeight="1">
      <c r="A22" s="168" t="s">
        <v>44</v>
      </c>
      <c r="B22" s="167" t="s">
        <v>174</v>
      </c>
      <c r="C22" s="48"/>
      <c r="D22" s="167" t="s">
        <v>132</v>
      </c>
      <c r="E22" s="49"/>
      <c r="F22" s="604"/>
    </row>
    <row r="23" spans="1:6" ht="12.75" customHeight="1">
      <c r="A23" s="168" t="s">
        <v>45</v>
      </c>
      <c r="B23" s="167" t="s">
        <v>175</v>
      </c>
      <c r="C23" s="48"/>
      <c r="D23" s="166" t="s">
        <v>177</v>
      </c>
      <c r="E23" s="49"/>
      <c r="F23" s="604"/>
    </row>
    <row r="24" spans="1:6" ht="12.75" customHeight="1">
      <c r="A24" s="168" t="s">
        <v>46</v>
      </c>
      <c r="B24" s="167" t="s">
        <v>328</v>
      </c>
      <c r="C24" s="169">
        <f>SUM(C25:C28)</f>
        <v>100000000</v>
      </c>
      <c r="D24" s="167" t="s">
        <v>158</v>
      </c>
      <c r="E24" s="49"/>
      <c r="F24" s="604"/>
    </row>
    <row r="25" spans="1:6" ht="12.75" customHeight="1">
      <c r="A25" s="165" t="s">
        <v>47</v>
      </c>
      <c r="B25" s="166" t="s">
        <v>326</v>
      </c>
      <c r="C25" s="142">
        <v>100000000</v>
      </c>
      <c r="D25" s="160" t="s">
        <v>454</v>
      </c>
      <c r="E25" s="146"/>
      <c r="F25" s="604"/>
    </row>
    <row r="26" spans="1:6" ht="12.75" customHeight="1">
      <c r="A26" s="168" t="s">
        <v>48</v>
      </c>
      <c r="B26" s="167" t="s">
        <v>473</v>
      </c>
      <c r="C26" s="48"/>
      <c r="D26" s="162" t="s">
        <v>462</v>
      </c>
      <c r="E26" s="49"/>
      <c r="F26" s="604"/>
    </row>
    <row r="27" spans="1:6" ht="12.75" customHeight="1">
      <c r="A27" s="161" t="s">
        <v>49</v>
      </c>
      <c r="B27" s="167" t="s">
        <v>427</v>
      </c>
      <c r="C27" s="48"/>
      <c r="D27" s="162" t="s">
        <v>463</v>
      </c>
      <c r="E27" s="49"/>
      <c r="F27" s="604"/>
    </row>
    <row r="28" spans="1:6" ht="12.75" customHeight="1" thickBot="1">
      <c r="A28" s="192" t="s">
        <v>50</v>
      </c>
      <c r="B28" s="166" t="s">
        <v>284</v>
      </c>
      <c r="C28" s="142"/>
      <c r="D28" s="217" t="s">
        <v>519</v>
      </c>
      <c r="E28" s="146">
        <v>35164932</v>
      </c>
      <c r="F28" s="604"/>
    </row>
    <row r="29" spans="1:6" ht="13.5" customHeight="1" thickBot="1">
      <c r="A29" s="164" t="s">
        <v>51</v>
      </c>
      <c r="B29" s="78" t="s">
        <v>474</v>
      </c>
      <c r="C29" s="141">
        <f>+C19+C24+C27+C28</f>
        <v>392999415</v>
      </c>
      <c r="D29" s="78" t="s">
        <v>475</v>
      </c>
      <c r="E29" s="145">
        <f>SUM(E19:E28)</f>
        <v>135164932</v>
      </c>
      <c r="F29" s="604"/>
    </row>
    <row r="30" spans="1:6" ht="13.5" thickBot="1">
      <c r="A30" s="164" t="s">
        <v>52</v>
      </c>
      <c r="B30" s="170" t="s">
        <v>476</v>
      </c>
      <c r="C30" s="171">
        <f>+C18+C29</f>
        <v>2946526393</v>
      </c>
      <c r="D30" s="170" t="s">
        <v>477</v>
      </c>
      <c r="E30" s="171">
        <f>+E18+E29</f>
        <v>2852881533</v>
      </c>
      <c r="F30" s="604"/>
    </row>
    <row r="31" spans="1:6" ht="13.5" thickBot="1">
      <c r="A31" s="164" t="s">
        <v>53</v>
      </c>
      <c r="B31" s="170" t="s">
        <v>135</v>
      </c>
      <c r="C31" s="171">
        <f>IF(C18-E18&lt;0,E18-C18,"-")</f>
        <v>164189623</v>
      </c>
      <c r="D31" s="170" t="s">
        <v>136</v>
      </c>
      <c r="E31" s="171" t="str">
        <f>IF(C18-E18&gt;0,C18-E18,"-")</f>
        <v>-</v>
      </c>
      <c r="F31" s="604"/>
    </row>
    <row r="32" spans="1:6" ht="13.5" thickBot="1">
      <c r="A32" s="164" t="s">
        <v>54</v>
      </c>
      <c r="B32" s="170" t="s">
        <v>178</v>
      </c>
      <c r="C32" s="171" t="str">
        <f>IF(C30-E30&lt;0,E30-C30,"-")</f>
        <v>-</v>
      </c>
      <c r="D32" s="170" t="s">
        <v>179</v>
      </c>
      <c r="E32" s="171">
        <f>IF(C30-E30&gt;0,C30-E30,"-")</f>
        <v>93644860</v>
      </c>
      <c r="F32" s="604"/>
    </row>
    <row r="33" spans="2:4" ht="18.75">
      <c r="B33" s="605"/>
      <c r="C33" s="605"/>
      <c r="D33" s="605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4. melléklet a 12/2017.(IV.11.) önkormányzati rendelethez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106">
    <tabColor rgb="FF92D050"/>
  </sheetPr>
  <dimension ref="A1:F39"/>
  <sheetViews>
    <sheetView zoomScaleSheetLayoutView="115" workbookViewId="0" topLeftCell="A7">
      <selection activeCell="C36" sqref="C36"/>
    </sheetView>
  </sheetViews>
  <sheetFormatPr defaultColWidth="9.00390625" defaultRowHeight="12.75"/>
  <cols>
    <col min="1" max="1" width="6.875" style="38" customWidth="1"/>
    <col min="2" max="2" width="55.125" style="92" customWidth="1"/>
    <col min="3" max="3" width="16.375" style="38" customWidth="1"/>
    <col min="4" max="4" width="55.125" style="38" customWidth="1"/>
    <col min="5" max="5" width="16.375" style="38" customWidth="1"/>
    <col min="6" max="6" width="4.875" style="38" customWidth="1"/>
    <col min="7" max="16384" width="9.375" style="38" customWidth="1"/>
  </cols>
  <sheetData>
    <row r="1" spans="2:6" ht="31.5">
      <c r="B1" s="147" t="s">
        <v>134</v>
      </c>
      <c r="C1" s="148"/>
      <c r="D1" s="148"/>
      <c r="E1" s="148"/>
      <c r="F1" s="604"/>
    </row>
    <row r="2" spans="5:6" ht="14.25" thickBot="1">
      <c r="E2" s="149" t="s">
        <v>552</v>
      </c>
      <c r="F2" s="604"/>
    </row>
    <row r="3" spans="1:6" ht="13.5" thickBot="1">
      <c r="A3" s="606" t="s">
        <v>76</v>
      </c>
      <c r="B3" s="150" t="s">
        <v>64</v>
      </c>
      <c r="C3" s="151"/>
      <c r="D3" s="150" t="s">
        <v>65</v>
      </c>
      <c r="E3" s="152"/>
      <c r="F3" s="604"/>
    </row>
    <row r="4" spans="1:6" s="153" customFormat="1" ht="24.75" thickBot="1">
      <c r="A4" s="607"/>
      <c r="B4" s="93" t="s">
        <v>69</v>
      </c>
      <c r="C4" s="31" t="s">
        <v>524</v>
      </c>
      <c r="D4" s="93" t="s">
        <v>69</v>
      </c>
      <c r="E4" s="31" t="s">
        <v>524</v>
      </c>
      <c r="F4" s="604"/>
    </row>
    <row r="5" spans="1:6" s="153" customFormat="1" ht="13.5" thickBot="1">
      <c r="A5" s="154" t="s">
        <v>414</v>
      </c>
      <c r="B5" s="155" t="s">
        <v>415</v>
      </c>
      <c r="C5" s="156" t="s">
        <v>416</v>
      </c>
      <c r="D5" s="155" t="s">
        <v>469</v>
      </c>
      <c r="E5" s="157" t="s">
        <v>470</v>
      </c>
      <c r="F5" s="604"/>
    </row>
    <row r="6" spans="1:6" ht="12.75" customHeight="1">
      <c r="A6" s="159" t="s">
        <v>28</v>
      </c>
      <c r="B6" s="160" t="s">
        <v>331</v>
      </c>
      <c r="C6" s="508">
        <v>18976576</v>
      </c>
      <c r="D6" s="177" t="s">
        <v>171</v>
      </c>
      <c r="E6" s="47">
        <v>63334533</v>
      </c>
      <c r="F6" s="604"/>
    </row>
    <row r="7" spans="1:6" ht="12.75">
      <c r="A7" s="161" t="s">
        <v>29</v>
      </c>
      <c r="B7" s="162" t="s">
        <v>332</v>
      </c>
      <c r="C7" s="48">
        <v>3797300</v>
      </c>
      <c r="D7" s="167" t="s">
        <v>337</v>
      </c>
      <c r="E7" s="438">
        <v>14492698</v>
      </c>
      <c r="F7" s="604"/>
    </row>
    <row r="8" spans="1:6" ht="12.75" customHeight="1">
      <c r="A8" s="161" t="s">
        <v>30</v>
      </c>
      <c r="B8" s="162" t="s">
        <v>21</v>
      </c>
      <c r="C8" s="48">
        <v>47179000</v>
      </c>
      <c r="D8" s="167" t="s">
        <v>153</v>
      </c>
      <c r="E8" s="49">
        <v>87532903</v>
      </c>
      <c r="F8" s="604"/>
    </row>
    <row r="9" spans="1:6" ht="12.75" customHeight="1">
      <c r="A9" s="161" t="s">
        <v>31</v>
      </c>
      <c r="B9" s="162" t="s">
        <v>333</v>
      </c>
      <c r="C9" s="48"/>
      <c r="D9" s="167" t="s">
        <v>338</v>
      </c>
      <c r="E9" s="385">
        <v>53340000</v>
      </c>
      <c r="F9" s="604"/>
    </row>
    <row r="10" spans="1:6" ht="12.75" customHeight="1">
      <c r="A10" s="161" t="s">
        <v>32</v>
      </c>
      <c r="B10" s="162" t="s">
        <v>334</v>
      </c>
      <c r="C10" s="48"/>
      <c r="D10" s="167" t="s">
        <v>173</v>
      </c>
      <c r="E10" s="49">
        <v>44472000</v>
      </c>
      <c r="F10" s="604"/>
    </row>
    <row r="11" spans="1:6" ht="12.75" customHeight="1">
      <c r="A11" s="161" t="s">
        <v>33</v>
      </c>
      <c r="B11" s="162" t="s">
        <v>335</v>
      </c>
      <c r="C11" s="405"/>
      <c r="D11" s="378"/>
      <c r="E11" s="49"/>
      <c r="F11" s="604"/>
    </row>
    <row r="12" spans="1:6" ht="12.75" customHeight="1">
      <c r="A12" s="161" t="s">
        <v>34</v>
      </c>
      <c r="B12" s="35"/>
      <c r="C12" s="48"/>
      <c r="D12" s="378"/>
      <c r="E12" s="49"/>
      <c r="F12" s="604"/>
    </row>
    <row r="13" spans="1:6" ht="12.75" customHeight="1">
      <c r="A13" s="161" t="s">
        <v>35</v>
      </c>
      <c r="B13" s="35"/>
      <c r="C13" s="48"/>
      <c r="D13" s="378"/>
      <c r="E13" s="49"/>
      <c r="F13" s="604"/>
    </row>
    <row r="14" spans="1:6" ht="12.75" customHeight="1">
      <c r="A14" s="161" t="s">
        <v>36</v>
      </c>
      <c r="B14" s="379"/>
      <c r="C14" s="405"/>
      <c r="D14" s="378"/>
      <c r="E14" s="49"/>
      <c r="F14" s="604"/>
    </row>
    <row r="15" spans="1:6" ht="12.75">
      <c r="A15" s="161" t="s">
        <v>37</v>
      </c>
      <c r="B15" s="35"/>
      <c r="C15" s="405"/>
      <c r="D15" s="378"/>
      <c r="E15" s="49"/>
      <c r="F15" s="604"/>
    </row>
    <row r="16" spans="1:6" ht="12.75" customHeight="1" thickBot="1">
      <c r="A16" s="192" t="s">
        <v>38</v>
      </c>
      <c r="B16" s="217"/>
      <c r="C16" s="509"/>
      <c r="D16" s="166" t="s">
        <v>59</v>
      </c>
      <c r="E16" s="510">
        <v>5400000</v>
      </c>
      <c r="F16" s="604"/>
    </row>
    <row r="17" spans="1:6" ht="15.75" customHeight="1" thickBot="1">
      <c r="A17" s="164" t="s">
        <v>39</v>
      </c>
      <c r="B17" s="78" t="s">
        <v>345</v>
      </c>
      <c r="C17" s="141">
        <f>+C6+C8+C9+C11+C12+C13+C14+C15+C16</f>
        <v>66155576</v>
      </c>
      <c r="D17" s="78" t="s">
        <v>346</v>
      </c>
      <c r="E17" s="145">
        <f>+E6+E8+E10+E11+E12+E13+E14+E15+E16</f>
        <v>200739436</v>
      </c>
      <c r="F17" s="604"/>
    </row>
    <row r="18" spans="1:6" ht="12.75" customHeight="1">
      <c r="A18" s="159" t="s">
        <v>40</v>
      </c>
      <c r="B18" s="173" t="s">
        <v>191</v>
      </c>
      <c r="C18" s="180">
        <f>+C19+C20+C21+C22+C23</f>
        <v>0</v>
      </c>
      <c r="D18" s="167" t="s">
        <v>157</v>
      </c>
      <c r="E18" s="47"/>
      <c r="F18" s="604"/>
    </row>
    <row r="19" spans="1:6" ht="12.75" customHeight="1">
      <c r="A19" s="161" t="s">
        <v>41</v>
      </c>
      <c r="B19" s="174" t="s">
        <v>180</v>
      </c>
      <c r="C19" s="48"/>
      <c r="D19" s="167" t="s">
        <v>160</v>
      </c>
      <c r="E19" s="49"/>
      <c r="F19" s="604"/>
    </row>
    <row r="20" spans="1:6" ht="12.75" customHeight="1">
      <c r="A20" s="159" t="s">
        <v>42</v>
      </c>
      <c r="B20" s="174" t="s">
        <v>181</v>
      </c>
      <c r="C20" s="48"/>
      <c r="D20" s="167" t="s">
        <v>131</v>
      </c>
      <c r="E20" s="49"/>
      <c r="F20" s="604"/>
    </row>
    <row r="21" spans="1:6" ht="12.75" customHeight="1">
      <c r="A21" s="161" t="s">
        <v>43</v>
      </c>
      <c r="B21" s="174" t="s">
        <v>182</v>
      </c>
      <c r="C21" s="48"/>
      <c r="D21" s="167" t="s">
        <v>132</v>
      </c>
      <c r="E21" s="49">
        <v>3161000</v>
      </c>
      <c r="F21" s="604"/>
    </row>
    <row r="22" spans="1:6" ht="12.75" customHeight="1">
      <c r="A22" s="159" t="s">
        <v>44</v>
      </c>
      <c r="B22" s="174" t="s">
        <v>183</v>
      </c>
      <c r="C22" s="48"/>
      <c r="D22" s="166" t="s">
        <v>177</v>
      </c>
      <c r="E22" s="49"/>
      <c r="F22" s="604"/>
    </row>
    <row r="23" spans="1:6" ht="12.75" customHeight="1">
      <c r="A23" s="161" t="s">
        <v>45</v>
      </c>
      <c r="B23" s="175" t="s">
        <v>184</v>
      </c>
      <c r="C23" s="48"/>
      <c r="D23" s="167" t="s">
        <v>161</v>
      </c>
      <c r="E23" s="49"/>
      <c r="F23" s="604"/>
    </row>
    <row r="24" spans="1:6" ht="12.75" customHeight="1">
      <c r="A24" s="159" t="s">
        <v>46</v>
      </c>
      <c r="B24" s="176" t="s">
        <v>185</v>
      </c>
      <c r="C24" s="169">
        <f>+C25+C26+C27+C28+C29</f>
        <v>44100000</v>
      </c>
      <c r="D24" s="177" t="s">
        <v>159</v>
      </c>
      <c r="E24" s="49"/>
      <c r="F24" s="604"/>
    </row>
    <row r="25" spans="1:6" ht="12.75" customHeight="1">
      <c r="A25" s="161" t="s">
        <v>47</v>
      </c>
      <c r="B25" s="175" t="s">
        <v>186</v>
      </c>
      <c r="C25" s="48">
        <v>44100000</v>
      </c>
      <c r="D25" s="177" t="s">
        <v>339</v>
      </c>
      <c r="E25" s="49"/>
      <c r="F25" s="604"/>
    </row>
    <row r="26" spans="1:6" ht="12.75" customHeight="1">
      <c r="A26" s="159" t="s">
        <v>48</v>
      </c>
      <c r="B26" s="175" t="s">
        <v>187</v>
      </c>
      <c r="C26" s="48"/>
      <c r="D26" s="172"/>
      <c r="E26" s="49"/>
      <c r="F26" s="604"/>
    </row>
    <row r="27" spans="1:6" ht="12.75" customHeight="1">
      <c r="A27" s="161" t="s">
        <v>49</v>
      </c>
      <c r="B27" s="174" t="s">
        <v>188</v>
      </c>
      <c r="C27" s="48"/>
      <c r="D27" s="172"/>
      <c r="E27" s="49"/>
      <c r="F27" s="604"/>
    </row>
    <row r="28" spans="1:6" ht="12.75" customHeight="1">
      <c r="A28" s="159" t="s">
        <v>50</v>
      </c>
      <c r="B28" s="178" t="s">
        <v>189</v>
      </c>
      <c r="C28" s="48"/>
      <c r="D28" s="507"/>
      <c r="E28" s="49"/>
      <c r="F28" s="604"/>
    </row>
    <row r="29" spans="1:6" ht="12.75" customHeight="1" thickBot="1">
      <c r="A29" s="161" t="s">
        <v>51</v>
      </c>
      <c r="B29" s="179" t="s">
        <v>190</v>
      </c>
      <c r="C29" s="48"/>
      <c r="D29" s="172"/>
      <c r="E29" s="49"/>
      <c r="F29" s="604"/>
    </row>
    <row r="30" spans="1:6" ht="21.75" customHeight="1" thickBot="1">
      <c r="A30" s="164" t="s">
        <v>52</v>
      </c>
      <c r="B30" s="78" t="s">
        <v>336</v>
      </c>
      <c r="C30" s="141">
        <f>+C18+C24</f>
        <v>44100000</v>
      </c>
      <c r="D30" s="78" t="s">
        <v>340</v>
      </c>
      <c r="E30" s="145">
        <f>SUM(E18:E29)</f>
        <v>3161000</v>
      </c>
      <c r="F30" s="604"/>
    </row>
    <row r="31" spans="1:6" ht="13.5" thickBot="1">
      <c r="A31" s="164" t="s">
        <v>53</v>
      </c>
      <c r="B31" s="170" t="s">
        <v>341</v>
      </c>
      <c r="C31" s="171">
        <f>+C17+C30</f>
        <v>110255576</v>
      </c>
      <c r="D31" s="170" t="s">
        <v>342</v>
      </c>
      <c r="E31" s="171">
        <f>+E17+E30</f>
        <v>203900436</v>
      </c>
      <c r="F31" s="604"/>
    </row>
    <row r="32" spans="1:6" ht="13.5" thickBot="1">
      <c r="A32" s="164" t="s">
        <v>54</v>
      </c>
      <c r="B32" s="170" t="s">
        <v>135</v>
      </c>
      <c r="C32" s="171">
        <f>IF(C17-E17&lt;0,E17-C17,"-")</f>
        <v>134583860</v>
      </c>
      <c r="D32" s="170" t="s">
        <v>136</v>
      </c>
      <c r="E32" s="171" t="str">
        <f>IF(C17-E17&gt;0,C17-E17,"-")</f>
        <v>-</v>
      </c>
      <c r="F32" s="604"/>
    </row>
    <row r="33" spans="1:6" ht="13.5" thickBot="1">
      <c r="A33" s="164" t="s">
        <v>55</v>
      </c>
      <c r="B33" s="170" t="s">
        <v>178</v>
      </c>
      <c r="C33" s="171">
        <f>IF(C31-E31&lt;0,E31-C31,"-")</f>
        <v>93644860</v>
      </c>
      <c r="D33" s="170" t="s">
        <v>179</v>
      </c>
      <c r="E33" s="171" t="str">
        <f>IF(C31-E31&gt;0,C31-E31,"-")</f>
        <v>-</v>
      </c>
      <c r="F33" s="604"/>
    </row>
    <row r="34" spans="3:5" ht="12.75">
      <c r="C34" s="562"/>
      <c r="D34" s="562"/>
      <c r="E34" s="562"/>
    </row>
    <row r="35" spans="3:5" ht="12.75">
      <c r="C35" s="562"/>
      <c r="D35" s="562"/>
      <c r="E35" s="562"/>
    </row>
    <row r="36" spans="3:5" ht="12.75">
      <c r="C36" s="562"/>
      <c r="D36" s="562"/>
      <c r="E36" s="562"/>
    </row>
    <row r="37" spans="3:5" ht="12.75">
      <c r="C37" s="562"/>
      <c r="D37" s="562"/>
      <c r="E37" s="562"/>
    </row>
    <row r="38" spans="3:5" ht="12.75">
      <c r="C38" s="562"/>
      <c r="D38" s="562"/>
      <c r="E38" s="562"/>
    </row>
    <row r="39" spans="3:5" ht="12.75">
      <c r="C39" s="562"/>
      <c r="D39" s="562"/>
      <c r="E39" s="562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 5. melléklet a 12/2017.(IV.11.)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9">
    <tabColor rgb="FF92D050"/>
  </sheetPr>
  <dimension ref="A1:D13"/>
  <sheetViews>
    <sheetView zoomScale="120" zoomScaleNormal="120" workbookViewId="0" topLeftCell="A1">
      <selection activeCell="C14" sqref="C14"/>
    </sheetView>
  </sheetViews>
  <sheetFormatPr defaultColWidth="9.00390625" defaultRowHeight="12.75"/>
  <cols>
    <col min="1" max="1" width="5.625" style="84" customWidth="1"/>
    <col min="2" max="2" width="68.625" style="84" customWidth="1"/>
    <col min="3" max="3" width="19.50390625" style="84" customWidth="1"/>
    <col min="4" max="4" width="11.375" style="84" hidden="1" customWidth="1"/>
    <col min="5" max="16384" width="9.375" style="84" customWidth="1"/>
  </cols>
  <sheetData>
    <row r="1" spans="1:3" ht="33" customHeight="1">
      <c r="A1" s="608" t="s">
        <v>411</v>
      </c>
      <c r="B1" s="608"/>
      <c r="C1" s="608"/>
    </row>
    <row r="2" spans="1:4" ht="15.75" customHeight="1" thickBot="1">
      <c r="A2" s="85"/>
      <c r="B2" s="85"/>
      <c r="C2" s="86" t="s">
        <v>535</v>
      </c>
      <c r="D2" s="462"/>
    </row>
    <row r="3" spans="1:3" ht="26.25" customHeight="1" thickBot="1">
      <c r="A3" s="87" t="s">
        <v>26</v>
      </c>
      <c r="B3" s="88" t="s">
        <v>162</v>
      </c>
      <c r="C3" s="89" t="s">
        <v>524</v>
      </c>
    </row>
    <row r="4" spans="1:3" ht="15.75" thickBot="1">
      <c r="A4" s="463">
        <v>1</v>
      </c>
      <c r="B4" s="467">
        <v>2</v>
      </c>
      <c r="C4" s="468">
        <v>3</v>
      </c>
    </row>
    <row r="5" spans="1:3" ht="15">
      <c r="A5" s="90" t="s">
        <v>28</v>
      </c>
      <c r="B5" s="470" t="s">
        <v>501</v>
      </c>
      <c r="C5" s="388">
        <v>282890000</v>
      </c>
    </row>
    <row r="6" spans="1:3" ht="24.75">
      <c r="A6" s="91" t="s">
        <v>29</v>
      </c>
      <c r="B6" s="464" t="s">
        <v>536</v>
      </c>
      <c r="C6" s="181">
        <v>430000</v>
      </c>
    </row>
    <row r="7" spans="1:4" ht="36.75">
      <c r="A7" s="91" t="s">
        <v>30</v>
      </c>
      <c r="B7" s="464" t="s">
        <v>537</v>
      </c>
      <c r="C7" s="181">
        <f>12004000+100000+1814000+D7</f>
        <v>53082302</v>
      </c>
      <c r="D7" s="84">
        <v>39164302</v>
      </c>
    </row>
    <row r="8" spans="1:3" ht="15">
      <c r="A8" s="91" t="s">
        <v>31</v>
      </c>
      <c r="B8" s="465" t="s">
        <v>361</v>
      </c>
      <c r="C8" s="181"/>
    </row>
    <row r="9" spans="1:3" ht="24.75">
      <c r="A9" s="91" t="s">
        <v>32</v>
      </c>
      <c r="B9" s="465" t="s">
        <v>193</v>
      </c>
      <c r="C9" s="181">
        <f>25179000+22000000</f>
        <v>47179000</v>
      </c>
    </row>
    <row r="10" spans="1:3" ht="15">
      <c r="A10" s="91" t="s">
        <v>33</v>
      </c>
      <c r="B10" s="465" t="s">
        <v>192</v>
      </c>
      <c r="C10" s="389">
        <v>5500000</v>
      </c>
    </row>
    <row r="11" spans="1:3" ht="15.75" thickBot="1">
      <c r="A11" s="471" t="s">
        <v>34</v>
      </c>
      <c r="B11" s="466" t="s">
        <v>502</v>
      </c>
      <c r="C11" s="472"/>
    </row>
    <row r="12" spans="1:3" ht="15.75" thickBot="1">
      <c r="A12" s="609" t="s">
        <v>163</v>
      </c>
      <c r="B12" s="610"/>
      <c r="C12" s="469">
        <f>SUM(C5:C11)</f>
        <v>389081302</v>
      </c>
    </row>
    <row r="13" spans="1:3" ht="23.25" customHeight="1">
      <c r="A13" s="611" t="s">
        <v>168</v>
      </c>
      <c r="B13" s="611"/>
      <c r="C13" s="611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6. melléklet a 12/2017.(IV.11.)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9"/>
  <sheetViews>
    <sheetView workbookViewId="0" topLeftCell="A55">
      <selection activeCell="A68" sqref="A68"/>
    </sheetView>
  </sheetViews>
  <sheetFormatPr defaultColWidth="9.00390625" defaultRowHeight="12.75"/>
  <cols>
    <col min="1" max="1" width="47.1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8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5.5" customHeight="1">
      <c r="A1" s="612" t="s">
        <v>19</v>
      </c>
      <c r="B1" s="612"/>
      <c r="C1" s="612"/>
      <c r="D1" s="612"/>
      <c r="E1" s="612"/>
      <c r="F1" s="612"/>
    </row>
    <row r="2" spans="1:6" ht="22.5" customHeight="1" thickBot="1">
      <c r="A2" s="92"/>
      <c r="B2" s="38"/>
      <c r="C2" s="38"/>
      <c r="D2" s="38"/>
      <c r="E2" s="38"/>
      <c r="F2" s="36" t="s">
        <v>552</v>
      </c>
    </row>
    <row r="3" spans="1:7" s="34" customFormat="1" ht="44.25" customHeight="1" thickBot="1">
      <c r="A3" s="93" t="s">
        <v>72</v>
      </c>
      <c r="B3" s="94" t="s">
        <v>73</v>
      </c>
      <c r="C3" s="94" t="s">
        <v>74</v>
      </c>
      <c r="D3" s="94" t="s">
        <v>526</v>
      </c>
      <c r="E3" s="94" t="s">
        <v>524</v>
      </c>
      <c r="F3" s="37" t="s">
        <v>527</v>
      </c>
      <c r="G3" s="479"/>
    </row>
    <row r="4" spans="1:6" s="38" customFormat="1" ht="12" customHeight="1" thickBot="1">
      <c r="A4" s="459">
        <v>1</v>
      </c>
      <c r="B4" s="460">
        <v>2</v>
      </c>
      <c r="C4" s="460">
        <v>3</v>
      </c>
      <c r="D4" s="460">
        <v>4</v>
      </c>
      <c r="E4" s="460">
        <v>5</v>
      </c>
      <c r="F4" s="118" t="s">
        <v>89</v>
      </c>
    </row>
    <row r="5" spans="1:6" ht="15.75" customHeight="1">
      <c r="A5" s="453" t="s">
        <v>539</v>
      </c>
      <c r="B5" s="454">
        <v>2176000</v>
      </c>
      <c r="C5" s="455" t="s">
        <v>525</v>
      </c>
      <c r="D5" s="456"/>
      <c r="E5" s="457">
        <v>2176000</v>
      </c>
      <c r="F5" s="458">
        <f aca="true" t="shared" si="0" ref="F5:F36">B5-D5-E5</f>
        <v>0</v>
      </c>
    </row>
    <row r="6" spans="1:6" ht="15.75" customHeight="1">
      <c r="A6" s="419" t="s">
        <v>551</v>
      </c>
      <c r="B6" s="46">
        <v>6246000</v>
      </c>
      <c r="C6" s="232" t="s">
        <v>525</v>
      </c>
      <c r="D6" s="24"/>
      <c r="E6" s="24">
        <v>6246000</v>
      </c>
      <c r="F6" s="39">
        <f t="shared" si="0"/>
        <v>0</v>
      </c>
    </row>
    <row r="7" spans="1:6" ht="15.75" customHeight="1">
      <c r="A7" s="419" t="s">
        <v>540</v>
      </c>
      <c r="B7" s="401">
        <v>2963001</v>
      </c>
      <c r="C7" s="232" t="s">
        <v>525</v>
      </c>
      <c r="D7" s="24"/>
      <c r="E7" s="402">
        <v>2963001</v>
      </c>
      <c r="F7" s="39">
        <f t="shared" si="0"/>
        <v>0</v>
      </c>
    </row>
    <row r="8" spans="1:6" ht="15.75" customHeight="1">
      <c r="A8" s="477" t="s">
        <v>541</v>
      </c>
      <c r="B8" s="46">
        <v>14492698</v>
      </c>
      <c r="C8" s="232" t="s">
        <v>525</v>
      </c>
      <c r="D8" s="24"/>
      <c r="E8" s="24">
        <v>14492698</v>
      </c>
      <c r="F8" s="39">
        <f t="shared" si="0"/>
        <v>0</v>
      </c>
    </row>
    <row r="9" spans="1:6" ht="15.75" customHeight="1">
      <c r="A9" s="563" t="s">
        <v>538</v>
      </c>
      <c r="B9" s="401">
        <v>300001</v>
      </c>
      <c r="C9" s="232" t="s">
        <v>525</v>
      </c>
      <c r="D9" s="402"/>
      <c r="E9" s="402">
        <v>300001</v>
      </c>
      <c r="F9" s="39">
        <f t="shared" si="0"/>
        <v>0</v>
      </c>
    </row>
    <row r="10" spans="1:6" ht="25.5" customHeight="1">
      <c r="A10" s="477" t="s">
        <v>542</v>
      </c>
      <c r="B10" s="364">
        <v>529000</v>
      </c>
      <c r="C10" s="232" t="s">
        <v>525</v>
      </c>
      <c r="D10" s="361"/>
      <c r="E10" s="361">
        <v>529000</v>
      </c>
      <c r="F10" s="39">
        <f t="shared" si="0"/>
        <v>0</v>
      </c>
    </row>
    <row r="11" spans="1:6" ht="15.75" customHeight="1">
      <c r="A11" s="478" t="s">
        <v>547</v>
      </c>
      <c r="B11" s="365">
        <v>828000</v>
      </c>
      <c r="C11" s="232" t="s">
        <v>525</v>
      </c>
      <c r="D11" s="355"/>
      <c r="E11" s="355">
        <v>828000</v>
      </c>
      <c r="F11" s="39">
        <f t="shared" si="0"/>
        <v>0</v>
      </c>
    </row>
    <row r="12" spans="1:6" ht="18.75" customHeight="1">
      <c r="A12" s="419" t="s">
        <v>509</v>
      </c>
      <c r="B12" s="401">
        <v>762000</v>
      </c>
      <c r="C12" s="232" t="s">
        <v>525</v>
      </c>
      <c r="D12" s="386"/>
      <c r="E12" s="402">
        <v>762000</v>
      </c>
      <c r="F12" s="39">
        <f t="shared" si="0"/>
        <v>0</v>
      </c>
    </row>
    <row r="13" spans="1:6" ht="15.75" customHeight="1">
      <c r="A13" s="419" t="s">
        <v>548</v>
      </c>
      <c r="B13" s="46">
        <v>375000</v>
      </c>
      <c r="C13" s="232" t="s">
        <v>525</v>
      </c>
      <c r="D13" s="382"/>
      <c r="E13" s="24">
        <v>375000</v>
      </c>
      <c r="F13" s="39">
        <f t="shared" si="0"/>
        <v>0</v>
      </c>
    </row>
    <row r="14" spans="1:6" ht="15.75" customHeight="1">
      <c r="A14" s="419" t="s">
        <v>549</v>
      </c>
      <c r="B14" s="46">
        <v>136000</v>
      </c>
      <c r="C14" s="232" t="s">
        <v>525</v>
      </c>
      <c r="D14" s="24"/>
      <c r="E14" s="24">
        <v>136000</v>
      </c>
      <c r="F14" s="39">
        <f t="shared" si="0"/>
        <v>0</v>
      </c>
    </row>
    <row r="15" spans="1:6" ht="15.75" customHeight="1">
      <c r="A15" s="419" t="s">
        <v>550</v>
      </c>
      <c r="B15" s="46">
        <v>90200</v>
      </c>
      <c r="C15" s="232" t="s">
        <v>525</v>
      </c>
      <c r="D15" s="24"/>
      <c r="E15" s="24">
        <v>90200</v>
      </c>
      <c r="F15" s="39">
        <f t="shared" si="0"/>
        <v>0</v>
      </c>
    </row>
    <row r="16" spans="1:6" ht="15.75" customHeight="1">
      <c r="A16" s="420" t="s">
        <v>510</v>
      </c>
      <c r="B16" s="46">
        <v>436000</v>
      </c>
      <c r="C16" s="232" t="s">
        <v>525</v>
      </c>
      <c r="D16" s="24"/>
      <c r="E16" s="24">
        <v>436000</v>
      </c>
      <c r="F16" s="39">
        <f t="shared" si="0"/>
        <v>0</v>
      </c>
    </row>
    <row r="17" spans="1:6" ht="15.75" customHeight="1">
      <c r="A17" s="419" t="s">
        <v>3</v>
      </c>
      <c r="B17" s="46">
        <v>6604000</v>
      </c>
      <c r="C17" s="232" t="s">
        <v>525</v>
      </c>
      <c r="D17" s="24"/>
      <c r="E17" s="24">
        <v>6604000</v>
      </c>
      <c r="F17" s="39">
        <f t="shared" si="0"/>
        <v>0</v>
      </c>
    </row>
    <row r="18" spans="1:6" ht="15.75" customHeight="1">
      <c r="A18" s="421" t="s">
        <v>4</v>
      </c>
      <c r="B18" s="46">
        <v>301000</v>
      </c>
      <c r="C18" s="232" t="s">
        <v>525</v>
      </c>
      <c r="D18" s="24"/>
      <c r="E18" s="24">
        <v>301000</v>
      </c>
      <c r="F18" s="39">
        <f t="shared" si="0"/>
        <v>0</v>
      </c>
    </row>
    <row r="19" spans="1:6" ht="15.75" customHeight="1">
      <c r="A19" s="421" t="s">
        <v>5</v>
      </c>
      <c r="B19" s="46">
        <v>127000</v>
      </c>
      <c r="C19" s="232" t="s">
        <v>525</v>
      </c>
      <c r="D19" s="24"/>
      <c r="E19" s="24">
        <v>127000</v>
      </c>
      <c r="F19" s="39">
        <f t="shared" si="0"/>
        <v>0</v>
      </c>
    </row>
    <row r="20" spans="1:6" ht="15.75" customHeight="1" thickBot="1">
      <c r="A20" s="523" t="s">
        <v>6</v>
      </c>
      <c r="B20" s="524">
        <v>77000</v>
      </c>
      <c r="C20" s="525" t="s">
        <v>525</v>
      </c>
      <c r="D20" s="526"/>
      <c r="E20" s="526">
        <v>77000</v>
      </c>
      <c r="F20" s="527">
        <f t="shared" si="0"/>
        <v>0</v>
      </c>
    </row>
    <row r="21" spans="1:6" ht="15.75" customHeight="1">
      <c r="A21" s="532" t="s">
        <v>592</v>
      </c>
      <c r="B21" s="533">
        <v>200000</v>
      </c>
      <c r="C21" s="534" t="s">
        <v>525</v>
      </c>
      <c r="D21" s="533"/>
      <c r="E21" s="533">
        <v>200000</v>
      </c>
      <c r="F21" s="537">
        <f t="shared" si="0"/>
        <v>0</v>
      </c>
    </row>
    <row r="22" spans="1:6" ht="15.75" customHeight="1">
      <c r="A22" s="535" t="s">
        <v>593</v>
      </c>
      <c r="B22" s="24">
        <v>150000</v>
      </c>
      <c r="C22" s="232" t="s">
        <v>525</v>
      </c>
      <c r="D22" s="24"/>
      <c r="E22" s="24">
        <v>150000</v>
      </c>
      <c r="F22" s="527">
        <f t="shared" si="0"/>
        <v>0</v>
      </c>
    </row>
    <row r="23" spans="1:6" ht="15.75" customHeight="1">
      <c r="A23" s="535" t="s">
        <v>594</v>
      </c>
      <c r="B23" s="24">
        <v>500000</v>
      </c>
      <c r="C23" s="232" t="s">
        <v>525</v>
      </c>
      <c r="D23" s="24"/>
      <c r="E23" s="24">
        <v>500000</v>
      </c>
      <c r="F23" s="527">
        <f t="shared" si="0"/>
        <v>0</v>
      </c>
    </row>
    <row r="24" spans="1:6" ht="15.75" customHeight="1">
      <c r="A24" s="535" t="s">
        <v>595</v>
      </c>
      <c r="B24" s="24">
        <v>300000</v>
      </c>
      <c r="C24" s="232" t="s">
        <v>525</v>
      </c>
      <c r="D24" s="24"/>
      <c r="E24" s="24">
        <v>300000</v>
      </c>
      <c r="F24" s="527">
        <f t="shared" si="0"/>
        <v>0</v>
      </c>
    </row>
    <row r="25" spans="1:6" ht="15.75" customHeight="1">
      <c r="A25" s="535" t="s">
        <v>596</v>
      </c>
      <c r="B25" s="24">
        <v>150000</v>
      </c>
      <c r="C25" s="232" t="s">
        <v>525</v>
      </c>
      <c r="D25" s="24"/>
      <c r="E25" s="24">
        <v>150000</v>
      </c>
      <c r="F25" s="527">
        <f t="shared" si="0"/>
        <v>0</v>
      </c>
    </row>
    <row r="26" spans="1:6" ht="15.75" customHeight="1">
      <c r="A26" s="535" t="s">
        <v>597</v>
      </c>
      <c r="B26" s="24">
        <v>71000</v>
      </c>
      <c r="C26" s="232" t="s">
        <v>525</v>
      </c>
      <c r="D26" s="24"/>
      <c r="E26" s="24">
        <v>71000</v>
      </c>
      <c r="F26" s="527">
        <f t="shared" si="0"/>
        <v>0</v>
      </c>
    </row>
    <row r="27" spans="1:6" ht="15.75" customHeight="1">
      <c r="A27" s="535" t="s">
        <v>598</v>
      </c>
      <c r="B27" s="24">
        <v>280000</v>
      </c>
      <c r="C27" s="232" t="s">
        <v>525</v>
      </c>
      <c r="D27" s="24"/>
      <c r="E27" s="24">
        <v>280000</v>
      </c>
      <c r="F27" s="527">
        <f t="shared" si="0"/>
        <v>0</v>
      </c>
    </row>
    <row r="28" spans="1:6" ht="15.75" customHeight="1">
      <c r="A28" s="535" t="s">
        <v>599</v>
      </c>
      <c r="B28" s="24">
        <v>150000</v>
      </c>
      <c r="C28" s="232" t="s">
        <v>525</v>
      </c>
      <c r="D28" s="24"/>
      <c r="E28" s="24">
        <v>150000</v>
      </c>
      <c r="F28" s="527">
        <f t="shared" si="0"/>
        <v>0</v>
      </c>
    </row>
    <row r="29" spans="1:6" ht="15.75" customHeight="1" thickBot="1">
      <c r="A29" s="536" t="s">
        <v>600</v>
      </c>
      <c r="B29" s="529">
        <v>100000</v>
      </c>
      <c r="C29" s="528" t="s">
        <v>525</v>
      </c>
      <c r="D29" s="529"/>
      <c r="E29" s="529">
        <v>100000</v>
      </c>
      <c r="F29" s="530">
        <f t="shared" si="0"/>
        <v>0</v>
      </c>
    </row>
    <row r="30" spans="1:6" ht="18.75" customHeight="1">
      <c r="A30" s="453" t="s">
        <v>562</v>
      </c>
      <c r="B30" s="454">
        <v>150000</v>
      </c>
      <c r="C30" s="455" t="s">
        <v>525</v>
      </c>
      <c r="D30" s="456"/>
      <c r="E30" s="457">
        <v>150000</v>
      </c>
      <c r="F30" s="531">
        <f t="shared" si="0"/>
        <v>0</v>
      </c>
    </row>
    <row r="31" spans="1:6" ht="17.25" customHeight="1">
      <c r="A31" s="419" t="s">
        <v>563</v>
      </c>
      <c r="B31" s="46">
        <v>400000</v>
      </c>
      <c r="C31" s="232" t="s">
        <v>525</v>
      </c>
      <c r="D31" s="24"/>
      <c r="E31" s="24">
        <v>400000</v>
      </c>
      <c r="F31" s="527">
        <f t="shared" si="0"/>
        <v>0</v>
      </c>
    </row>
    <row r="32" spans="1:6" ht="21.75" customHeight="1">
      <c r="A32" s="419" t="s">
        <v>564</v>
      </c>
      <c r="B32" s="401">
        <v>130000</v>
      </c>
      <c r="C32" s="232" t="s">
        <v>525</v>
      </c>
      <c r="D32" s="24"/>
      <c r="E32" s="402">
        <v>130000</v>
      </c>
      <c r="F32" s="527">
        <f t="shared" si="0"/>
        <v>0</v>
      </c>
    </row>
    <row r="33" spans="1:6" ht="20.25" customHeight="1">
      <c r="A33" s="511" t="s">
        <v>565</v>
      </c>
      <c r="B33" s="46">
        <v>600075</v>
      </c>
      <c r="C33" s="232" t="s">
        <v>525</v>
      </c>
      <c r="D33" s="24"/>
      <c r="E33" s="24">
        <v>600075</v>
      </c>
      <c r="F33" s="527">
        <f t="shared" si="0"/>
        <v>0</v>
      </c>
    </row>
    <row r="34" spans="1:6" ht="20.25" customHeight="1">
      <c r="A34" s="512" t="s">
        <v>566</v>
      </c>
      <c r="B34" s="401">
        <v>40000</v>
      </c>
      <c r="C34" s="232" t="s">
        <v>525</v>
      </c>
      <c r="D34" s="513"/>
      <c r="E34" s="402">
        <v>40000</v>
      </c>
      <c r="F34" s="527">
        <f t="shared" si="0"/>
        <v>0</v>
      </c>
    </row>
    <row r="35" spans="1:6" ht="27" customHeight="1">
      <c r="A35" s="420" t="s">
        <v>567</v>
      </c>
      <c r="B35" s="364">
        <v>114298</v>
      </c>
      <c r="C35" s="232" t="s">
        <v>525</v>
      </c>
      <c r="D35" s="514"/>
      <c r="E35" s="361">
        <v>114298</v>
      </c>
      <c r="F35" s="527">
        <f t="shared" si="0"/>
        <v>0</v>
      </c>
    </row>
    <row r="36" spans="1:6" ht="20.25" customHeight="1">
      <c r="A36" s="564" t="s">
        <v>568</v>
      </c>
      <c r="B36" s="365">
        <v>456000</v>
      </c>
      <c r="C36" s="232" t="s">
        <v>525</v>
      </c>
      <c r="D36" s="515"/>
      <c r="E36" s="355">
        <v>456000</v>
      </c>
      <c r="F36" s="527">
        <f t="shared" si="0"/>
        <v>0</v>
      </c>
    </row>
    <row r="37" spans="1:6" ht="20.25" customHeight="1">
      <c r="A37" s="516" t="s">
        <v>569</v>
      </c>
      <c r="B37" s="401">
        <v>200000</v>
      </c>
      <c r="C37" s="232" t="s">
        <v>525</v>
      </c>
      <c r="D37" s="517"/>
      <c r="E37" s="402">
        <v>200000</v>
      </c>
      <c r="F37" s="527">
        <f aca="true" t="shared" si="1" ref="F37:F60">B37-D37-E37</f>
        <v>0</v>
      </c>
    </row>
    <row r="38" spans="1:6" ht="20.25" customHeight="1">
      <c r="A38" s="419" t="s">
        <v>570</v>
      </c>
      <c r="B38" s="46">
        <v>86000</v>
      </c>
      <c r="C38" s="232" t="s">
        <v>525</v>
      </c>
      <c r="D38" s="518"/>
      <c r="E38" s="24">
        <v>86000</v>
      </c>
      <c r="F38" s="527">
        <f t="shared" si="1"/>
        <v>0</v>
      </c>
    </row>
    <row r="39" spans="1:6" ht="20.25" customHeight="1">
      <c r="A39" s="419" t="s">
        <v>571</v>
      </c>
      <c r="B39" s="46">
        <v>30000</v>
      </c>
      <c r="C39" s="232" t="s">
        <v>525</v>
      </c>
      <c r="D39" s="519"/>
      <c r="E39" s="24">
        <v>30000</v>
      </c>
      <c r="F39" s="527">
        <f t="shared" si="1"/>
        <v>0</v>
      </c>
    </row>
    <row r="40" spans="1:6" ht="24.75" customHeight="1">
      <c r="A40" s="419" t="s">
        <v>572</v>
      </c>
      <c r="B40" s="46">
        <v>100000</v>
      </c>
      <c r="C40" s="232" t="s">
        <v>525</v>
      </c>
      <c r="D40" s="519"/>
      <c r="E40" s="24">
        <v>100000</v>
      </c>
      <c r="F40" s="527">
        <f t="shared" si="1"/>
        <v>0</v>
      </c>
    </row>
    <row r="41" spans="1:6" ht="20.25" customHeight="1">
      <c r="A41" s="420" t="s">
        <v>573</v>
      </c>
      <c r="B41" s="46">
        <v>250000</v>
      </c>
      <c r="C41" s="232" t="s">
        <v>525</v>
      </c>
      <c r="D41" s="519"/>
      <c r="E41" s="24">
        <v>250000</v>
      </c>
      <c r="F41" s="527">
        <f t="shared" si="1"/>
        <v>0</v>
      </c>
    </row>
    <row r="42" spans="1:6" ht="22.5" customHeight="1">
      <c r="A42" s="421" t="s">
        <v>574</v>
      </c>
      <c r="B42" s="46">
        <v>381000</v>
      </c>
      <c r="C42" s="232" t="s">
        <v>525</v>
      </c>
      <c r="D42" s="519"/>
      <c r="E42" s="24">
        <v>381000</v>
      </c>
      <c r="F42" s="527">
        <f t="shared" si="1"/>
        <v>0</v>
      </c>
    </row>
    <row r="43" spans="1:6" ht="24.75" customHeight="1">
      <c r="A43" s="421" t="s">
        <v>575</v>
      </c>
      <c r="B43" s="46">
        <v>139700</v>
      </c>
      <c r="C43" s="232" t="s">
        <v>525</v>
      </c>
      <c r="D43" s="519"/>
      <c r="E43" s="24">
        <v>139700</v>
      </c>
      <c r="F43" s="527">
        <f t="shared" si="1"/>
        <v>0</v>
      </c>
    </row>
    <row r="44" spans="1:6" ht="20.25" customHeight="1">
      <c r="A44" s="421" t="s">
        <v>576</v>
      </c>
      <c r="B44" s="46">
        <v>40000</v>
      </c>
      <c r="C44" s="232" t="s">
        <v>525</v>
      </c>
      <c r="D44" s="519"/>
      <c r="E44" s="24">
        <v>40000</v>
      </c>
      <c r="F44" s="527">
        <f t="shared" si="1"/>
        <v>0</v>
      </c>
    </row>
    <row r="45" spans="1:6" ht="20.25" customHeight="1">
      <c r="A45" s="565" t="s">
        <v>577</v>
      </c>
      <c r="B45" s="46">
        <v>12000</v>
      </c>
      <c r="C45" s="232" t="s">
        <v>525</v>
      </c>
      <c r="D45" s="519"/>
      <c r="E45" s="24">
        <v>12000</v>
      </c>
      <c r="F45" s="527">
        <f t="shared" si="1"/>
        <v>0</v>
      </c>
    </row>
    <row r="46" spans="1:6" ht="24" customHeight="1">
      <c r="A46" s="565" t="s">
        <v>578</v>
      </c>
      <c r="B46" s="46">
        <v>52500</v>
      </c>
      <c r="C46" s="232" t="s">
        <v>525</v>
      </c>
      <c r="D46" s="519"/>
      <c r="E46" s="24">
        <v>52500</v>
      </c>
      <c r="F46" s="527">
        <f t="shared" si="1"/>
        <v>0</v>
      </c>
    </row>
    <row r="47" spans="1:6" ht="25.5" customHeight="1">
      <c r="A47" s="565" t="s">
        <v>579</v>
      </c>
      <c r="B47" s="46">
        <v>100000</v>
      </c>
      <c r="C47" s="232" t="s">
        <v>525</v>
      </c>
      <c r="D47" s="519"/>
      <c r="E47" s="24">
        <v>100000</v>
      </c>
      <c r="F47" s="527">
        <f t="shared" si="1"/>
        <v>0</v>
      </c>
    </row>
    <row r="48" spans="1:6" ht="18.75" customHeight="1">
      <c r="A48" s="565" t="s">
        <v>580</v>
      </c>
      <c r="B48" s="46">
        <v>60000</v>
      </c>
      <c r="C48" s="232" t="s">
        <v>525</v>
      </c>
      <c r="D48" s="519"/>
      <c r="E48" s="24">
        <v>60000</v>
      </c>
      <c r="F48" s="527">
        <f t="shared" si="1"/>
        <v>0</v>
      </c>
    </row>
    <row r="49" spans="1:6" ht="21" customHeight="1">
      <c r="A49" s="419" t="s">
        <v>581</v>
      </c>
      <c r="B49" s="46">
        <v>1860454</v>
      </c>
      <c r="C49" s="232" t="s">
        <v>525</v>
      </c>
      <c r="D49" s="519"/>
      <c r="E49" s="24">
        <v>1860454</v>
      </c>
      <c r="F49" s="527">
        <f t="shared" si="1"/>
        <v>0</v>
      </c>
    </row>
    <row r="50" spans="1:6" ht="21" customHeight="1">
      <c r="A50" s="422" t="s">
        <v>582</v>
      </c>
      <c r="B50" s="46">
        <v>30000</v>
      </c>
      <c r="C50" s="232" t="s">
        <v>525</v>
      </c>
      <c r="D50" s="519"/>
      <c r="E50" s="24">
        <v>30000</v>
      </c>
      <c r="F50" s="527">
        <f t="shared" si="1"/>
        <v>0</v>
      </c>
    </row>
    <row r="51" spans="1:6" ht="21" customHeight="1">
      <c r="A51" s="566" t="s">
        <v>583</v>
      </c>
      <c r="B51" s="46">
        <v>300000</v>
      </c>
      <c r="C51" s="232" t="s">
        <v>525</v>
      </c>
      <c r="D51" s="519"/>
      <c r="E51" s="24">
        <v>300000</v>
      </c>
      <c r="F51" s="527">
        <f t="shared" si="1"/>
        <v>0</v>
      </c>
    </row>
    <row r="52" spans="1:6" ht="21" customHeight="1">
      <c r="A52" s="566" t="s">
        <v>584</v>
      </c>
      <c r="B52" s="401">
        <v>150000</v>
      </c>
      <c r="C52" s="232" t="s">
        <v>525</v>
      </c>
      <c r="D52" s="513"/>
      <c r="E52" s="402">
        <v>150000</v>
      </c>
      <c r="F52" s="527">
        <f t="shared" si="1"/>
        <v>0</v>
      </c>
    </row>
    <row r="53" spans="1:6" ht="21" customHeight="1">
      <c r="A53" s="566" t="s">
        <v>585</v>
      </c>
      <c r="B53" s="401">
        <v>495300</v>
      </c>
      <c r="C53" s="232" t="s">
        <v>525</v>
      </c>
      <c r="D53" s="513"/>
      <c r="E53" s="402">
        <v>495300</v>
      </c>
      <c r="F53" s="527">
        <f t="shared" si="1"/>
        <v>0</v>
      </c>
    </row>
    <row r="54" spans="1:6" ht="21" customHeight="1">
      <c r="A54" s="566" t="s">
        <v>586</v>
      </c>
      <c r="B54" s="401">
        <v>1929960</v>
      </c>
      <c r="C54" s="232" t="s">
        <v>525</v>
      </c>
      <c r="D54" s="513"/>
      <c r="E54" s="402">
        <v>1929960</v>
      </c>
      <c r="F54" s="527">
        <f t="shared" si="1"/>
        <v>0</v>
      </c>
    </row>
    <row r="55" spans="1:6" ht="21" customHeight="1">
      <c r="A55" s="566" t="s">
        <v>587</v>
      </c>
      <c r="B55" s="401">
        <v>200000</v>
      </c>
      <c r="C55" s="232" t="s">
        <v>525</v>
      </c>
      <c r="D55" s="513"/>
      <c r="E55" s="402">
        <v>200000</v>
      </c>
      <c r="F55" s="527">
        <f t="shared" si="1"/>
        <v>0</v>
      </c>
    </row>
    <row r="56" spans="1:6" ht="21" customHeight="1">
      <c r="A56" s="566" t="s">
        <v>588</v>
      </c>
      <c r="B56" s="401">
        <v>50000</v>
      </c>
      <c r="C56" s="232" t="s">
        <v>525</v>
      </c>
      <c r="D56" s="513"/>
      <c r="E56" s="402">
        <v>50000</v>
      </c>
      <c r="F56" s="527">
        <f t="shared" si="1"/>
        <v>0</v>
      </c>
    </row>
    <row r="57" spans="1:6" ht="21" customHeight="1">
      <c r="A57" s="520" t="s">
        <v>589</v>
      </c>
      <c r="B57" s="401">
        <v>30000</v>
      </c>
      <c r="C57" s="232" t="s">
        <v>525</v>
      </c>
      <c r="D57" s="513"/>
      <c r="E57" s="402">
        <v>30000</v>
      </c>
      <c r="F57" s="527">
        <f t="shared" si="1"/>
        <v>0</v>
      </c>
    </row>
    <row r="58" spans="1:6" ht="21" customHeight="1">
      <c r="A58" s="521" t="s">
        <v>590</v>
      </c>
      <c r="B58" s="401">
        <v>35000</v>
      </c>
      <c r="C58" s="232" t="s">
        <v>525</v>
      </c>
      <c r="D58" s="517"/>
      <c r="E58" s="402">
        <v>35000</v>
      </c>
      <c r="F58" s="527">
        <f t="shared" si="1"/>
        <v>0</v>
      </c>
    </row>
    <row r="59" spans="1:6" ht="21" customHeight="1">
      <c r="A59" s="522" t="s">
        <v>591</v>
      </c>
      <c r="B59" s="401">
        <v>350000</v>
      </c>
      <c r="C59" s="232" t="s">
        <v>525</v>
      </c>
      <c r="D59" s="513"/>
      <c r="E59" s="402">
        <v>350000</v>
      </c>
      <c r="F59" s="527">
        <f t="shared" si="1"/>
        <v>0</v>
      </c>
    </row>
    <row r="60" spans="1:6" ht="21" customHeight="1">
      <c r="A60" s="567" t="s">
        <v>602</v>
      </c>
      <c r="B60" s="568">
        <v>681000</v>
      </c>
      <c r="C60" s="525" t="s">
        <v>525</v>
      </c>
      <c r="D60" s="569"/>
      <c r="E60" s="570">
        <v>681000</v>
      </c>
      <c r="F60" s="527">
        <f t="shared" si="1"/>
        <v>0</v>
      </c>
    </row>
    <row r="61" spans="1:6" ht="21" customHeight="1">
      <c r="A61" s="567" t="s">
        <v>603</v>
      </c>
      <c r="B61" s="568">
        <v>5038564</v>
      </c>
      <c r="C61" s="525" t="s">
        <v>525</v>
      </c>
      <c r="D61" s="569"/>
      <c r="E61" s="570">
        <v>5038564</v>
      </c>
      <c r="F61" s="527"/>
    </row>
    <row r="62" spans="1:6" ht="21" customHeight="1">
      <c r="A62" s="567" t="s">
        <v>604</v>
      </c>
      <c r="B62" s="568">
        <v>5757100</v>
      </c>
      <c r="C62" s="525" t="s">
        <v>525</v>
      </c>
      <c r="D62" s="569"/>
      <c r="E62" s="570">
        <v>5757100</v>
      </c>
      <c r="F62" s="527"/>
    </row>
    <row r="63" spans="1:6" ht="21" customHeight="1">
      <c r="A63" s="567" t="s">
        <v>605</v>
      </c>
      <c r="B63" s="568">
        <v>1872399</v>
      </c>
      <c r="C63" s="525" t="s">
        <v>525</v>
      </c>
      <c r="D63" s="569"/>
      <c r="E63" s="570">
        <v>1872399</v>
      </c>
      <c r="F63" s="527"/>
    </row>
    <row r="64" spans="1:6" ht="21" customHeight="1">
      <c r="A64" s="567" t="s">
        <v>606</v>
      </c>
      <c r="B64" s="568">
        <v>340001</v>
      </c>
      <c r="C64" s="525" t="s">
        <v>525</v>
      </c>
      <c r="D64" s="569"/>
      <c r="E64" s="570">
        <v>340001</v>
      </c>
      <c r="F64" s="527"/>
    </row>
    <row r="65" spans="1:6" ht="21" customHeight="1">
      <c r="A65" s="567" t="s">
        <v>607</v>
      </c>
      <c r="B65" s="568">
        <v>1203001</v>
      </c>
      <c r="C65" s="525" t="s">
        <v>525</v>
      </c>
      <c r="D65" s="569"/>
      <c r="E65" s="570">
        <v>1203001</v>
      </c>
      <c r="F65" s="527"/>
    </row>
    <row r="66" spans="1:6" ht="21" customHeight="1">
      <c r="A66" s="567" t="s">
        <v>608</v>
      </c>
      <c r="B66" s="568">
        <v>287211</v>
      </c>
      <c r="C66" s="525" t="s">
        <v>525</v>
      </c>
      <c r="D66" s="569"/>
      <c r="E66" s="570">
        <v>287211</v>
      </c>
      <c r="F66" s="527"/>
    </row>
    <row r="67" spans="1:6" ht="21" customHeight="1">
      <c r="A67" s="522" t="s">
        <v>0</v>
      </c>
      <c r="B67" s="568">
        <v>59900</v>
      </c>
      <c r="C67" s="525" t="s">
        <v>525</v>
      </c>
      <c r="D67" s="569"/>
      <c r="E67" s="570">
        <v>59900</v>
      </c>
      <c r="F67" s="527"/>
    </row>
    <row r="68" spans="1:6" ht="21" customHeight="1" thickBot="1">
      <c r="A68" s="573" t="s">
        <v>609</v>
      </c>
      <c r="B68" s="568">
        <v>979170</v>
      </c>
      <c r="C68" s="525" t="s">
        <v>525</v>
      </c>
      <c r="D68" s="569"/>
      <c r="E68" s="570">
        <v>979170</v>
      </c>
      <c r="F68" s="527"/>
    </row>
    <row r="69" spans="1:6" s="41" customFormat="1" ht="18" customHeight="1" thickBot="1">
      <c r="A69" s="95" t="s">
        <v>71</v>
      </c>
      <c r="B69" s="574">
        <f>SUM(B5:B68)</f>
        <v>63334533</v>
      </c>
      <c r="C69" s="575"/>
      <c r="D69" s="574">
        <f>SUM(D5:D68)</f>
        <v>0</v>
      </c>
      <c r="E69" s="574">
        <f>SUM(E5:E68)</f>
        <v>63334533</v>
      </c>
      <c r="F69" s="576">
        <f>SUM(F5:F41)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600" verticalDpi="600" orientation="portrait" paperSize="9" scale="51" r:id="rId1"/>
  <headerFooter alignWithMargins="0">
    <oddHeader>&amp;R&amp;"Times New Roman CE,Félkövér dőlt"&amp;11 7. melléklet a 12/2017.(IV.11.) 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7"/>
  <sheetViews>
    <sheetView workbookViewId="0" topLeftCell="A1">
      <selection activeCell="D38" sqref="D38"/>
    </sheetView>
  </sheetViews>
  <sheetFormatPr defaultColWidth="9.00390625" defaultRowHeight="12.75"/>
  <cols>
    <col min="1" max="1" width="60.625" style="33" customWidth="1"/>
    <col min="2" max="2" width="15.625" style="32" customWidth="1"/>
    <col min="3" max="3" width="16.375" style="32" customWidth="1"/>
    <col min="4" max="4" width="18.00390625" style="32" customWidth="1"/>
    <col min="5" max="5" width="16.625" style="32" customWidth="1"/>
    <col min="6" max="6" width="18.875" style="32" customWidth="1"/>
    <col min="7" max="8" width="12.875" style="32" customWidth="1"/>
    <col min="9" max="9" width="13.875" style="32" customWidth="1"/>
    <col min="10" max="16384" width="9.375" style="32" customWidth="1"/>
  </cols>
  <sheetData>
    <row r="1" spans="1:6" ht="24.75" customHeight="1">
      <c r="A1" s="612" t="s">
        <v>20</v>
      </c>
      <c r="B1" s="612"/>
      <c r="C1" s="612"/>
      <c r="D1" s="612"/>
      <c r="E1" s="612"/>
      <c r="F1" s="612"/>
    </row>
    <row r="2" spans="1:6" ht="23.25" customHeight="1" thickBot="1">
      <c r="A2" s="92"/>
      <c r="B2" s="38"/>
      <c r="C2" s="38"/>
      <c r="D2" s="38"/>
      <c r="E2" s="38"/>
      <c r="F2" s="36" t="s">
        <v>552</v>
      </c>
    </row>
    <row r="3" spans="1:7" s="34" customFormat="1" ht="48.75" customHeight="1" thickBot="1">
      <c r="A3" s="93" t="s">
        <v>75</v>
      </c>
      <c r="B3" s="94" t="s">
        <v>73</v>
      </c>
      <c r="C3" s="94" t="s">
        <v>74</v>
      </c>
      <c r="D3" s="94" t="s">
        <v>526</v>
      </c>
      <c r="E3" s="94" t="s">
        <v>524</v>
      </c>
      <c r="F3" s="37" t="s">
        <v>528</v>
      </c>
      <c r="G3" s="480"/>
    </row>
    <row r="4" spans="1:6" s="38" customFormat="1" ht="15" customHeight="1" thickBot="1">
      <c r="A4" s="538">
        <v>1</v>
      </c>
      <c r="B4" s="539">
        <v>2</v>
      </c>
      <c r="C4" s="539">
        <v>3</v>
      </c>
      <c r="D4" s="539">
        <v>4</v>
      </c>
      <c r="E4" s="539">
        <v>5</v>
      </c>
      <c r="F4" s="540">
        <v>6</v>
      </c>
    </row>
    <row r="5" spans="1:6" ht="15.75" customHeight="1">
      <c r="A5" s="544" t="s">
        <v>541</v>
      </c>
      <c r="B5" s="533">
        <v>53340000</v>
      </c>
      <c r="C5" s="534" t="s">
        <v>525</v>
      </c>
      <c r="D5" s="533"/>
      <c r="E5" s="533">
        <v>53340000</v>
      </c>
      <c r="F5" s="545">
        <f aca="true" t="shared" si="0" ref="F5:F26">B5-D5-E5</f>
        <v>0</v>
      </c>
    </row>
    <row r="6" spans="1:6" ht="15.75" customHeight="1">
      <c r="A6" s="546" t="s">
        <v>538</v>
      </c>
      <c r="B6" s="355">
        <v>21000000</v>
      </c>
      <c r="C6" s="359" t="s">
        <v>525</v>
      </c>
      <c r="D6" s="355"/>
      <c r="E6" s="24">
        <v>21000000</v>
      </c>
      <c r="F6" s="43">
        <f t="shared" si="0"/>
        <v>0</v>
      </c>
    </row>
    <row r="7" spans="1:6" ht="15.75" customHeight="1">
      <c r="A7" s="473" t="s">
        <v>543</v>
      </c>
      <c r="B7" s="355">
        <v>762000</v>
      </c>
      <c r="C7" s="359" t="s">
        <v>525</v>
      </c>
      <c r="D7" s="355"/>
      <c r="E7" s="355">
        <v>762000</v>
      </c>
      <c r="F7" s="43">
        <f t="shared" si="0"/>
        <v>0</v>
      </c>
    </row>
    <row r="8" spans="1:6" ht="15.75" customHeight="1">
      <c r="A8" s="473" t="s">
        <v>544</v>
      </c>
      <c r="B8" s="355">
        <v>751000</v>
      </c>
      <c r="C8" s="359" t="s">
        <v>525</v>
      </c>
      <c r="D8" s="355"/>
      <c r="E8" s="24">
        <v>751000</v>
      </c>
      <c r="F8" s="43">
        <f t="shared" si="0"/>
        <v>0</v>
      </c>
    </row>
    <row r="9" spans="1:6" ht="15.75" customHeight="1">
      <c r="A9" s="473" t="s">
        <v>545</v>
      </c>
      <c r="B9" s="355">
        <v>3360000</v>
      </c>
      <c r="C9" s="359" t="s">
        <v>525</v>
      </c>
      <c r="D9" s="355"/>
      <c r="E9" s="355">
        <v>3360000</v>
      </c>
      <c r="F9" s="43">
        <f t="shared" si="0"/>
        <v>0</v>
      </c>
    </row>
    <row r="10" spans="1:6" ht="15.75" customHeight="1">
      <c r="A10" s="474" t="s">
        <v>546</v>
      </c>
      <c r="B10" s="42">
        <v>445000</v>
      </c>
      <c r="C10" s="359" t="s">
        <v>525</v>
      </c>
      <c r="D10" s="42"/>
      <c r="E10" s="42">
        <v>445000</v>
      </c>
      <c r="F10" s="43">
        <f t="shared" si="0"/>
        <v>0</v>
      </c>
    </row>
    <row r="11" spans="1:6" ht="15.75" customHeight="1">
      <c r="A11" s="547" t="s">
        <v>601</v>
      </c>
      <c r="B11" s="24">
        <f>500000-134607</f>
        <v>365393</v>
      </c>
      <c r="C11" s="232" t="s">
        <v>525</v>
      </c>
      <c r="D11" s="24"/>
      <c r="E11" s="24">
        <v>365393</v>
      </c>
      <c r="F11" s="43">
        <f t="shared" si="0"/>
        <v>0</v>
      </c>
    </row>
    <row r="12" spans="1:6" ht="15.75" customHeight="1">
      <c r="A12" s="474" t="s">
        <v>610</v>
      </c>
      <c r="B12" s="42">
        <v>7509510</v>
      </c>
      <c r="C12" s="359" t="s">
        <v>525</v>
      </c>
      <c r="D12" s="42"/>
      <c r="E12" s="42">
        <v>7509510</v>
      </c>
      <c r="F12" s="43">
        <f t="shared" si="0"/>
        <v>0</v>
      </c>
    </row>
    <row r="13" spans="1:6" ht="15.75" customHeight="1" thickBot="1">
      <c r="A13" s="548"/>
      <c r="B13" s="529"/>
      <c r="C13" s="549"/>
      <c r="D13" s="529"/>
      <c r="E13" s="529"/>
      <c r="F13" s="416">
        <f t="shared" si="0"/>
        <v>0</v>
      </c>
    </row>
    <row r="14" spans="1:6" ht="15.75" customHeight="1" hidden="1">
      <c r="A14" s="541"/>
      <c r="B14" s="456"/>
      <c r="C14" s="542"/>
      <c r="D14" s="456"/>
      <c r="E14" s="456"/>
      <c r="F14" s="543">
        <f t="shared" si="0"/>
        <v>0</v>
      </c>
    </row>
    <row r="15" spans="1:6" ht="15.75" customHeight="1" hidden="1">
      <c r="A15" s="417"/>
      <c r="B15" s="355"/>
      <c r="C15" s="359"/>
      <c r="D15" s="355"/>
      <c r="E15" s="355"/>
      <c r="F15" s="43">
        <f t="shared" si="0"/>
        <v>0</v>
      </c>
    </row>
    <row r="16" spans="1:6" ht="15.75" customHeight="1" hidden="1">
      <c r="A16" s="475"/>
      <c r="B16" s="355"/>
      <c r="C16" s="359"/>
      <c r="D16" s="355"/>
      <c r="E16" s="355"/>
      <c r="F16" s="43">
        <f t="shared" si="0"/>
        <v>0</v>
      </c>
    </row>
    <row r="17" spans="1:6" ht="15.75" customHeight="1" hidden="1">
      <c r="A17" s="473"/>
      <c r="B17" s="355"/>
      <c r="C17" s="359"/>
      <c r="D17" s="355"/>
      <c r="E17" s="355"/>
      <c r="F17" s="43">
        <f t="shared" si="0"/>
        <v>0</v>
      </c>
    </row>
    <row r="18" spans="1:6" ht="15.75" customHeight="1" hidden="1">
      <c r="A18" s="473"/>
      <c r="B18" s="418"/>
      <c r="C18" s="359"/>
      <c r="D18" s="355"/>
      <c r="E18" s="418"/>
      <c r="F18" s="43">
        <f t="shared" si="0"/>
        <v>0</v>
      </c>
    </row>
    <row r="19" spans="1:6" ht="15.75" customHeight="1" hidden="1">
      <c r="A19" s="474"/>
      <c r="B19" s="355"/>
      <c r="C19" s="359"/>
      <c r="D19" s="355"/>
      <c r="E19" s="355"/>
      <c r="F19" s="43">
        <f t="shared" si="0"/>
        <v>0</v>
      </c>
    </row>
    <row r="20" spans="1:6" ht="15.75" customHeight="1" hidden="1">
      <c r="A20" s="473"/>
      <c r="B20" s="418"/>
      <c r="C20" s="359"/>
      <c r="D20" s="355"/>
      <c r="E20" s="418"/>
      <c r="F20" s="43">
        <f t="shared" si="0"/>
        <v>0</v>
      </c>
    </row>
    <row r="21" spans="1:6" ht="15.75" customHeight="1" hidden="1">
      <c r="A21" s="473"/>
      <c r="B21" s="355"/>
      <c r="C21" s="359"/>
      <c r="D21" s="355"/>
      <c r="E21" s="355"/>
      <c r="F21" s="43">
        <f t="shared" si="0"/>
        <v>0</v>
      </c>
    </row>
    <row r="22" spans="1:6" ht="15.75" customHeight="1" hidden="1">
      <c r="A22" s="476"/>
      <c r="B22" s="358"/>
      <c r="C22" s="357"/>
      <c r="D22" s="358"/>
      <c r="E22" s="358"/>
      <c r="F22" s="43">
        <f t="shared" si="0"/>
        <v>0</v>
      </c>
    </row>
    <row r="23" spans="1:6" ht="15.75" customHeight="1" hidden="1">
      <c r="A23" s="476"/>
      <c r="B23" s="358"/>
      <c r="C23" s="357"/>
      <c r="D23" s="358"/>
      <c r="E23" s="358"/>
      <c r="F23" s="43">
        <f t="shared" si="0"/>
        <v>0</v>
      </c>
    </row>
    <row r="24" spans="1:6" ht="15.75" customHeight="1" hidden="1">
      <c r="A24" s="476"/>
      <c r="B24" s="358"/>
      <c r="C24" s="357"/>
      <c r="D24" s="358"/>
      <c r="E24" s="358"/>
      <c r="F24" s="43">
        <f t="shared" si="0"/>
        <v>0</v>
      </c>
    </row>
    <row r="25" spans="1:6" ht="15.75" customHeight="1" hidden="1">
      <c r="A25" s="476"/>
      <c r="B25" s="366"/>
      <c r="C25" s="367"/>
      <c r="D25" s="366"/>
      <c r="E25" s="366"/>
      <c r="F25" s="43">
        <f t="shared" si="0"/>
        <v>0</v>
      </c>
    </row>
    <row r="26" spans="1:6" ht="15.75" customHeight="1" hidden="1" thickBot="1">
      <c r="A26" s="476"/>
      <c r="B26" s="358"/>
      <c r="C26" s="357"/>
      <c r="D26" s="358"/>
      <c r="E26" s="358"/>
      <c r="F26" s="43">
        <f t="shared" si="0"/>
        <v>0</v>
      </c>
    </row>
    <row r="27" spans="1:6" s="41" customFormat="1" ht="18" customHeight="1" thickBot="1">
      <c r="A27" s="95" t="s">
        <v>71</v>
      </c>
      <c r="B27" s="96">
        <f>SUM(B5:B26)</f>
        <v>87532903</v>
      </c>
      <c r="C27" s="75"/>
      <c r="D27" s="96">
        <f>SUM(D5:D26)</f>
        <v>0</v>
      </c>
      <c r="E27" s="96">
        <f>SUM(E5:E26)</f>
        <v>87532903</v>
      </c>
      <c r="F27" s="44">
        <f>SUM(F5:F26)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fitToHeight="1" fitToWidth="1" horizontalDpi="300" verticalDpi="300" orientation="landscape" paperSize="9" scale="98" r:id="rId1"/>
  <headerFooter alignWithMargins="0">
    <oddHeader xml:space="preserve">&amp;R&amp;"Times New Roman CE,Félkövér dőlt"&amp;11 8. melléklet a 12/2017.(IV.11.)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zoomScaleSheetLayoutView="85" workbookViewId="0" topLeftCell="A65">
      <selection activeCell="E78" sqref="E78"/>
    </sheetView>
  </sheetViews>
  <sheetFormatPr defaultColWidth="9.00390625" defaultRowHeight="12.75"/>
  <cols>
    <col min="1" max="1" width="19.50390625" style="235" customWidth="1"/>
    <col min="2" max="2" width="72.00390625" style="236" customWidth="1"/>
    <col min="3" max="3" width="25.00390625" style="237" customWidth="1"/>
    <col min="4" max="16384" width="9.375" style="2" customWidth="1"/>
  </cols>
  <sheetData>
    <row r="1" spans="1:3" s="1" customFormat="1" ht="16.5" customHeight="1" thickBot="1">
      <c r="A1" s="100"/>
      <c r="B1" s="101"/>
      <c r="C1" s="114"/>
    </row>
    <row r="2" spans="1:4" s="50" customFormat="1" ht="21" customHeight="1">
      <c r="A2" s="194" t="s">
        <v>69</v>
      </c>
      <c r="B2" s="182" t="s">
        <v>167</v>
      </c>
      <c r="C2" s="184" t="s">
        <v>61</v>
      </c>
      <c r="D2" s="461"/>
    </row>
    <row r="3" spans="1:3" s="50" customFormat="1" ht="16.5" thickBot="1">
      <c r="A3" s="102" t="s">
        <v>164</v>
      </c>
      <c r="B3" s="183" t="s">
        <v>347</v>
      </c>
      <c r="C3" s="380" t="s">
        <v>61</v>
      </c>
    </row>
    <row r="4" spans="1:3" s="51" customFormat="1" ht="15.75" customHeight="1" thickBot="1">
      <c r="A4" s="103"/>
      <c r="B4" s="103"/>
      <c r="C4" s="104" t="s">
        <v>534</v>
      </c>
    </row>
    <row r="5" spans="1:3" ht="13.5" thickBot="1">
      <c r="A5" s="195" t="s">
        <v>165</v>
      </c>
      <c r="B5" s="105" t="s">
        <v>62</v>
      </c>
      <c r="C5" s="185" t="s">
        <v>63</v>
      </c>
    </row>
    <row r="6" spans="1:3" s="45" customFormat="1" ht="12.75" customHeight="1" thickBot="1">
      <c r="A6" s="97" t="s">
        <v>414</v>
      </c>
      <c r="B6" s="98" t="s">
        <v>415</v>
      </c>
      <c r="C6" s="99" t="s">
        <v>416</v>
      </c>
    </row>
    <row r="7" spans="1:3" s="45" customFormat="1" ht="15.75" customHeight="1" thickBot="1">
      <c r="A7" s="106"/>
      <c r="B7" s="107" t="s">
        <v>64</v>
      </c>
      <c r="C7" s="186"/>
    </row>
    <row r="8" spans="1:3" s="45" customFormat="1" ht="12" customHeight="1" thickBot="1">
      <c r="A8" s="27" t="s">
        <v>28</v>
      </c>
      <c r="B8" s="20" t="s">
        <v>194</v>
      </c>
      <c r="C8" s="129">
        <f>+C9+C10+C11+C12+C13+C14</f>
        <v>1174961208</v>
      </c>
    </row>
    <row r="9" spans="1:3" s="52" customFormat="1" ht="12" customHeight="1">
      <c r="A9" s="218" t="s">
        <v>101</v>
      </c>
      <c r="B9" s="204" t="s">
        <v>195</v>
      </c>
      <c r="C9" s="230">
        <f>227512539+905743</f>
        <v>228418282</v>
      </c>
    </row>
    <row r="10" spans="1:3" s="53" customFormat="1" ht="12" customHeight="1">
      <c r="A10" s="219" t="s">
        <v>102</v>
      </c>
      <c r="B10" s="205" t="s">
        <v>196</v>
      </c>
      <c r="C10" s="133">
        <v>218107294</v>
      </c>
    </row>
    <row r="11" spans="1:3" s="53" customFormat="1" ht="12" customHeight="1">
      <c r="A11" s="219" t="s">
        <v>103</v>
      </c>
      <c r="B11" s="205" t="s">
        <v>197</v>
      </c>
      <c r="C11" s="133">
        <f>121200000+67844165+118423160+15562200+177597260+4526280+11511000+24250000-35761000</f>
        <v>505153065</v>
      </c>
    </row>
    <row r="12" spans="1:3" s="53" customFormat="1" ht="12" customHeight="1">
      <c r="A12" s="219" t="s">
        <v>104</v>
      </c>
      <c r="B12" s="205" t="s">
        <v>198</v>
      </c>
      <c r="C12" s="133">
        <f>4412740+15262320+10629000-4412740</f>
        <v>25891320</v>
      </c>
    </row>
    <row r="13" spans="1:3" s="53" customFormat="1" ht="12" customHeight="1">
      <c r="A13" s="219" t="s">
        <v>125</v>
      </c>
      <c r="B13" s="205" t="s">
        <v>478</v>
      </c>
      <c r="C13" s="133">
        <f>3551000+1060845+168707597+58000+128000+13957152+413944+9514709</f>
        <v>197391247</v>
      </c>
    </row>
    <row r="14" spans="1:3" s="52" customFormat="1" ht="12" customHeight="1" thickBot="1">
      <c r="A14" s="220" t="s">
        <v>105</v>
      </c>
      <c r="B14" s="206" t="s">
        <v>418</v>
      </c>
      <c r="C14" s="130"/>
    </row>
    <row r="15" spans="1:3" s="52" customFormat="1" ht="12" customHeight="1" thickBot="1">
      <c r="A15" s="27" t="s">
        <v>29</v>
      </c>
      <c r="B15" s="124" t="s">
        <v>199</v>
      </c>
      <c r="C15" s="129">
        <f>+C16+C17+C18+C19+C20</f>
        <v>599342092</v>
      </c>
    </row>
    <row r="16" spans="1:3" s="52" customFormat="1" ht="12" customHeight="1">
      <c r="A16" s="218" t="s">
        <v>107</v>
      </c>
      <c r="B16" s="204" t="s">
        <v>200</v>
      </c>
      <c r="C16" s="131"/>
    </row>
    <row r="17" spans="1:3" s="52" customFormat="1" ht="12" customHeight="1">
      <c r="A17" s="219" t="s">
        <v>108</v>
      </c>
      <c r="B17" s="205" t="s">
        <v>201</v>
      </c>
      <c r="C17" s="130"/>
    </row>
    <row r="18" spans="1:3" s="52" customFormat="1" ht="12" customHeight="1">
      <c r="A18" s="219" t="s">
        <v>109</v>
      </c>
      <c r="B18" s="205" t="s">
        <v>352</v>
      </c>
      <c r="C18" s="130"/>
    </row>
    <row r="19" spans="1:3" s="52" customFormat="1" ht="12" customHeight="1">
      <c r="A19" s="219" t="s">
        <v>110</v>
      </c>
      <c r="B19" s="205" t="s">
        <v>353</v>
      </c>
      <c r="C19" s="130"/>
    </row>
    <row r="20" spans="1:3" s="52" customFormat="1" ht="12" customHeight="1">
      <c r="A20" s="219" t="s">
        <v>111</v>
      </c>
      <c r="B20" s="205" t="s">
        <v>202</v>
      </c>
      <c r="C20" s="390">
        <f>2285000+210000+110446000+65342000+25310845+9303887+291175856+362000+94906504</f>
        <v>599342092</v>
      </c>
    </row>
    <row r="21" spans="1:3" s="53" customFormat="1" ht="12" customHeight="1" thickBot="1">
      <c r="A21" s="220" t="s">
        <v>120</v>
      </c>
      <c r="B21" s="206" t="s">
        <v>203</v>
      </c>
      <c r="C21" s="193"/>
    </row>
    <row r="22" spans="1:3" s="53" customFormat="1" ht="12" customHeight="1" thickBot="1">
      <c r="A22" s="27" t="s">
        <v>30</v>
      </c>
      <c r="B22" s="20" t="s">
        <v>204</v>
      </c>
      <c r="C22" s="129">
        <f>+C23+C24+C25+C26+C27</f>
        <v>18976576</v>
      </c>
    </row>
    <row r="23" spans="1:3" s="53" customFormat="1" ht="12" customHeight="1">
      <c r="A23" s="218" t="s">
        <v>90</v>
      </c>
      <c r="B23" s="204" t="s">
        <v>205</v>
      </c>
      <c r="C23" s="384"/>
    </row>
    <row r="24" spans="1:3" s="52" customFormat="1" ht="12" customHeight="1">
      <c r="A24" s="219" t="s">
        <v>91</v>
      </c>
      <c r="B24" s="205" t="s">
        <v>206</v>
      </c>
      <c r="C24" s="133"/>
    </row>
    <row r="25" spans="1:3" s="53" customFormat="1" ht="12" customHeight="1">
      <c r="A25" s="219" t="s">
        <v>92</v>
      </c>
      <c r="B25" s="205" t="s">
        <v>354</v>
      </c>
      <c r="C25" s="133"/>
    </row>
    <row r="26" spans="1:3" s="53" customFormat="1" ht="12" customHeight="1">
      <c r="A26" s="219" t="s">
        <v>93</v>
      </c>
      <c r="B26" s="205" t="s">
        <v>355</v>
      </c>
      <c r="C26" s="133"/>
    </row>
    <row r="27" spans="1:3" s="53" customFormat="1" ht="12" customHeight="1">
      <c r="A27" s="219" t="s">
        <v>137</v>
      </c>
      <c r="B27" s="205" t="s">
        <v>207</v>
      </c>
      <c r="C27" s="133">
        <f>3797300+15179276</f>
        <v>18976576</v>
      </c>
    </row>
    <row r="28" spans="1:3" s="53" customFormat="1" ht="12" customHeight="1" thickBot="1">
      <c r="A28" s="220" t="s">
        <v>138</v>
      </c>
      <c r="B28" s="206" t="s">
        <v>208</v>
      </c>
      <c r="C28" s="193">
        <v>3797300</v>
      </c>
    </row>
    <row r="29" spans="1:3" s="53" customFormat="1" ht="12" customHeight="1" thickBot="1">
      <c r="A29" s="27" t="s">
        <v>139</v>
      </c>
      <c r="B29" s="20" t="s">
        <v>209</v>
      </c>
      <c r="C29" s="134">
        <f>+C30+C34+C35+C36</f>
        <v>319390000</v>
      </c>
    </row>
    <row r="30" spans="1:3" s="53" customFormat="1" ht="12" customHeight="1">
      <c r="A30" s="218" t="s">
        <v>210</v>
      </c>
      <c r="B30" s="204" t="s">
        <v>479</v>
      </c>
      <c r="C30" s="199">
        <f>SUM(C31:C33)</f>
        <v>282830000</v>
      </c>
    </row>
    <row r="31" spans="1:3" s="53" customFormat="1" ht="12" customHeight="1">
      <c r="A31" s="219" t="s">
        <v>211</v>
      </c>
      <c r="B31" s="205" t="s">
        <v>216</v>
      </c>
      <c r="C31" s="130">
        <f>8990000+70000000</f>
        <v>78990000</v>
      </c>
    </row>
    <row r="32" spans="1:3" s="53" customFormat="1" ht="12" customHeight="1">
      <c r="A32" s="219" t="s">
        <v>212</v>
      </c>
      <c r="B32" s="205" t="s">
        <v>507</v>
      </c>
      <c r="C32" s="130">
        <v>203840000</v>
      </c>
    </row>
    <row r="33" spans="1:3" s="53" customFormat="1" ht="12" customHeight="1">
      <c r="A33" s="219" t="s">
        <v>420</v>
      </c>
      <c r="B33" s="205" t="s">
        <v>504</v>
      </c>
      <c r="C33" s="133"/>
    </row>
    <row r="34" spans="1:3" s="53" customFormat="1" ht="12" customHeight="1">
      <c r="A34" s="219" t="s">
        <v>213</v>
      </c>
      <c r="B34" s="205" t="s">
        <v>218</v>
      </c>
      <c r="C34" s="130">
        <f>27000000</f>
        <v>27000000</v>
      </c>
    </row>
    <row r="35" spans="1:3" s="53" customFormat="1" ht="12" customHeight="1">
      <c r="A35" s="219" t="s">
        <v>214</v>
      </c>
      <c r="B35" s="205" t="s">
        <v>219</v>
      </c>
      <c r="C35" s="130">
        <f>4060000-4000000</f>
        <v>60000</v>
      </c>
    </row>
    <row r="36" spans="1:3" s="53" customFormat="1" ht="12" customHeight="1" thickBot="1">
      <c r="A36" s="220" t="s">
        <v>215</v>
      </c>
      <c r="B36" s="206" t="s">
        <v>220</v>
      </c>
      <c r="C36" s="193">
        <f>5500000+4000000</f>
        <v>9500000</v>
      </c>
    </row>
    <row r="37" spans="1:3" s="53" customFormat="1" ht="12" customHeight="1" thickBot="1">
      <c r="A37" s="27" t="s">
        <v>32</v>
      </c>
      <c r="B37" s="20" t="s">
        <v>422</v>
      </c>
      <c r="C37" s="129">
        <f>SUM(C38:C48)</f>
        <v>49070000</v>
      </c>
    </row>
    <row r="38" spans="1:3" s="53" customFormat="1" ht="12" customHeight="1">
      <c r="A38" s="218" t="s">
        <v>94</v>
      </c>
      <c r="B38" s="204" t="s">
        <v>223</v>
      </c>
      <c r="C38" s="230">
        <f>3937000+4000000+5000000</f>
        <v>12937000</v>
      </c>
    </row>
    <row r="39" spans="1:3" s="53" customFormat="1" ht="12" customHeight="1">
      <c r="A39" s="219" t="s">
        <v>95</v>
      </c>
      <c r="B39" s="205" t="s">
        <v>224</v>
      </c>
      <c r="C39" s="133">
        <f>100000+12004000+160000</f>
        <v>12264000</v>
      </c>
    </row>
    <row r="40" spans="1:3" s="53" customFormat="1" ht="12" customHeight="1">
      <c r="A40" s="219" t="s">
        <v>96</v>
      </c>
      <c r="B40" s="205" t="s">
        <v>225</v>
      </c>
      <c r="C40" s="133">
        <f>8458000+947000</f>
        <v>9405000</v>
      </c>
    </row>
    <row r="41" spans="1:3" s="53" customFormat="1" ht="12" customHeight="1">
      <c r="A41" s="219" t="s">
        <v>141</v>
      </c>
      <c r="B41" s="205" t="s">
        <v>226</v>
      </c>
      <c r="C41" s="133">
        <f>430000</f>
        <v>430000</v>
      </c>
    </row>
    <row r="42" spans="1:3" s="53" customFormat="1" ht="12" customHeight="1">
      <c r="A42" s="219" t="s">
        <v>142</v>
      </c>
      <c r="B42" s="205" t="s">
        <v>227</v>
      </c>
      <c r="C42" s="133"/>
    </row>
    <row r="43" spans="1:3" s="53" customFormat="1" ht="12" customHeight="1">
      <c r="A43" s="219" t="s">
        <v>143</v>
      </c>
      <c r="B43" s="205" t="s">
        <v>228</v>
      </c>
      <c r="C43" s="133">
        <f>1063000+3242000+5853000+44000+378000+600000+1350000+270000</f>
        <v>12800000</v>
      </c>
    </row>
    <row r="44" spans="1:3" s="53" customFormat="1" ht="12" customHeight="1">
      <c r="A44" s="219" t="s">
        <v>144</v>
      </c>
      <c r="B44" s="205" t="s">
        <v>229</v>
      </c>
      <c r="C44" s="133"/>
    </row>
    <row r="45" spans="1:3" s="53" customFormat="1" ht="12" customHeight="1">
      <c r="A45" s="219" t="s">
        <v>145</v>
      </c>
      <c r="B45" s="205" t="s">
        <v>230</v>
      </c>
      <c r="C45" s="133">
        <v>30000</v>
      </c>
    </row>
    <row r="46" spans="1:3" s="53" customFormat="1" ht="12" customHeight="1">
      <c r="A46" s="219" t="s">
        <v>221</v>
      </c>
      <c r="B46" s="205" t="s">
        <v>231</v>
      </c>
      <c r="C46" s="133"/>
    </row>
    <row r="47" spans="1:3" s="53" customFormat="1" ht="12" customHeight="1">
      <c r="A47" s="220" t="s">
        <v>222</v>
      </c>
      <c r="B47" s="206" t="s">
        <v>423</v>
      </c>
      <c r="C47" s="193">
        <f>500000</f>
        <v>500000</v>
      </c>
    </row>
    <row r="48" spans="1:3" s="53" customFormat="1" ht="12" customHeight="1" thickBot="1">
      <c r="A48" s="220" t="s">
        <v>424</v>
      </c>
      <c r="B48" s="206" t="s">
        <v>232</v>
      </c>
      <c r="C48" s="193">
        <f>704000</f>
        <v>704000</v>
      </c>
    </row>
    <row r="49" spans="1:3" s="53" customFormat="1" ht="12" customHeight="1" thickBot="1">
      <c r="A49" s="27" t="s">
        <v>33</v>
      </c>
      <c r="B49" s="20" t="s">
        <v>233</v>
      </c>
      <c r="C49" s="129">
        <f>SUM(C50:C54)</f>
        <v>47179000</v>
      </c>
    </row>
    <row r="50" spans="1:3" s="53" customFormat="1" ht="12" customHeight="1">
      <c r="A50" s="218" t="s">
        <v>97</v>
      </c>
      <c r="B50" s="204" t="s">
        <v>237</v>
      </c>
      <c r="C50" s="230"/>
    </row>
    <row r="51" spans="1:3" s="53" customFormat="1" ht="12" customHeight="1">
      <c r="A51" s="219" t="s">
        <v>98</v>
      </c>
      <c r="B51" s="205" t="s">
        <v>238</v>
      </c>
      <c r="C51" s="133">
        <f>25179000</f>
        <v>25179000</v>
      </c>
    </row>
    <row r="52" spans="1:3" s="53" customFormat="1" ht="12" customHeight="1">
      <c r="A52" s="219" t="s">
        <v>234</v>
      </c>
      <c r="B52" s="205" t="s">
        <v>239</v>
      </c>
      <c r="C52" s="133">
        <v>22000000</v>
      </c>
    </row>
    <row r="53" spans="1:3" s="53" customFormat="1" ht="12" customHeight="1">
      <c r="A53" s="219" t="s">
        <v>235</v>
      </c>
      <c r="B53" s="205" t="s">
        <v>240</v>
      </c>
      <c r="C53" s="133"/>
    </row>
    <row r="54" spans="1:3" s="53" customFormat="1" ht="12" customHeight="1" thickBot="1">
      <c r="A54" s="220" t="s">
        <v>236</v>
      </c>
      <c r="B54" s="206" t="s">
        <v>241</v>
      </c>
      <c r="C54" s="193"/>
    </row>
    <row r="55" spans="1:3" s="53" customFormat="1" ht="12" customHeight="1" thickBot="1">
      <c r="A55" s="27" t="s">
        <v>146</v>
      </c>
      <c r="B55" s="20" t="s">
        <v>242</v>
      </c>
      <c r="C55" s="129">
        <f>SUM(C56:C58)</f>
        <v>6024000</v>
      </c>
    </row>
    <row r="56" spans="1:3" s="53" customFormat="1" ht="12" customHeight="1">
      <c r="A56" s="218" t="s">
        <v>99</v>
      </c>
      <c r="B56" s="204" t="s">
        <v>243</v>
      </c>
      <c r="C56" s="131"/>
    </row>
    <row r="57" spans="1:3" s="53" customFormat="1" ht="12" customHeight="1">
      <c r="A57" s="219" t="s">
        <v>100</v>
      </c>
      <c r="B57" s="205" t="s">
        <v>356</v>
      </c>
      <c r="C57" s="133">
        <f>383000+1566000</f>
        <v>1949000</v>
      </c>
    </row>
    <row r="58" spans="1:3" s="53" customFormat="1" ht="12" customHeight="1">
      <c r="A58" s="219" t="s">
        <v>246</v>
      </c>
      <c r="B58" s="205" t="s">
        <v>244</v>
      </c>
      <c r="C58" s="133">
        <f>4075000</f>
        <v>4075000</v>
      </c>
    </row>
    <row r="59" spans="1:3" s="53" customFormat="1" ht="12" customHeight="1" thickBot="1">
      <c r="A59" s="220" t="s">
        <v>247</v>
      </c>
      <c r="B59" s="206" t="s">
        <v>245</v>
      </c>
      <c r="C59" s="132"/>
    </row>
    <row r="60" spans="1:3" s="53" customFormat="1" ht="12" customHeight="1" thickBot="1">
      <c r="A60" s="27" t="s">
        <v>35</v>
      </c>
      <c r="B60" s="124" t="s">
        <v>248</v>
      </c>
      <c r="C60" s="129">
        <f>SUM(C61:C63)</f>
        <v>0</v>
      </c>
    </row>
    <row r="61" spans="1:3" s="53" customFormat="1" ht="12" customHeight="1">
      <c r="A61" s="218" t="s">
        <v>147</v>
      </c>
      <c r="B61" s="204" t="s">
        <v>250</v>
      </c>
      <c r="C61" s="133"/>
    </row>
    <row r="62" spans="1:3" s="53" customFormat="1" ht="12" customHeight="1">
      <c r="A62" s="219" t="s">
        <v>148</v>
      </c>
      <c r="B62" s="205" t="s">
        <v>357</v>
      </c>
      <c r="C62" s="133"/>
    </row>
    <row r="63" spans="1:3" s="53" customFormat="1" ht="12" customHeight="1">
      <c r="A63" s="219" t="s">
        <v>172</v>
      </c>
      <c r="B63" s="205" t="s">
        <v>251</v>
      </c>
      <c r="C63" s="133"/>
    </row>
    <row r="64" spans="1:3" s="53" customFormat="1" ht="12" customHeight="1" thickBot="1">
      <c r="A64" s="220" t="s">
        <v>249</v>
      </c>
      <c r="B64" s="206" t="s">
        <v>252</v>
      </c>
      <c r="C64" s="133"/>
    </row>
    <row r="65" spans="1:3" s="53" customFormat="1" ht="12" customHeight="1" thickBot="1">
      <c r="A65" s="27" t="s">
        <v>36</v>
      </c>
      <c r="B65" s="20" t="s">
        <v>253</v>
      </c>
      <c r="C65" s="134">
        <f>+C8+C15+C22+C29+C37+C49+C55+C60</f>
        <v>2214942876</v>
      </c>
    </row>
    <row r="66" spans="1:3" s="53" customFormat="1" ht="12" customHeight="1" thickBot="1">
      <c r="A66" s="221" t="s">
        <v>343</v>
      </c>
      <c r="B66" s="124" t="s">
        <v>255</v>
      </c>
      <c r="C66" s="129">
        <f>SUM(C67:C69)</f>
        <v>144100000</v>
      </c>
    </row>
    <row r="67" spans="1:3" s="53" customFormat="1" ht="12" customHeight="1">
      <c r="A67" s="218" t="s">
        <v>286</v>
      </c>
      <c r="B67" s="204" t="s">
        <v>256</v>
      </c>
      <c r="C67" s="133">
        <v>44100000</v>
      </c>
    </row>
    <row r="68" spans="1:3" s="53" customFormat="1" ht="12" customHeight="1">
      <c r="A68" s="219" t="s">
        <v>295</v>
      </c>
      <c r="B68" s="205" t="s">
        <v>257</v>
      </c>
      <c r="C68" s="133">
        <v>100000000</v>
      </c>
    </row>
    <row r="69" spans="1:3" s="53" customFormat="1" ht="12" customHeight="1" thickBot="1">
      <c r="A69" s="220" t="s">
        <v>296</v>
      </c>
      <c r="B69" s="207" t="s">
        <v>258</v>
      </c>
      <c r="C69" s="133"/>
    </row>
    <row r="70" spans="1:3" s="53" customFormat="1" ht="12" customHeight="1" thickBot="1">
      <c r="A70" s="221" t="s">
        <v>259</v>
      </c>
      <c r="B70" s="124" t="s">
        <v>260</v>
      </c>
      <c r="C70" s="129">
        <f>SUM(C71:C74)</f>
        <v>0</v>
      </c>
    </row>
    <row r="71" spans="1:3" s="53" customFormat="1" ht="12" customHeight="1">
      <c r="A71" s="218" t="s">
        <v>126</v>
      </c>
      <c r="B71" s="204" t="s">
        <v>261</v>
      </c>
      <c r="C71" s="133"/>
    </row>
    <row r="72" spans="1:3" s="53" customFormat="1" ht="12" customHeight="1">
      <c r="A72" s="219" t="s">
        <v>127</v>
      </c>
      <c r="B72" s="205" t="s">
        <v>262</v>
      </c>
      <c r="C72" s="133"/>
    </row>
    <row r="73" spans="1:3" s="53" customFormat="1" ht="12" customHeight="1">
      <c r="A73" s="219" t="s">
        <v>287</v>
      </c>
      <c r="B73" s="205" t="s">
        <v>263</v>
      </c>
      <c r="C73" s="133"/>
    </row>
    <row r="74" spans="1:3" s="53" customFormat="1" ht="12" customHeight="1" thickBot="1">
      <c r="A74" s="220" t="s">
        <v>288</v>
      </c>
      <c r="B74" s="206" t="s">
        <v>264</v>
      </c>
      <c r="C74" s="133"/>
    </row>
    <row r="75" spans="1:3" s="53" customFormat="1" ht="12" customHeight="1" thickBot="1">
      <c r="A75" s="221" t="s">
        <v>265</v>
      </c>
      <c r="B75" s="124" t="s">
        <v>266</v>
      </c>
      <c r="C75" s="129">
        <f>SUM(C76:C77)</f>
        <v>289331423</v>
      </c>
    </row>
    <row r="76" spans="1:3" s="53" customFormat="1" ht="12" customHeight="1">
      <c r="A76" s="218" t="s">
        <v>289</v>
      </c>
      <c r="B76" s="204" t="s">
        <v>267</v>
      </c>
      <c r="C76" s="133">
        <v>289331423</v>
      </c>
    </row>
    <row r="77" spans="1:3" s="53" customFormat="1" ht="12" customHeight="1" thickBot="1">
      <c r="A77" s="220" t="s">
        <v>290</v>
      </c>
      <c r="B77" s="206" t="s">
        <v>268</v>
      </c>
      <c r="C77" s="133"/>
    </row>
    <row r="78" spans="1:3" s="52" customFormat="1" ht="12" customHeight="1" thickBot="1">
      <c r="A78" s="221" t="s">
        <v>269</v>
      </c>
      <c r="B78" s="124" t="s">
        <v>270</v>
      </c>
      <c r="C78" s="129">
        <f>SUM(C79:C81)</f>
        <v>0</v>
      </c>
    </row>
    <row r="79" spans="1:3" s="53" customFormat="1" ht="12" customHeight="1">
      <c r="A79" s="218" t="s">
        <v>291</v>
      </c>
      <c r="B79" s="204" t="s">
        <v>271</v>
      </c>
      <c r="C79" s="133"/>
    </row>
    <row r="80" spans="1:3" s="53" customFormat="1" ht="12" customHeight="1">
      <c r="A80" s="219" t="s">
        <v>292</v>
      </c>
      <c r="B80" s="205" t="s">
        <v>272</v>
      </c>
      <c r="C80" s="133"/>
    </row>
    <row r="81" spans="1:3" s="53" customFormat="1" ht="12" customHeight="1" thickBot="1">
      <c r="A81" s="220" t="s">
        <v>293</v>
      </c>
      <c r="B81" s="206" t="s">
        <v>273</v>
      </c>
      <c r="C81" s="133"/>
    </row>
    <row r="82" spans="1:3" s="53" customFormat="1" ht="12" customHeight="1" thickBot="1">
      <c r="A82" s="221" t="s">
        <v>274</v>
      </c>
      <c r="B82" s="124" t="s">
        <v>294</v>
      </c>
      <c r="C82" s="129">
        <f>SUM(C83:C86)</f>
        <v>0</v>
      </c>
    </row>
    <row r="83" spans="1:3" s="53" customFormat="1" ht="12" customHeight="1">
      <c r="A83" s="222" t="s">
        <v>275</v>
      </c>
      <c r="B83" s="204" t="s">
        <v>276</v>
      </c>
      <c r="C83" s="133"/>
    </row>
    <row r="84" spans="1:3" s="53" customFormat="1" ht="12" customHeight="1">
      <c r="A84" s="223" t="s">
        <v>277</v>
      </c>
      <c r="B84" s="205" t="s">
        <v>278</v>
      </c>
      <c r="C84" s="133"/>
    </row>
    <row r="85" spans="1:3" s="53" customFormat="1" ht="12" customHeight="1">
      <c r="A85" s="223" t="s">
        <v>279</v>
      </c>
      <c r="B85" s="205" t="s">
        <v>280</v>
      </c>
      <c r="C85" s="133"/>
    </row>
    <row r="86" spans="1:3" s="52" customFormat="1" ht="12" customHeight="1" thickBot="1">
      <c r="A86" s="224" t="s">
        <v>281</v>
      </c>
      <c r="B86" s="206" t="s">
        <v>282</v>
      </c>
      <c r="C86" s="133"/>
    </row>
    <row r="87" spans="1:3" s="52" customFormat="1" ht="12" customHeight="1" thickBot="1">
      <c r="A87" s="221" t="s">
        <v>283</v>
      </c>
      <c r="B87" s="124" t="s">
        <v>427</v>
      </c>
      <c r="C87" s="231"/>
    </row>
    <row r="88" spans="1:3" s="52" customFormat="1" ht="12" customHeight="1" thickBot="1">
      <c r="A88" s="221" t="s">
        <v>480</v>
      </c>
      <c r="B88" s="124" t="s">
        <v>284</v>
      </c>
      <c r="C88" s="231"/>
    </row>
    <row r="89" spans="1:3" s="52" customFormat="1" ht="12" customHeight="1" thickBot="1">
      <c r="A89" s="221" t="s">
        <v>481</v>
      </c>
      <c r="B89" s="211" t="s">
        <v>428</v>
      </c>
      <c r="C89" s="134">
        <f>+C66+C70+C75+C78+C82+C88+C87</f>
        <v>433431423</v>
      </c>
    </row>
    <row r="90" spans="1:3" s="52" customFormat="1" ht="12" customHeight="1" thickBot="1">
      <c r="A90" s="225" t="s">
        <v>482</v>
      </c>
      <c r="B90" s="212" t="s">
        <v>483</v>
      </c>
      <c r="C90" s="134">
        <f>+C65+C89</f>
        <v>2648374299</v>
      </c>
    </row>
    <row r="91" spans="1:3" s="53" customFormat="1" ht="15" customHeight="1" thickBot="1">
      <c r="A91" s="108"/>
      <c r="B91" s="109"/>
      <c r="C91" s="187"/>
    </row>
    <row r="92" spans="1:3" s="45" customFormat="1" ht="16.5" customHeight="1" thickBot="1">
      <c r="A92" s="110"/>
      <c r="B92" s="111" t="s">
        <v>65</v>
      </c>
      <c r="C92" s="188"/>
    </row>
    <row r="93" spans="1:3" s="54" customFormat="1" ht="12" customHeight="1" thickBot="1">
      <c r="A93" s="196" t="s">
        <v>28</v>
      </c>
      <c r="B93" s="26" t="s">
        <v>494</v>
      </c>
      <c r="C93" s="128">
        <f>+C94+C95+C96+C97+C98+C111</f>
        <v>1098801684</v>
      </c>
    </row>
    <row r="94" spans="1:3" ht="12" customHeight="1">
      <c r="A94" s="226" t="s">
        <v>101</v>
      </c>
      <c r="B94" s="9" t="s">
        <v>58</v>
      </c>
      <c r="C94" s="404">
        <f>25364000+485000+6010000+3749000+165142000+48000+105000+8381882+232903371-282000+589000+24000+281000+326126+85501355</f>
        <v>528627734</v>
      </c>
    </row>
    <row r="95" spans="1:3" ht="12" customHeight="1">
      <c r="A95" s="219" t="s">
        <v>102</v>
      </c>
      <c r="B95" s="7" t="s">
        <v>149</v>
      </c>
      <c r="C95" s="133">
        <f>5239000+143000+1233000+14000+1652000+19299000+10000+23000+922005+25618911-63900+117000+10800+31000+35874+9405149</f>
        <v>63689839</v>
      </c>
    </row>
    <row r="96" spans="1:3" ht="12" customHeight="1">
      <c r="A96" s="219" t="s">
        <v>103</v>
      </c>
      <c r="B96" s="7" t="s">
        <v>124</v>
      </c>
      <c r="C96" s="193">
        <f>11475000+835000+4801000+2722822+944166+8715000+1817000+17736000+735000+300000+8485000+34925000+628800+40773000+3429000+11212000+576000+3351000+1682000+16980000+46750042+1200000+4573000+1350000+376000+36794904+295900+401000+20000+812000+400000+411000+1982000+1600000+270000+26600000+3939600-8488680</f>
        <v>291409554</v>
      </c>
    </row>
    <row r="97" spans="1:3" ht="12" customHeight="1">
      <c r="A97" s="219" t="s">
        <v>104</v>
      </c>
      <c r="B97" s="10" t="s">
        <v>150</v>
      </c>
      <c r="C97" s="193">
        <f>70980000</f>
        <v>70980000</v>
      </c>
    </row>
    <row r="98" spans="1:3" ht="12" customHeight="1">
      <c r="A98" s="219" t="s">
        <v>115</v>
      </c>
      <c r="B98" s="18" t="s">
        <v>151</v>
      </c>
      <c r="C98" s="193">
        <f>SUM(C99:C110)</f>
        <v>40666500</v>
      </c>
    </row>
    <row r="99" spans="1:3" ht="12" customHeight="1">
      <c r="A99" s="219" t="s">
        <v>105</v>
      </c>
      <c r="B99" s="7" t="s">
        <v>484</v>
      </c>
      <c r="C99" s="193">
        <v>1500</v>
      </c>
    </row>
    <row r="100" spans="1:3" ht="12" customHeight="1">
      <c r="A100" s="219" t="s">
        <v>106</v>
      </c>
      <c r="B100" s="80" t="s">
        <v>432</v>
      </c>
      <c r="C100" s="193"/>
    </row>
    <row r="101" spans="1:3" ht="12" customHeight="1">
      <c r="A101" s="219" t="s">
        <v>116</v>
      </c>
      <c r="B101" s="80" t="s">
        <v>433</v>
      </c>
      <c r="C101" s="193"/>
    </row>
    <row r="102" spans="1:3" ht="12" customHeight="1">
      <c r="A102" s="219" t="s">
        <v>117</v>
      </c>
      <c r="B102" s="80" t="s">
        <v>300</v>
      </c>
      <c r="C102" s="193"/>
    </row>
    <row r="103" spans="1:3" ht="12" customHeight="1">
      <c r="A103" s="219" t="s">
        <v>118</v>
      </c>
      <c r="B103" s="81" t="s">
        <v>301</v>
      </c>
      <c r="C103" s="193"/>
    </row>
    <row r="104" spans="1:3" ht="12" customHeight="1">
      <c r="A104" s="219" t="s">
        <v>119</v>
      </c>
      <c r="B104" s="81" t="s">
        <v>302</v>
      </c>
      <c r="C104" s="193"/>
    </row>
    <row r="105" spans="1:3" ht="12" customHeight="1">
      <c r="A105" s="219" t="s">
        <v>121</v>
      </c>
      <c r="B105" s="80" t="s">
        <v>303</v>
      </c>
      <c r="C105" s="193"/>
    </row>
    <row r="106" spans="1:3" ht="12" customHeight="1">
      <c r="A106" s="219" t="s">
        <v>152</v>
      </c>
      <c r="B106" s="80" t="s">
        <v>304</v>
      </c>
      <c r="C106" s="193"/>
    </row>
    <row r="107" spans="1:3" ht="12" customHeight="1">
      <c r="A107" s="219" t="s">
        <v>298</v>
      </c>
      <c r="B107" s="81" t="s">
        <v>305</v>
      </c>
      <c r="C107" s="193"/>
    </row>
    <row r="108" spans="1:3" ht="12" customHeight="1">
      <c r="A108" s="227" t="s">
        <v>299</v>
      </c>
      <c r="B108" s="82" t="s">
        <v>306</v>
      </c>
      <c r="C108" s="193"/>
    </row>
    <row r="109" spans="1:3" ht="12" customHeight="1">
      <c r="A109" s="219" t="s">
        <v>434</v>
      </c>
      <c r="B109" s="82" t="s">
        <v>307</v>
      </c>
      <c r="C109" s="193"/>
    </row>
    <row r="110" spans="1:3" ht="12" customHeight="1">
      <c r="A110" s="219" t="s">
        <v>435</v>
      </c>
      <c r="B110" s="81" t="s">
        <v>308</v>
      </c>
      <c r="C110" s="133">
        <f>536000+11389000+8562000+16678000+3500000</f>
        <v>40665000</v>
      </c>
    </row>
    <row r="111" spans="1:3" ht="12" customHeight="1">
      <c r="A111" s="219" t="s">
        <v>436</v>
      </c>
      <c r="B111" s="10" t="s">
        <v>59</v>
      </c>
      <c r="C111" s="133">
        <f>C112+C113</f>
        <v>103428057</v>
      </c>
    </row>
    <row r="112" spans="1:3" ht="12" customHeight="1">
      <c r="A112" s="220" t="s">
        <v>437</v>
      </c>
      <c r="B112" s="7" t="s">
        <v>485</v>
      </c>
      <c r="C112" s="193">
        <f>20000000-9172313</f>
        <v>10827687</v>
      </c>
    </row>
    <row r="113" spans="1:3" ht="12" customHeight="1" thickBot="1">
      <c r="A113" s="228" t="s">
        <v>439</v>
      </c>
      <c r="B113" s="83" t="s">
        <v>486</v>
      </c>
      <c r="C113" s="415">
        <f>110613300+500000-8373330-1600000-8539600</f>
        <v>92600370</v>
      </c>
    </row>
    <row r="114" spans="1:3" ht="12" customHeight="1" thickBot="1">
      <c r="A114" s="27" t="s">
        <v>29</v>
      </c>
      <c r="B114" s="25" t="s">
        <v>309</v>
      </c>
      <c r="C114" s="129">
        <f>+C115+C117+C119</f>
        <v>184240856</v>
      </c>
    </row>
    <row r="115" spans="1:3" ht="12" customHeight="1">
      <c r="A115" s="218" t="s">
        <v>107</v>
      </c>
      <c r="B115" s="7" t="s">
        <v>171</v>
      </c>
      <c r="C115" s="230">
        <f>6621000+2963001+787402+10624171+3081125+300001+529000+1654000+447000+2237000+90200+6604000+301000+204000+15179276+979170</f>
        <v>52601346</v>
      </c>
    </row>
    <row r="116" spans="1:3" ht="12" customHeight="1">
      <c r="A116" s="218" t="s">
        <v>108</v>
      </c>
      <c r="B116" s="11" t="s">
        <v>313</v>
      </c>
      <c r="C116" s="230">
        <v>14492698</v>
      </c>
    </row>
    <row r="117" spans="1:3" ht="12" customHeight="1">
      <c r="A117" s="218" t="s">
        <v>109</v>
      </c>
      <c r="B117" s="11" t="s">
        <v>153</v>
      </c>
      <c r="C117" s="133">
        <f>53340000+21000000+1513000+2996000+809000+7509510</f>
        <v>87167510</v>
      </c>
    </row>
    <row r="118" spans="1:3" ht="12" customHeight="1">
      <c r="A118" s="218" t="s">
        <v>110</v>
      </c>
      <c r="B118" s="11" t="s">
        <v>314</v>
      </c>
      <c r="C118" s="385">
        <v>53340000</v>
      </c>
    </row>
    <row r="119" spans="1:3" ht="12" customHeight="1">
      <c r="A119" s="218" t="s">
        <v>111</v>
      </c>
      <c r="B119" s="126" t="s">
        <v>173</v>
      </c>
      <c r="C119" s="385">
        <f>SUM(C120:C127)</f>
        <v>44472000</v>
      </c>
    </row>
    <row r="120" spans="1:3" ht="12" customHeight="1">
      <c r="A120" s="218" t="s">
        <v>120</v>
      </c>
      <c r="B120" s="125" t="s">
        <v>358</v>
      </c>
      <c r="C120" s="116"/>
    </row>
    <row r="121" spans="1:3" ht="12" customHeight="1">
      <c r="A121" s="218" t="s">
        <v>122</v>
      </c>
      <c r="B121" s="200" t="s">
        <v>319</v>
      </c>
      <c r="C121" s="116"/>
    </row>
    <row r="122" spans="1:3" ht="12" customHeight="1">
      <c r="A122" s="218" t="s">
        <v>154</v>
      </c>
      <c r="B122" s="81" t="s">
        <v>302</v>
      </c>
      <c r="C122" s="116"/>
    </row>
    <row r="123" spans="1:3" ht="12" customHeight="1">
      <c r="A123" s="218" t="s">
        <v>155</v>
      </c>
      <c r="B123" s="81" t="s">
        <v>318</v>
      </c>
      <c r="C123" s="116"/>
    </row>
    <row r="124" spans="1:3" ht="12" customHeight="1">
      <c r="A124" s="218" t="s">
        <v>156</v>
      </c>
      <c r="B124" s="81" t="s">
        <v>317</v>
      </c>
      <c r="C124" s="116"/>
    </row>
    <row r="125" spans="1:3" ht="12" customHeight="1">
      <c r="A125" s="218" t="s">
        <v>310</v>
      </c>
      <c r="B125" s="81" t="s">
        <v>305</v>
      </c>
      <c r="C125" s="116"/>
    </row>
    <row r="126" spans="1:3" ht="12" customHeight="1">
      <c r="A126" s="218" t="s">
        <v>311</v>
      </c>
      <c r="B126" s="81" t="s">
        <v>316</v>
      </c>
      <c r="C126" s="116"/>
    </row>
    <row r="127" spans="1:3" ht="12" customHeight="1" thickBot="1">
      <c r="A127" s="227" t="s">
        <v>312</v>
      </c>
      <c r="B127" s="81" t="s">
        <v>315</v>
      </c>
      <c r="C127" s="397">
        <f>42072000+2400000</f>
        <v>44472000</v>
      </c>
    </row>
    <row r="128" spans="1:3" ht="12" customHeight="1" thickBot="1">
      <c r="A128" s="27" t="s">
        <v>30</v>
      </c>
      <c r="B128" s="77" t="s">
        <v>441</v>
      </c>
      <c r="C128" s="129">
        <f>+C93+C114</f>
        <v>1283042540</v>
      </c>
    </row>
    <row r="129" spans="1:3" ht="12" customHeight="1" thickBot="1">
      <c r="A129" s="27" t="s">
        <v>31</v>
      </c>
      <c r="B129" s="77" t="s">
        <v>442</v>
      </c>
      <c r="C129" s="129">
        <f>+C130+C131+C132</f>
        <v>103161000</v>
      </c>
    </row>
    <row r="130" spans="1:3" s="54" customFormat="1" ht="12" customHeight="1">
      <c r="A130" s="218" t="s">
        <v>210</v>
      </c>
      <c r="B130" s="8" t="s">
        <v>487</v>
      </c>
      <c r="C130" s="385">
        <v>3161000</v>
      </c>
    </row>
    <row r="131" spans="1:3" ht="12" customHeight="1">
      <c r="A131" s="218" t="s">
        <v>213</v>
      </c>
      <c r="B131" s="8" t="s">
        <v>444</v>
      </c>
      <c r="C131" s="116">
        <v>100000000</v>
      </c>
    </row>
    <row r="132" spans="1:3" ht="12" customHeight="1" thickBot="1">
      <c r="A132" s="227" t="s">
        <v>214</v>
      </c>
      <c r="B132" s="6" t="s">
        <v>488</v>
      </c>
      <c r="C132" s="116"/>
    </row>
    <row r="133" spans="1:3" ht="12" customHeight="1" thickBot="1">
      <c r="A133" s="27" t="s">
        <v>32</v>
      </c>
      <c r="B133" s="77" t="s">
        <v>446</v>
      </c>
      <c r="C133" s="129">
        <f>+C134+C135+C136+C137+C138+C139</f>
        <v>0</v>
      </c>
    </row>
    <row r="134" spans="1:3" ht="12" customHeight="1">
      <c r="A134" s="218" t="s">
        <v>94</v>
      </c>
      <c r="B134" s="8" t="s">
        <v>447</v>
      </c>
      <c r="C134" s="116"/>
    </row>
    <row r="135" spans="1:3" ht="12" customHeight="1">
      <c r="A135" s="218" t="s">
        <v>95</v>
      </c>
      <c r="B135" s="8" t="s">
        <v>448</v>
      </c>
      <c r="C135" s="116"/>
    </row>
    <row r="136" spans="1:3" ht="12" customHeight="1">
      <c r="A136" s="218" t="s">
        <v>96</v>
      </c>
      <c r="B136" s="8" t="s">
        <v>449</v>
      </c>
      <c r="C136" s="116"/>
    </row>
    <row r="137" spans="1:3" ht="12" customHeight="1">
      <c r="A137" s="218" t="s">
        <v>141</v>
      </c>
      <c r="B137" s="8" t="s">
        <v>489</v>
      </c>
      <c r="C137" s="116"/>
    </row>
    <row r="138" spans="1:3" ht="12" customHeight="1">
      <c r="A138" s="218" t="s">
        <v>142</v>
      </c>
      <c r="B138" s="8" t="s">
        <v>451</v>
      </c>
      <c r="C138" s="116"/>
    </row>
    <row r="139" spans="1:3" s="54" customFormat="1" ht="12" customHeight="1" thickBot="1">
      <c r="A139" s="227" t="s">
        <v>143</v>
      </c>
      <c r="B139" s="6" t="s">
        <v>452</v>
      </c>
      <c r="C139" s="116"/>
    </row>
    <row r="140" spans="1:11" ht="12" customHeight="1" thickBot="1">
      <c r="A140" s="27" t="s">
        <v>33</v>
      </c>
      <c r="B140" s="77" t="s">
        <v>490</v>
      </c>
      <c r="C140" s="134">
        <f>+C141+C142+C144+C145+C143</f>
        <v>35164932</v>
      </c>
      <c r="K140" s="115"/>
    </row>
    <row r="141" spans="1:3" ht="12.75">
      <c r="A141" s="218" t="s">
        <v>97</v>
      </c>
      <c r="B141" s="8" t="s">
        <v>320</v>
      </c>
      <c r="C141" s="116"/>
    </row>
    <row r="142" spans="1:3" ht="12" customHeight="1">
      <c r="A142" s="218" t="s">
        <v>98</v>
      </c>
      <c r="B142" s="8" t="s">
        <v>321</v>
      </c>
      <c r="C142" s="116">
        <f>35164932</f>
        <v>35164932</v>
      </c>
    </row>
    <row r="143" spans="1:3" ht="12" customHeight="1">
      <c r="A143" s="218" t="s">
        <v>234</v>
      </c>
      <c r="B143" s="8" t="s">
        <v>491</v>
      </c>
      <c r="C143" s="116"/>
    </row>
    <row r="144" spans="1:3" s="54" customFormat="1" ht="12" customHeight="1">
      <c r="A144" s="218" t="s">
        <v>235</v>
      </c>
      <c r="B144" s="8" t="s">
        <v>454</v>
      </c>
      <c r="C144" s="116"/>
    </row>
    <row r="145" spans="1:3" s="54" customFormat="1" ht="12" customHeight="1" thickBot="1">
      <c r="A145" s="227" t="s">
        <v>236</v>
      </c>
      <c r="B145" s="6" t="s">
        <v>339</v>
      </c>
      <c r="C145" s="116"/>
    </row>
    <row r="146" spans="1:3" s="54" customFormat="1" ht="12" customHeight="1" thickBot="1">
      <c r="A146" s="27" t="s">
        <v>34</v>
      </c>
      <c r="B146" s="77" t="s">
        <v>455</v>
      </c>
      <c r="C146" s="137">
        <f>+C147+C148+C149+C150+C151</f>
        <v>0</v>
      </c>
    </row>
    <row r="147" spans="1:3" s="54" customFormat="1" ht="12" customHeight="1">
      <c r="A147" s="218" t="s">
        <v>99</v>
      </c>
      <c r="B147" s="8" t="s">
        <v>456</v>
      </c>
      <c r="C147" s="116"/>
    </row>
    <row r="148" spans="1:3" s="54" customFormat="1" ht="12" customHeight="1">
      <c r="A148" s="218" t="s">
        <v>100</v>
      </c>
      <c r="B148" s="8" t="s">
        <v>457</v>
      </c>
      <c r="C148" s="116"/>
    </row>
    <row r="149" spans="1:3" s="54" customFormat="1" ht="12" customHeight="1">
      <c r="A149" s="218" t="s">
        <v>246</v>
      </c>
      <c r="B149" s="8" t="s">
        <v>458</v>
      </c>
      <c r="C149" s="116"/>
    </row>
    <row r="150" spans="1:3" s="54" customFormat="1" ht="12" customHeight="1">
      <c r="A150" s="218" t="s">
        <v>247</v>
      </c>
      <c r="B150" s="8" t="s">
        <v>492</v>
      </c>
      <c r="C150" s="116"/>
    </row>
    <row r="151" spans="1:3" ht="12.75" customHeight="1" thickBot="1">
      <c r="A151" s="227" t="s">
        <v>460</v>
      </c>
      <c r="B151" s="6" t="s">
        <v>461</v>
      </c>
      <c r="C151" s="117"/>
    </row>
    <row r="152" spans="1:3" ht="12.75" customHeight="1" thickBot="1">
      <c r="A152" s="381" t="s">
        <v>35</v>
      </c>
      <c r="B152" s="77" t="s">
        <v>462</v>
      </c>
      <c r="C152" s="137"/>
    </row>
    <row r="153" spans="1:3" ht="12.75" customHeight="1" thickBot="1">
      <c r="A153" s="381" t="s">
        <v>36</v>
      </c>
      <c r="B153" s="77" t="s">
        <v>463</v>
      </c>
      <c r="C153" s="137"/>
    </row>
    <row r="154" spans="1:3" ht="12" customHeight="1" thickBot="1">
      <c r="A154" s="27" t="s">
        <v>37</v>
      </c>
      <c r="B154" s="77" t="s">
        <v>464</v>
      </c>
      <c r="C154" s="214">
        <f>+C129+C133+C140+C146+C152+C153</f>
        <v>138325932</v>
      </c>
    </row>
    <row r="155" spans="1:3" ht="15" customHeight="1" thickBot="1">
      <c r="A155" s="229" t="s">
        <v>38</v>
      </c>
      <c r="B155" s="189" t="s">
        <v>465</v>
      </c>
      <c r="C155" s="214">
        <f>+C128+C154</f>
        <v>1421368472</v>
      </c>
    </row>
    <row r="156" ht="13.5" thickBot="1"/>
    <row r="157" spans="1:3" ht="15" customHeight="1" thickBot="1">
      <c r="A157" s="112" t="s">
        <v>493</v>
      </c>
      <c r="B157" s="113"/>
      <c r="C157" s="76">
        <v>3</v>
      </c>
    </row>
    <row r="158" spans="1:3" ht="14.25" customHeight="1" thickBot="1">
      <c r="A158" s="112" t="s">
        <v>166</v>
      </c>
      <c r="B158" s="113"/>
      <c r="C158" s="76">
        <v>754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12/2017.(IV.11.)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2017-04-10T11:17:55Z</cp:lastPrinted>
  <dcterms:created xsi:type="dcterms:W3CDTF">1999-10-30T10:30:45Z</dcterms:created>
  <dcterms:modified xsi:type="dcterms:W3CDTF">2017-04-10T14:21:04Z</dcterms:modified>
  <cp:category/>
  <cp:version/>
  <cp:contentType/>
  <cp:contentStatus/>
</cp:coreProperties>
</file>