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865" firstSheet="12" activeTab="22"/>
  </bookViews>
  <sheets>
    <sheet name="5. melléklet" sheetId="1" r:id="rId1"/>
    <sheet name="5.1. Adósság" sheetId="2" r:id="rId2"/>
    <sheet name="5.1 D" sheetId="3" r:id="rId3"/>
    <sheet name="5.1 FT, MT" sheetId="4" r:id="rId4"/>
    <sheet name="5.1 Évenként" sheetId="5" r:id="rId5"/>
    <sheet name="5.2.Városüzem" sheetId="6" r:id="rId6"/>
    <sheet name="5.3. Zöldterületi kiadások" sheetId="7" r:id="rId7"/>
    <sheet name="5.4. Beruházás" sheetId="8" r:id="rId8"/>
    <sheet name="5.5. Lakásalap" sheetId="9" r:id="rId9"/>
    <sheet name="5.6. Városrendezési tervek" sheetId="10" r:id="rId10"/>
    <sheet name="5.7. Kertség" sheetId="11" r:id="rId11"/>
    <sheet name="5.8. Egészségügyi" sheetId="12" r:id="rId12"/>
    <sheet name="5.9. Népjólét" sheetId="13" r:id="rId13"/>
    <sheet name="5.10. Sportfeladatok" sheetId="14" r:id="rId14"/>
    <sheet name="5.11. Szoc" sheetId="15" r:id="rId15"/>
    <sheet name="5.12. Közművelődés" sheetId="16" r:id="rId16"/>
    <sheet name="5.13. Támogatások" sheetId="17" r:id="rId17"/>
    <sheet name="5.14. Egyéb kiadások" sheetId="18" r:id="rId18"/>
    <sheet name="5.15. Városmarketing" sheetId="19" r:id="rId19"/>
    <sheet name="5.16. Nemzetközi pályázatok" sheetId="20" r:id="rId20"/>
    <sheet name="5.17. Vagyon" sheetId="21" r:id="rId21"/>
    <sheet name="5.18. Nemzetiség" sheetId="22" r:id="rId22"/>
    <sheet name="5.19. Céltartalék" sheetId="23" r:id="rId23"/>
  </sheets>
  <externalReferences>
    <externalReference r:id="rId26"/>
    <externalReference r:id="rId27"/>
  </externalReferences>
  <definedNames>
    <definedName name="Excel_BuiltIn_Print_Area" localSheetId="2">'5.1 D'!$A$1:$N$18</definedName>
    <definedName name="Excel_BuiltIn_Print_Area" localSheetId="1">'5.1. Adósság'!$A$1:$Q$25</definedName>
    <definedName name="Excel_BuiltIn_Print_Area" localSheetId="13">'5.10. Sportfeladatok'!$A$1:$L$23</definedName>
    <definedName name="Excel_BuiltIn_Print_Area" localSheetId="15">'5.12. Közművelődés'!$A$1:$M$46</definedName>
    <definedName name="Excel_BuiltIn_Print_Area" localSheetId="16">'5.13. Támogatások'!$A$1:$M$51</definedName>
    <definedName name="Excel_BuiltIn_Print_Area" localSheetId="17">'5.14. Egyéb kiadások'!$A$1:$L$39</definedName>
    <definedName name="Excel_BuiltIn_Print_Area" localSheetId="19">'5.16. Nemzetközi pályázatok'!$A$1:$L$32</definedName>
    <definedName name="Excel_BuiltIn_Print_Area" localSheetId="21">'5.18. Nemzetiség'!$A$1:$L$20</definedName>
    <definedName name="Excel_BuiltIn_Print_Area" localSheetId="5">'5.2.Városüzem'!$A$1:$L$50</definedName>
    <definedName name="Excel_BuiltIn_Print_Area" localSheetId="8">'5.5. Lakásalap'!$A$1:$L$20</definedName>
    <definedName name="Excel_BuiltIn_Print_Area" localSheetId="10">'5.7. Kertség'!$A$1:$M$41</definedName>
    <definedName name="Excel_BuiltIn_Print_Area" localSheetId="11">'5.8. Egészségügyi'!$A$1:$L$20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21">(#REF!,#REF!)</definedName>
    <definedName name="Excel_BuiltIn_Print_Titles_5_1_1" localSheetId="22">(#REF!,#REF!)</definedName>
    <definedName name="Excel_BuiltIn_Print_Titles_5_1_1" localSheetId="5">(#REF!,#REF!)</definedName>
    <definedName name="Excel_BuiltIn_Print_Titles_5_1_1" localSheetId="7">(#REF!,#REF!)</definedName>
    <definedName name="Excel_BuiltIn_Print_Titles_5_1_1" localSheetId="8">(#REF!,#REF!)</definedName>
    <definedName name="Excel_BuiltIn_Print_Titles_5_1_1" localSheetId="10">(#REF!,#REF!)</definedName>
    <definedName name="Excel_BuiltIn_Print_Titles_5_1_1" localSheetId="11">(#REF!,#REF!)</definedName>
    <definedName name="Excel_BuiltIn_Print_Titles_5_1_1" localSheetId="12">(#REF!,#REF!)</definedName>
    <definedName name="_xlnm.Print_Titles" localSheetId="0">'5. melléklet'!$5:$9</definedName>
    <definedName name="_xlnm.Print_Area" localSheetId="0">'5. melléklet'!$A$1:$U$121</definedName>
    <definedName name="_xlnm.Print_Area" localSheetId="2">'5.1 D'!$A$1:$R$18</definedName>
    <definedName name="_xlnm.Print_Area" localSheetId="4">'5.1 Évenként'!$A$1:$AQ$19</definedName>
    <definedName name="_xlnm.Print_Area" localSheetId="3">'5.1 FT, MT'!$A$1:$X$20</definedName>
    <definedName name="_xlnm.Print_Area" localSheetId="1">'5.1. Adósság'!$A$1:$Y$26</definedName>
    <definedName name="_xlnm.Print_Area" localSheetId="13">'5.10. Sportfeladatok'!$A$1:$U$23</definedName>
    <definedName name="_xlnm.Print_Area" localSheetId="14">'5.11. Szoc'!$A$1:$V$28</definedName>
    <definedName name="_xlnm.Print_Area" localSheetId="15">'5.12. Közművelődés'!$A$1:$V$46</definedName>
    <definedName name="_xlnm.Print_Area" localSheetId="16">'5.13. Támogatások'!$A$1:$V$50</definedName>
    <definedName name="_xlnm.Print_Area" localSheetId="17">'5.14. Egyéb kiadások'!$A$1:$U$39</definedName>
    <definedName name="_xlnm.Print_Area" localSheetId="18">'5.15. Városmarketing'!$A$1:$U$24</definedName>
    <definedName name="_xlnm.Print_Area" localSheetId="19">'5.16. Nemzetközi pályázatok'!$A$1:$U$32</definedName>
    <definedName name="_xlnm.Print_Area" localSheetId="20">'5.17. Vagyon'!$A$1:$U$32</definedName>
    <definedName name="_xlnm.Print_Area" localSheetId="21">'5.18. Nemzetiség'!$A$1:$U$20</definedName>
    <definedName name="_xlnm.Print_Area" localSheetId="22">'5.19. Céltartalék'!$A$1:$U$23</definedName>
    <definedName name="_xlnm.Print_Area" localSheetId="5">'5.2.Városüzem'!$A$1:$U$50</definedName>
    <definedName name="_xlnm.Print_Area" localSheetId="6">'5.3. Zöldterületi kiadások'!$A$1:$U$51</definedName>
    <definedName name="_xlnm.Print_Area" localSheetId="7">'5.4. Beruházás'!$A$1:$V$162</definedName>
    <definedName name="_xlnm.Print_Area" localSheetId="8">'5.5. Lakásalap'!$A$1:$U$20</definedName>
    <definedName name="_xlnm.Print_Area" localSheetId="9">'5.6. Városrendezési tervek'!$A$1:$U$20</definedName>
    <definedName name="_xlnm.Print_Area" localSheetId="10">'5.7. Kertség'!$A$1:$V$41</definedName>
    <definedName name="_xlnm.Print_Area" localSheetId="11">'5.8. Egészségügyi'!$A$1:$U$20</definedName>
    <definedName name="_xlnm.Print_Area" localSheetId="12">'5.9. Népjólét'!$A$1:$U$20</definedName>
  </definedNames>
  <calcPr fullCalcOnLoad="1"/>
</workbook>
</file>

<file path=xl/sharedStrings.xml><?xml version="1.0" encoding="utf-8"?>
<sst xmlns="http://schemas.openxmlformats.org/spreadsheetml/2006/main" count="2670" uniqueCount="1273">
  <si>
    <r>
      <t xml:space="preserve">Az Önkormányzat központi kezelésű feladatai
</t>
    </r>
    <r>
      <rPr>
        <sz val="16"/>
        <rFont val="Arial"/>
        <family val="2"/>
      </rPr>
      <t>(költségvetési szervekhez nem rendelt költségvetési kiadások)</t>
    </r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</si>
  <si>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</si>
  <si>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</si>
  <si>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</si>
  <si>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</si>
  <si>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</si>
  <si>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</si>
  <si>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</si>
  <si>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</si>
  <si>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</si>
  <si>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</si>
  <si>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</si>
  <si>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</si>
  <si>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</si>
  <si>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</si>
  <si>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</si>
  <si>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</si>
  <si>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</si>
  <si>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</si>
  <si>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</si>
  <si>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</si>
  <si>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</si>
  <si>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</si>
  <si>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</si>
  <si>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</si>
  <si>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</si>
  <si>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Eredeti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</si>
  <si>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</si>
  <si>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</si>
  <si>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</si>
  <si>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</si>
  <si>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</si>
  <si>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</si>
  <si>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</si>
  <si>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</si>
  <si>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</si>
  <si>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</si>
  <si>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</si>
  <si>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</si>
  <si>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</si>
  <si>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</si>
  <si>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</si>
  <si>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</si>
  <si>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</si>
  <si>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</si>
  <si>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</si>
  <si>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</si>
  <si>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</si>
  <si>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</si>
  <si>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</si>
  <si>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</si>
  <si>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</si>
  <si>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</si>
  <si>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</si>
  <si>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</si>
  <si>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</si>
  <si>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</si>
  <si>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</si>
  <si>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</si>
  <si>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</si>
  <si>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</si>
  <si>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</si>
  <si>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</si>
  <si>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</si>
  <si>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</si>
  <si>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</si>
  <si>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</si>
  <si>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</si>
  <si>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</si>
  <si>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</si>
  <si>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</si>
  <si>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</si>
  <si>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</si>
  <si>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</si>
  <si>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</si>
  <si>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</si>
  <si>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</si>
  <si>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</si>
  <si>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</si>
  <si>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</si>
  <si>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</si>
  <si>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</si>
  <si>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</si>
  <si>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</si>
  <si>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</si>
  <si>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</si>
  <si>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</si>
  <si>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</si>
  <si>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</si>
  <si>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</si>
  <si>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</si>
  <si>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</si>
  <si>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</si>
  <si>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</si>
  <si>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</si>
  <si>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</si>
  <si>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</si>
  <si>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</si>
  <si>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</si>
  <si>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</si>
  <si>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</si>
  <si>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</si>
  <si>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</si>
  <si>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</si>
  <si>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</si>
  <si>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</si>
  <si>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</si>
  <si>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</si>
  <si>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</si>
  <si>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</si>
  <si>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</si>
  <si>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</si>
  <si>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</si>
  <si>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</si>
  <si>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</si>
  <si>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</si>
  <si>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</si>
  <si>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</si>
  <si>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</si>
  <si>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</si>
  <si>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</si>
  <si>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</si>
  <si>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</si>
  <si>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</si>
  <si>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</si>
  <si>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</si>
  <si>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</si>
  <si>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</si>
  <si>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</si>
  <si>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</si>
  <si>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</si>
  <si>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</si>
  <si>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</si>
  <si>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</si>
  <si>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</si>
  <si>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</si>
  <si>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</si>
  <si>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</si>
  <si>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</si>
  <si>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</si>
  <si>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</si>
  <si>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</si>
  <si>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</si>
  <si>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</si>
  <si>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</si>
  <si>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</si>
  <si>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</si>
  <si>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</si>
  <si>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</si>
  <si>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</si>
  <si>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</si>
  <si>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</si>
  <si>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</si>
  <si>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</si>
  <si>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</si>
  <si>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</si>
  <si>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</si>
  <si>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</si>
  <si>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</si>
  <si>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</si>
  <si>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</si>
  <si>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</si>
  <si>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</si>
  <si>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</si>
  <si>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</si>
  <si>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</si>
  <si>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</si>
  <si>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</si>
  <si>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</si>
  <si>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</si>
  <si>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</si>
  <si>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</si>
  <si>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</si>
  <si>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</si>
  <si>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</si>
  <si>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MINDÖSSZESEN</t>
  </si>
  <si>
    <t>Kötelező feladat összesen</t>
  </si>
  <si>
    <t>Önként vállalt feladat összesen</t>
  </si>
  <si>
    <t>Állami (államigazgatási) feladat összesen</t>
  </si>
  <si>
    <t>Adósságszolgálat</t>
  </si>
  <si>
    <t>(5. melléklet 1. cím részletezése)</t>
  </si>
  <si>
    <t>V</t>
  </si>
  <si>
    <t>W</t>
  </si>
  <si>
    <t>X</t>
  </si>
  <si>
    <t>Y</t>
  </si>
  <si>
    <t>Alcím</t>
  </si>
  <si>
    <t>Jogím</t>
  </si>
  <si>
    <t>Hitelező, kibocsátó neve</t>
  </si>
  <si>
    <t xml:space="preserve">Hitelszerződés megkötésének időpontja </t>
  </si>
  <si>
    <t>Lejárat</t>
  </si>
  <si>
    <t xml:space="preserve">Devizanem </t>
  </si>
  <si>
    <t>Eredeti összege</t>
  </si>
  <si>
    <t>Felvételkori árfolyam</t>
  </si>
  <si>
    <t xml:space="preserve">Kamatfizetés </t>
  </si>
  <si>
    <t xml:space="preserve">Egyéb költségek </t>
  </si>
  <si>
    <t xml:space="preserve">Összesen (tőketörlesztés+
kamatfizetés+
egyéb költség)   </t>
  </si>
  <si>
    <t>I. n.év</t>
  </si>
  <si>
    <t>II. n. év</t>
  </si>
  <si>
    <t>III.n. év</t>
  </si>
  <si>
    <t xml:space="preserve">IV.n.év </t>
  </si>
  <si>
    <t>I-IV.n.év összesen</t>
  </si>
  <si>
    <t>Hosszú lejáratú hitelek</t>
  </si>
  <si>
    <t>HUF</t>
  </si>
  <si>
    <t>1-2-16-3800-0278-8</t>
  </si>
  <si>
    <t>OTP Bank Nyrt.</t>
  </si>
  <si>
    <t>Rövid lejáratú hitelek</t>
  </si>
  <si>
    <t>1.2.1</t>
  </si>
  <si>
    <t>Folyószámla hitel</t>
  </si>
  <si>
    <t>1.2.2</t>
  </si>
  <si>
    <t>Munkabér hitel</t>
  </si>
  <si>
    <t>1.3.1</t>
  </si>
  <si>
    <t>1.4</t>
  </si>
  <si>
    <t>1.4.1</t>
  </si>
  <si>
    <t>Mindösszesen:</t>
  </si>
  <si>
    <t>Dologi kiemelt előirányzat részletezése</t>
  </si>
  <si>
    <t xml:space="preserve">Eredeti összege </t>
  </si>
  <si>
    <t>Tőketörlesztés</t>
  </si>
  <si>
    <t>Kamatfizetés</t>
  </si>
  <si>
    <t>Egyéb költségek</t>
  </si>
  <si>
    <t>1.1.</t>
  </si>
  <si>
    <t>1.2.</t>
  </si>
  <si>
    <t>1.2.1.</t>
  </si>
  <si>
    <t>1.2.2.</t>
  </si>
  <si>
    <t>Egyéb felhalmozási célú kiadások kiemelt előirányzata</t>
  </si>
  <si>
    <t>Egyéb működési célú kiadások előirányzata</t>
  </si>
  <si>
    <t>(4. oldal)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</si>
  <si>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</si>
  <si>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</si>
  <si>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</si>
  <si>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</si>
  <si>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</si>
  <si>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</si>
  <si>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</si>
  <si>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</si>
  <si>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</si>
  <si>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</si>
  <si>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</si>
  <si>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</si>
  <si>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</si>
  <si>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</si>
  <si>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</si>
  <si>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</si>
  <si>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</si>
  <si>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</si>
  <si>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</si>
  <si>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tőke</t>
  </si>
  <si>
    <t>kamat</t>
  </si>
  <si>
    <t>összesen</t>
  </si>
  <si>
    <t>1.1. Hosszú lejáratú hitelek</t>
  </si>
  <si>
    <t>OTP Bank Nyrt. (1 mrd Ft hitel)</t>
  </si>
  <si>
    <t>2016.</t>
  </si>
  <si>
    <t>2017.</t>
  </si>
  <si>
    <t>1.2. Rövid lejáratú hitelek</t>
  </si>
  <si>
    <t xml:space="preserve">folyószámla hitel </t>
  </si>
  <si>
    <t>1.3. Készfizető kezességvállalások:</t>
  </si>
  <si>
    <t>Összesen: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</si>
  <si>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</si>
  <si>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</si>
  <si>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</si>
  <si>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</si>
  <si>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</si>
  <si>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</si>
  <si>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</si>
  <si>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</si>
  <si>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</si>
  <si>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</si>
  <si>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</si>
  <si>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</si>
  <si>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</si>
  <si>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</si>
  <si>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</si>
  <si>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</si>
  <si>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</si>
  <si>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</si>
  <si>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</si>
  <si>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</si>
  <si>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</si>
  <si>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</si>
  <si>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</si>
  <si>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</si>
  <si>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Szökőkutak, csobogók, ivókutak üzemeltetése, felújítása</t>
  </si>
  <si>
    <t>3.1.13</t>
  </si>
  <si>
    <t>Kamerarendszerek üzemeltetése, átépítése, javítása</t>
  </si>
  <si>
    <t>3.1.14</t>
  </si>
  <si>
    <t>Nyilvános WC-k üzemeltetése, felújítása</t>
  </si>
  <si>
    <t>3.1.15</t>
  </si>
  <si>
    <t>Hóeltakarítás (I. és IV. negyedév)</t>
  </si>
  <si>
    <t>3.1.16</t>
  </si>
  <si>
    <t>Útburkolat karbantartás, javítás</t>
  </si>
  <si>
    <t>3.1.17</t>
  </si>
  <si>
    <t>Járdaburkolat javítása</t>
  </si>
  <si>
    <t>3.1.18</t>
  </si>
  <si>
    <t>Jelzőtáblák pótlása, kihelyezése</t>
  </si>
  <si>
    <t>3.1.19</t>
  </si>
  <si>
    <t>Útburkolati jelek felfestése</t>
  </si>
  <si>
    <t>3.1.20</t>
  </si>
  <si>
    <t>3.1.21</t>
  </si>
  <si>
    <t>Közös üzemeltetési díj (MK Np. Zrt.-önkormányzati csomópont)</t>
  </si>
  <si>
    <t>3.1.22</t>
  </si>
  <si>
    <t>Parkolási közszolgáltatás ellátásáért fizetendő költségtérítés</t>
  </si>
  <si>
    <t>3.2.1</t>
  </si>
  <si>
    <t xml:space="preserve">Intézményi lámpatestek bérleti díja </t>
  </si>
  <si>
    <t>3.2.2</t>
  </si>
  <si>
    <t>Egyéb kommunális szolgáltatás</t>
  </si>
  <si>
    <t>3.2.3</t>
  </si>
  <si>
    <t>Kártérítések, megbízások, ügyvédi díjak</t>
  </si>
  <si>
    <t>3.2.4</t>
  </si>
  <si>
    <t>Közterületen okozott károk helyreállítása</t>
  </si>
  <si>
    <t>3.2.5</t>
  </si>
  <si>
    <t>Fedett utasvárók javítása</t>
  </si>
  <si>
    <t>3.2.6</t>
  </si>
  <si>
    <t>Lakott külterületek közlekedési költségei</t>
  </si>
  <si>
    <t>3.2.7</t>
  </si>
  <si>
    <t>Buszöblök és peronok javítása</t>
  </si>
  <si>
    <t>3.2.8</t>
  </si>
  <si>
    <t>Tervezési feladatok</t>
  </si>
  <si>
    <t>3.2.9</t>
  </si>
  <si>
    <t>Előre nem tervezhető közlekedési feladatok</t>
  </si>
  <si>
    <t>3.2.10</t>
  </si>
  <si>
    <t>Új kijelölt gyalogátkelőhelyek kialakítása</t>
  </si>
  <si>
    <t>3.2.11</t>
  </si>
  <si>
    <t>Meglevő kijelölt gyalogosátkelőhelyek megvilágításának felülvizsgálata</t>
  </si>
  <si>
    <t>3.2.12</t>
  </si>
  <si>
    <t>Kerékpár tárolók kihelyezése</t>
  </si>
  <si>
    <t>3.2.13</t>
  </si>
  <si>
    <t>Parkolójavítás</t>
  </si>
  <si>
    <t>Összesen</t>
  </si>
  <si>
    <t>Zöldterületi kiadások</t>
  </si>
  <si>
    <t>(5. melléklet 4.cím részletezése)</t>
  </si>
  <si>
    <t>4.1.1</t>
  </si>
  <si>
    <t>Közhasznú zöldterületek fenntartása</t>
  </si>
  <si>
    <t>4.1.2</t>
  </si>
  <si>
    <t>Automata öntözőrendszerek üzemeltetése</t>
  </si>
  <si>
    <t>4.1.3</t>
  </si>
  <si>
    <t>Nagyerdei Parkerdő vagyonvédelmi feladata</t>
  </si>
  <si>
    <t>4.1.4</t>
  </si>
  <si>
    <t>Növényvédelem</t>
  </si>
  <si>
    <t>4.1.5</t>
  </si>
  <si>
    <t>Játszóterek karbantartása, játszótér üzemeltetés</t>
  </si>
  <si>
    <t>4.1.6</t>
  </si>
  <si>
    <t>Temetők és emlékművek fenntartása</t>
  </si>
  <si>
    <t>4.1.8</t>
  </si>
  <si>
    <t>Patkánymentesítés</t>
  </si>
  <si>
    <t>4.1.9</t>
  </si>
  <si>
    <t>Közkutak üzemeltetése, közüzemi díjak</t>
  </si>
  <si>
    <t>4.1.10</t>
  </si>
  <si>
    <t>Erdőterületek fenntartása, gallyazás, növénytelepítés</t>
  </si>
  <si>
    <t>4.2.1</t>
  </si>
  <si>
    <t>Szúnyogirtás</t>
  </si>
  <si>
    <t>4.2.2</t>
  </si>
  <si>
    <t>4.2.3</t>
  </si>
  <si>
    <t>Tiszta Virágos Debrecenért</t>
  </si>
  <si>
    <t>4.2.4</t>
  </si>
  <si>
    <t>Fasorrekonstrukció</t>
  </si>
  <si>
    <t>4.2.5</t>
  </si>
  <si>
    <t>4.2.6</t>
  </si>
  <si>
    <t>Parktáblázás program</t>
  </si>
  <si>
    <t>4.2.7</t>
  </si>
  <si>
    <t>4.2.8</t>
  </si>
  <si>
    <t>LIFE IP HUNGAirY</t>
  </si>
  <si>
    <t>4.2.9</t>
  </si>
  <si>
    <t>DEHUSZ Nonprofit Kft. közterületi feladataihoz szükséges anyagbeszerzésének támogatása</t>
  </si>
  <si>
    <t>4.2.10</t>
  </si>
  <si>
    <t>4.3.1</t>
  </si>
  <si>
    <t>Beruházási kiadások</t>
  </si>
  <si>
    <t>(5. melléklet 5. cím részletezése)</t>
  </si>
  <si>
    <t>Jogcím</t>
  </si>
  <si>
    <t>TOP-6.1.1-15 Ipari parkok, iparterületek fejlesztése</t>
  </si>
  <si>
    <t xml:space="preserve">TOP-6.1.1-15-DE1-2016-00001 Debrecen déli gazdasági övezet infrastruktúrájának fejlesztése </t>
  </si>
  <si>
    <t>TOP-6.1.3-15 Helyi gazdaságfejlesztés</t>
  </si>
  <si>
    <t>TOP-6.1.3-15-DE1-2016-00001 Szabadtéri piac létesítése a Tócóskertben</t>
  </si>
  <si>
    <t>TOP-6.1.5-15 Gazdaságfejlesztést és a munkaerő mobilitás ösztönzését szolgáló közlekedésfejlesztés</t>
  </si>
  <si>
    <t xml:space="preserve">TOP-6.1.5-15-DE1-2016-00001 Az egykori Magyar Gördülőcsapágy Művek helyén lévő gazdasági terület jobb megközelíthetőségének biztosítása </t>
  </si>
  <si>
    <t>TOP-6.2.1-15 Családbarát, munkába állást segítő intzémyének, közszolgáltatások fejlesztése</t>
  </si>
  <si>
    <t xml:space="preserve"> TOP-6.2.1-15-DE1-2016-00001 A Nagyerdei Óvoda felújítása</t>
  </si>
  <si>
    <t>TOP-6.2.1-15-DE1-2016-00002 A Boldogfalva Óvoda Manninger Gusztáv Utcai Telephelyének felújítása</t>
  </si>
  <si>
    <r>
      <t xml:space="preserve">TOP-6.2.1-15-DE1-2016-00004 A Liget Óvoda </t>
    </r>
    <r>
      <rPr>
        <b/>
        <sz val="18"/>
        <rFont val="Calibri"/>
        <family val="2"/>
      </rPr>
      <t xml:space="preserve">Bartók Béla úti </t>
    </r>
    <r>
      <rPr>
        <sz val="18"/>
        <rFont val="Calibri"/>
        <family val="2"/>
      </rPr>
      <t>székhelyének felújítás</t>
    </r>
  </si>
  <si>
    <r>
      <t xml:space="preserve">TOP-6.2.1-15-DE1-2016-00006 A Liget Óvoda </t>
    </r>
    <r>
      <rPr>
        <b/>
        <sz val="18"/>
        <rFont val="Calibri"/>
        <family val="2"/>
      </rPr>
      <t xml:space="preserve">Babits Mihály Utcai </t>
    </r>
    <r>
      <rPr>
        <sz val="18"/>
        <rFont val="Calibri"/>
        <family val="2"/>
      </rPr>
      <t>Telephelyének felújítása</t>
    </r>
  </si>
  <si>
    <t>TOP-6.2.1-15-DE1-2016-00007 Eszközök beszerzése a Debrecen Megyei Jogú Város Egyesített Bölcsődei Intézménye Faraktár Utcai Tagintézmény és Görgey Utcai Tagintézmény számára</t>
  </si>
  <si>
    <t>TOP-6.2.1-15-DE1-2016-00008  Az Alsójózsai Kerekerdő Óvoda felújítása</t>
  </si>
  <si>
    <t>TOP-6.2.1-15-DE1-2016-00010 Debrecen Megyei Jogú Város Egyesített Bölcsődei Intézmény Ősz Utcai Tagintézmény és a Mosolykert Óvoda felújítása</t>
  </si>
  <si>
    <t>TOP-6.2.1-15-DE1-2016-00011 Debrecen Megyei Jogú Város Egyesített Bölcsődei Intézménye Gáborjáni Szabó Kálmán Utcai Tagintézmény felújítása</t>
  </si>
  <si>
    <t>TOP-6.2.1-15-DE1-2016-00012 Debrecen Megyei Jogú Város Egyesített Bölcsődei Intézménye Karácsony György Utcai Tagintézmény felújítása</t>
  </si>
  <si>
    <t>TOP-6.3.2-15 Zöld város kialakítása</t>
  </si>
  <si>
    <t>TOP-6.3.2.-15-DE1-2016-00001 A Vénkert gazdaságélénkítő környezeti megújítása"</t>
  </si>
  <si>
    <t>TOP-6.3.2.-15-DE1-2016-00002. Debrecen Belvárosának innovatív rekonstrukciója"</t>
  </si>
  <si>
    <t>TOP-6.3.2.-15-DE1-2016-00003 A Dobozi lakótelep gazdaságélénkítő környezeti megújítása"</t>
  </si>
  <si>
    <t>TOP-6.3.2.-15-DE1-2016-00004 A Libakert gazdaságélénkítő környezeti megújítása"</t>
  </si>
  <si>
    <t>TOP-6.3.2.-15-DE1-2016-00005 A Sestakert gazdaságélénkítő környezeti megújítása"</t>
  </si>
  <si>
    <t>TOP-6.3.2.-15-DE1-2016-00006. "Az Újkert gazdaságélénkítő környezeti megújítása"</t>
  </si>
  <si>
    <t>TOP-6.4.1-15 Fenntartható városi közlekedésfejlesztés</t>
  </si>
  <si>
    <t>TOP-6.4.1-15-DE1-2016-00002 A belváros forgalomtechnikájának javítása és kerékpárosbaráttá tétele</t>
  </si>
  <si>
    <t>TOP-6.4.1-15-DE1-2016-00003 Nyugati városrész forgalomszervezése és kerékpárút kialakítása</t>
  </si>
  <si>
    <t>TOP-6.4.1-15-DE1-2016-00004  Északi városrész forgalomszervezése és kerékpárút kialakítása</t>
  </si>
  <si>
    <t>TOP-6.5.1-15 Önkormányzati épületek energetikai korszerűsítése</t>
  </si>
  <si>
    <t>TOP-6.5.1-15-DE1-2016-00004 A Zenede energetikai korszerűsítése</t>
  </si>
  <si>
    <t>TOP-6.5.1-15-DE1-2016-00005 A Lehel Utcai Óvoda épületének energetikai korszerűsítése</t>
  </si>
  <si>
    <t>TOP-6.5.1-15-DE1-2016-00006 A Közép Utcai Óvoda épületének energetikai korszerűsítése</t>
  </si>
  <si>
    <t>TOP-6.5.1-15-DE1-2016-00007 A Lilla Téri Általános Iskola épületének energetikai korszerűsítése</t>
  </si>
  <si>
    <t>TOP-6.5.1-15-DE1-2016-00009 A Gulyás Pál Kollégium épületének energetikai korszerűsítése</t>
  </si>
  <si>
    <t>TOP-6.5.1-15-DE1-2016-00011 A József Attila-telepi Könyvtár épületének energetikai korszerűsítése</t>
  </si>
  <si>
    <t>TOP-6.5.1-15-DE1-2016-00013 Az egykori megyei könyvtár épületének energetikai korszerűsítése</t>
  </si>
  <si>
    <t>TOP-6.5.1-15-DE1-2016-00014 A Boldogfalva Óvoda épületének energetikai korszerűsítése</t>
  </si>
  <si>
    <t>TOP-6.5.1-15-DE1-2016-00015 A Fazekas Mihály Gimnázium Tóth Árpád utcai épületének energetikai korszerűsítése</t>
  </si>
  <si>
    <t>TOP-6.5.1-15-DE1-2016-00017 Az Ondódi Közösségi Ház épületének energetikai korszerűsítése</t>
  </si>
  <si>
    <t>TOP-6.5.1-15-DE1-2016-00018 A Honvéd utcai bölcsöde épületének energetikai korszerűsítése</t>
  </si>
  <si>
    <t>TOP-6.5.1-15-DE1-2016-00019 A Szivárvány Óvoda épületének energetikai korszerűsítése</t>
  </si>
  <si>
    <t>TOP-6.6.1-15-DE1-2016-00001 Debrecen, Füredi út 42. sz. alatti háziorvosi és fogorvosi alapellátás infrastrukturális fejlesztése</t>
  </si>
  <si>
    <t>TOP-6.6.1-15-DE1-2016-00002 Debrecen, Jánosi utca 14. sz. alatti háziorvosi alapellátás infrastrukturális fejlesztése</t>
  </si>
  <si>
    <t>TOP-6.6.1-15-DE1-2016-00003 Debrecen, Böszörményi út 136. sz. alatti házi gyermekorvosi és védőnői ellátás infrastrukturális fejlesztése</t>
  </si>
  <si>
    <t>TOP-6.6.1-15-DE1-2016-00004 Debrecen, Szentgyörgyfalvi utca 7. sz. alatti házi gyermekorvosi és fogorvosi alapellátás infrastrukturális fejlesztése</t>
  </si>
  <si>
    <t>TOP-6.6.1-15-DE1-2016-00005 Debrecen, Híd utca 14. sz. alatti házi gyermekorvosi és védőnői alapellátás infrastrukturális fejlesztése</t>
  </si>
  <si>
    <t>TOP-6.6.1-15-DE1-2016-00006 Debrecen, Szabó Pál utca 61-63. sz. alatti egészségügyi alapellátás infrastrukturális fejlesztése</t>
  </si>
  <si>
    <t>TOP-6.6.1-15-DE1-2016-00007 Debrecen, Víztorony utca 11. sz. alatti gyermekorvosi rendelő és védőnői szolgálat infrastrukturális fejlesztése</t>
  </si>
  <si>
    <t>TOP-6.6.1-15-DE1-2016-00008 Debrecen, Apafi utca 30. sz. alatti háziorvosi rendelő infrastrukturális fejlesztése</t>
  </si>
  <si>
    <t>TOP-6.6.1-15-DE1-2016-00009 Debrecen, Cegléd utca 6. sz. alatti háziorvosi rendelő infrastrukturális fejlesztése</t>
  </si>
  <si>
    <t>TOP-6.6.1-15-DE1-2016-00010 Debrecen, Nagysándor-telepi egészségügyi alapellátás infrastrukturális fejlesztése</t>
  </si>
  <si>
    <t>TOP-6.6.1-15-DE1-2016-00011 Debrecen, Bajcsy-Zsilinszky utca 32. sz. alatti házi gyermekorvosi és védőnői alapellátás infrastrukturális fejlesztése</t>
  </si>
  <si>
    <t>TOP 6.6.2-15-DE1-2016-00001 Családsegítő és Gyermekjóléti Központ infrastrukturális fejlesztése Debrecenben</t>
  </si>
  <si>
    <t>Modern Városok</t>
  </si>
  <si>
    <t xml:space="preserve">Modern Városok Program, Debreceni Nemzetközi Repülőtér technikai fejlesztése </t>
  </si>
  <si>
    <t>Modern Városok Program, Angol nyelvű alap- és középfokú oktatási intézmény létrehozása</t>
  </si>
  <si>
    <t>Modern Városok Program, A debreceni Nagyerdő program befejezése, fürdőfejlesztés</t>
  </si>
  <si>
    <t>Egyéb, nem pályázati forrásból megvalósuló beruházások</t>
  </si>
  <si>
    <t>Térfigyelő kamerarendszer kiépítése Debrecenben</t>
  </si>
  <si>
    <t>Eu-s pályázatokkal kapcsolatban év közben felmerülő költségek</t>
  </si>
  <si>
    <t>Hatósági díjak, beruházásokhoz kapcsolódó közmű számlák</t>
  </si>
  <si>
    <t>Tervezés, szakértés, intézmények állapotfelmérése és tervezési koncepció kialakítása</t>
  </si>
  <si>
    <t>ISPA eszközök felújítása, pótlása</t>
  </si>
  <si>
    <t>Ifjúsági ház előadó terem hangszigetelési és klimatizálási beruházási munkái</t>
  </si>
  <si>
    <t>Önkormányzati tulajdonú épületekkel kapcsolatban az év közben felmerülő kiadások</t>
  </si>
  <si>
    <t>Mobil jégpálya kialakítása</t>
  </si>
  <si>
    <t xml:space="preserve">2-es villamosvonal építése nem támogatott költség </t>
  </si>
  <si>
    <t>IKKK nem támogatott költség</t>
  </si>
  <si>
    <t>Epreskerti Általános iskola tornaterem kivitelezés</t>
  </si>
  <si>
    <t>Honvédtemető emlékhely felújítása</t>
  </si>
  <si>
    <t>Lakossági hozzájárulással megvalósuló közműépítés 25%-os állami támogatás</t>
  </si>
  <si>
    <t>Közlekedési csomópontok és útszakaszok  forgalomtechnikai átalakítása</t>
  </si>
  <si>
    <t>Ady Endre Gimnázium energetikai felújítása - Norvég Alap</t>
  </si>
  <si>
    <t>Hatvani István Általános Iskola energetikai felújítása - Norvég Alap</t>
  </si>
  <si>
    <t>(5. melléklet 6. cím részletezése)</t>
  </si>
  <si>
    <t>6.1.1</t>
  </si>
  <si>
    <t>Önkormányzati tulajdonú társasházi lakások után fizetendő társasházi közös költség</t>
  </si>
  <si>
    <t>6.1.2</t>
  </si>
  <si>
    <t>Panelprogram önkormányzatot terhelő önrésze</t>
  </si>
  <si>
    <t>6.1.3</t>
  </si>
  <si>
    <t>Cívis Ház Zrt. által a lakásértékesítés bevételéből levonható költség</t>
  </si>
  <si>
    <t>6.1.4</t>
  </si>
  <si>
    <t>Önkormányzati tulajdonú lakóingatlanok felújítása</t>
  </si>
  <si>
    <t>6.1.5</t>
  </si>
  <si>
    <t>Bérlakások gázvezeték és gázkészülék műszaki biztonsági felülvizsgálata</t>
  </si>
  <si>
    <t>6.1.6</t>
  </si>
  <si>
    <t>Városrehabilitáció</t>
  </si>
  <si>
    <t>6.1.7</t>
  </si>
  <si>
    <t>Tartalék</t>
  </si>
  <si>
    <t>Kertségi fejlesztési program</t>
  </si>
  <si>
    <t>(5. melléklet 8. cím részletezése)</t>
  </si>
  <si>
    <t>8.2.1</t>
  </si>
  <si>
    <t>Öntözés fejlesztések, meglévő zöldfelületekhez</t>
  </si>
  <si>
    <t>8.2.2</t>
  </si>
  <si>
    <t xml:space="preserve">Bevezető út program 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</si>
  <si>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</si>
  <si>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</si>
  <si>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</si>
  <si>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</si>
  <si>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</si>
  <si>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</si>
  <si>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</si>
  <si>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Közlekedési csomópontok visszaszámláló berendezésének cseréje</t>
  </si>
  <si>
    <t>8.2.7</t>
  </si>
  <si>
    <t>Közvilágítási hálózat bővítése</t>
  </si>
  <si>
    <t>8.2.8</t>
  </si>
  <si>
    <t>Csapadékvíz-elvezető csatornák vízjogi engedélyezése</t>
  </si>
  <si>
    <t>8.2.9</t>
  </si>
  <si>
    <t>8.2.10</t>
  </si>
  <si>
    <t>8.2.11</t>
  </si>
  <si>
    <t>8.2.12</t>
  </si>
  <si>
    <t>Csapadékvíz befogadók rekonstrukciója</t>
  </si>
  <si>
    <t>8.2.13</t>
  </si>
  <si>
    <t>8.2.14</t>
  </si>
  <si>
    <t>Szabó Lőrinc u. szennyvízcsatorna -tervezés</t>
  </si>
  <si>
    <t>8.2.15</t>
  </si>
  <si>
    <t>8.2.16</t>
  </si>
  <si>
    <t>Környezetvédelmi hatósági kötelezések</t>
  </si>
  <si>
    <t>8.2.17</t>
  </si>
  <si>
    <t>Városüzemeltetéshez kapcsolódó beruházási előirányzat</t>
  </si>
  <si>
    <t>8.2.18</t>
  </si>
  <si>
    <t>8.2.19</t>
  </si>
  <si>
    <t>8.2.20</t>
  </si>
  <si>
    <t>TOP-6.1.4-15-DE1-2016-00001 Turisztikai célú kerékpárút fejlesztése Biczó István kert és a Panoráma út között</t>
  </si>
  <si>
    <t>8.2.21</t>
  </si>
  <si>
    <t>TOP-6.1.4-15-DE1-2016-00002 Turisztikai célú kerékpárút fejlesztése Debrecen-Kismacs és a Látóképi tó között</t>
  </si>
  <si>
    <t>8.2.22</t>
  </si>
  <si>
    <t>TOP-6.4.1-15-DE1-2016-00005 Kismacsra vezető kerékpárút kialakítása</t>
  </si>
  <si>
    <t>8.2.23</t>
  </si>
  <si>
    <t>8.2.24</t>
  </si>
  <si>
    <t>8.2.25</t>
  </si>
  <si>
    <t>Önkormányzati forrásból megvalósuló út-, közmű-, járdaépítés</t>
  </si>
  <si>
    <t>Egészségügyi feladatok</t>
  </si>
  <si>
    <t>(5. melléklet 10. cím részletezése)</t>
  </si>
  <si>
    <t>10.1.1</t>
  </si>
  <si>
    <t>Bírósági végzés alapján baleseti járadék</t>
  </si>
  <si>
    <t>10.1.2</t>
  </si>
  <si>
    <t>Foglalkozás-egészségügyi alapszolgáltatás</t>
  </si>
  <si>
    <t>10.1.3</t>
  </si>
  <si>
    <t>10.1.4</t>
  </si>
  <si>
    <t>10.1.5</t>
  </si>
  <si>
    <t>10.1.6</t>
  </si>
  <si>
    <t>Gyógyhely adatok aktualizálása</t>
  </si>
  <si>
    <t>10.2.1</t>
  </si>
  <si>
    <t xml:space="preserve"> </t>
  </si>
  <si>
    <t>Népjóléti feladatok</t>
  </si>
  <si>
    <t>(5. melléklet 11. cím részletezése)</t>
  </si>
  <si>
    <t>11.1.1</t>
  </si>
  <si>
    <t>Ellátási szerződések az önkormányzat által kötelezően ellátandó szociális- és gyermekjóléti feladatokra</t>
  </si>
  <si>
    <t>Hátrányos helyzetű gyermekek hétvégi étkeztetésének megvalósítása a Magyar Máltai Szeretetszolgálat Debreceni Csoportja által</t>
  </si>
  <si>
    <t>11.1.3</t>
  </si>
  <si>
    <t>A szociális és gyermekjóléti intézmények szolgáltatói nyilvántartásba történő bejegyzéséhez, az adatok módosításához, hatósági eljárásokhoz kapcsolódó kiadások</t>
  </si>
  <si>
    <t>Hátrányos helyzetű gyermekek nyári üdültetése</t>
  </si>
  <si>
    <t>11.2.1</t>
  </si>
  <si>
    <t>Bursa Hungarica Felsőoktatási Önkormányzati Ösztöndíjpályázat</t>
  </si>
  <si>
    <t>11.2.2</t>
  </si>
  <si>
    <t>Sportfeladatok és kiemelt sportrendezvények</t>
  </si>
  <si>
    <t>(5. melléklet 12. cím részletezése)</t>
  </si>
  <si>
    <t>12.1.1</t>
  </si>
  <si>
    <t>Diáksport versenyek támogatása</t>
  </si>
  <si>
    <t>12.1.2</t>
  </si>
  <si>
    <t>Szakszövetségi versenyek támogatása</t>
  </si>
  <si>
    <t>12.1.3</t>
  </si>
  <si>
    <t>Kiemelt sportrendezvények szervezése, támogatása</t>
  </si>
  <si>
    <t>12.1.4</t>
  </si>
  <si>
    <t>Szabadidősport</t>
  </si>
  <si>
    <t>12.1.5</t>
  </si>
  <si>
    <t>12.2.1</t>
  </si>
  <si>
    <t>Sportuszoda használat támogatása</t>
  </si>
  <si>
    <t>12.2.2</t>
  </si>
  <si>
    <t>Békessy Béla Sport ösztöndíj</t>
  </si>
  <si>
    <t>12.2.3</t>
  </si>
  <si>
    <t>12.2.4</t>
  </si>
  <si>
    <t>Önkormányzat által folyósított ellátások</t>
  </si>
  <si>
    <t>(5. melléklet 13. cím részletezése)</t>
  </si>
  <si>
    <t>13.1.1</t>
  </si>
  <si>
    <t>Települési támogatás</t>
  </si>
  <si>
    <t>13.1.1.1</t>
  </si>
  <si>
    <t>Lakásfenntartási támogatás</t>
  </si>
  <si>
    <t>13.1.1.2</t>
  </si>
  <si>
    <t>Adósságcsökkentési támogatás</t>
  </si>
  <si>
    <t>13.1.1.3</t>
  </si>
  <si>
    <t>Rendkívüli, időszaki, nevelési támogatás</t>
  </si>
  <si>
    <t>13.1.1.4</t>
  </si>
  <si>
    <t>Temetési támogatás</t>
  </si>
  <si>
    <t>13.1.2</t>
  </si>
  <si>
    <t>Települési támogatás (természetbeni)</t>
  </si>
  <si>
    <t>13.1.2.1</t>
  </si>
  <si>
    <t>Iskolakezdési támogatás</t>
  </si>
  <si>
    <t>13.1.2.2</t>
  </si>
  <si>
    <t>Gyógyszertámogatás</t>
  </si>
  <si>
    <t>13.1.2.3</t>
  </si>
  <si>
    <t>Kelengye támogatás</t>
  </si>
  <si>
    <t>13.1.2.4</t>
  </si>
  <si>
    <t>Rászorultsági térítési díj</t>
  </si>
  <si>
    <t>13.1.3</t>
  </si>
  <si>
    <t>Köztemetés</t>
  </si>
  <si>
    <t>13.1.4</t>
  </si>
  <si>
    <t>Szünidei gyermekétkeztetés</t>
  </si>
  <si>
    <t>13.2.1</t>
  </si>
  <si>
    <t>70 éven felüliek hulladékgazdálkodási közszolgáltatási díjtámogatása</t>
  </si>
  <si>
    <t>13.2.2</t>
  </si>
  <si>
    <t>Gyógyfürdő támogatás</t>
  </si>
  <si>
    <t>13.2.3</t>
  </si>
  <si>
    <t>Tehetséges tanulók támogatása</t>
  </si>
  <si>
    <t>Közművelődési feladatok</t>
  </si>
  <si>
    <t>15.1.1</t>
  </si>
  <si>
    <t>Városi szintű rendezvények, kulturális közösségi programok, városrészi rendezvények</t>
  </si>
  <si>
    <t>15.1.2</t>
  </si>
  <si>
    <t>Szakértők, művészek eseti megbízási díja</t>
  </si>
  <si>
    <t>15.1.3</t>
  </si>
  <si>
    <t xml:space="preserve">Kiadványok és debreceni programajánló támogatása </t>
  </si>
  <si>
    <t>15.1.4</t>
  </si>
  <si>
    <t>15.1.5</t>
  </si>
  <si>
    <t>Kiemelt gyermek- és ifjúsági kulturális rendezvények</t>
  </si>
  <si>
    <t>15.1.6</t>
  </si>
  <si>
    <t>Antal-Lusztig gyűjteménnyel kapcsolatos költségek</t>
  </si>
  <si>
    <t>15.1.7</t>
  </si>
  <si>
    <t>Debreceni Nyári Egyetem támogatása</t>
  </si>
  <si>
    <t>15.1.8</t>
  </si>
  <si>
    <t>Közművelődési támogatások (az ellátatlan városrészek közösségi színtereinek működtetése)</t>
  </si>
  <si>
    <t>15.1.9</t>
  </si>
  <si>
    <t>Kölcsey Ferenc ösztöndíj</t>
  </si>
  <si>
    <t>15.1.10</t>
  </si>
  <si>
    <t>Debreceni Értéktár Bizottság működésével kapcsolatos kiadások</t>
  </si>
  <si>
    <t>15.1.11</t>
  </si>
  <si>
    <t>15.1.12</t>
  </si>
  <si>
    <t>15.1.13</t>
  </si>
  <si>
    <t>15.1.14</t>
  </si>
  <si>
    <t>15.1.15</t>
  </si>
  <si>
    <t>Európa Kulturális Fővárosa Pályázat adminisztrációs költségei</t>
  </si>
  <si>
    <t>Alapítványok önkormányzati támogatása</t>
  </si>
  <si>
    <t>Alföld Alapítvány támogatása</t>
  </si>
  <si>
    <t>Debrecen Kultúrájáért Alapítvány támogatása</t>
  </si>
  <si>
    <t>Őrváros Debrecen Közalapítvány támogatása</t>
  </si>
  <si>
    <t>Tehetséges Debreceni Fiatalokért Közalapítvány támogatása</t>
  </si>
  <si>
    <t>Egyéb alapítványok évközi támogatása</t>
  </si>
  <si>
    <t>Támogatások</t>
  </si>
  <si>
    <t>(5. melléklet 16. cím részletezése)</t>
  </si>
  <si>
    <t>16.1.1</t>
  </si>
  <si>
    <t>Önkormányzati, illetve részben önkormányzati tulajdonban lévő vállalkozások támogatása összesen</t>
  </si>
  <si>
    <t>16.1.1.1</t>
  </si>
  <si>
    <t>16.1.1.3</t>
  </si>
  <si>
    <t>Debreceni Ifjúsági Nonprofit Kft. támogatása</t>
  </si>
  <si>
    <t>16.1.1.4</t>
  </si>
  <si>
    <t>Debreceni Sportcentrum Közhasznú Nonprofit Kft. támogatása</t>
  </si>
  <si>
    <t>16.1.1.5</t>
  </si>
  <si>
    <t>Debreceni Sportcentrum Közhasznú Nonprofit Kft. támogatása (versenysport támogatása)</t>
  </si>
  <si>
    <t>16.1.1.6</t>
  </si>
  <si>
    <t>Debreceni Sportcentrum Közhasznú Nonprofit Kft.  TAO támogatás önrésze</t>
  </si>
  <si>
    <t>16.1.1.7</t>
  </si>
  <si>
    <t>DEHUSZ Nonprofit Kft. támogatása</t>
  </si>
  <si>
    <t>16.1.1.8</t>
  </si>
  <si>
    <t>EDC Debrecen Nonprofit Kft. támogatása</t>
  </si>
  <si>
    <t>16.1.1.9</t>
  </si>
  <si>
    <t>EKF Debrecen 2023 Nonprofit Kft. támogatása</t>
  </si>
  <si>
    <t>16.1.1.10</t>
  </si>
  <si>
    <t>Főnix Rendezvényszervező Közhasznú Nonprofit Kft. támogatása</t>
  </si>
  <si>
    <t>16.1.1.11</t>
  </si>
  <si>
    <t>"NAGYERDEI KULTÚRPARK" Nonprofit Kft. támogatása</t>
  </si>
  <si>
    <t>16.2.1</t>
  </si>
  <si>
    <t>Sportszervezetek támogatásai összesen</t>
  </si>
  <si>
    <t>16.2.1.1</t>
  </si>
  <si>
    <t>16.2.1.2</t>
  </si>
  <si>
    <t>16.2.1.3</t>
  </si>
  <si>
    <t>Debreceni Labdarúgó Akadémia  Nonprofit Kft. TAO támogatás önrésze</t>
  </si>
  <si>
    <t>16.2.1.4</t>
  </si>
  <si>
    <t>DLA Utánpótlás Nevelő Nonprofit Kft. TAO támogatás önrésze</t>
  </si>
  <si>
    <t>16.2.1.5</t>
  </si>
  <si>
    <t>16.2.1.6</t>
  </si>
  <si>
    <t>Debreceni Hoki Klub támogatása</t>
  </si>
  <si>
    <t>16.2.1.7</t>
  </si>
  <si>
    <t>Cívis Póló Vízilabda Sportegyesület támogatása</t>
  </si>
  <si>
    <t>LOKI Focisuli Debrecen KSE támogatása</t>
  </si>
  <si>
    <t>16.2.2</t>
  </si>
  <si>
    <t>Egyéb támogatások</t>
  </si>
  <si>
    <t>16.2.2.1</t>
  </si>
  <si>
    <t>Polgárőr szövetségek támogatása</t>
  </si>
  <si>
    <t>16.2.2.2</t>
  </si>
  <si>
    <t>Térfigyelő rendszer üzemeltetés bérköltségének támogatása</t>
  </si>
  <si>
    <t>16.2.2.3</t>
  </si>
  <si>
    <t>16.2.2.4</t>
  </si>
  <si>
    <t>Nagyerdei Stadion Rekonstrukciós Kft. támogatása</t>
  </si>
  <si>
    <t>16.2.2.5</t>
  </si>
  <si>
    <t>16.2.2.6</t>
  </si>
  <si>
    <t>Kárpátaljai települések és szervezetek támogatása</t>
  </si>
  <si>
    <t>16.2.3</t>
  </si>
  <si>
    <t>Tagdíjak összesen</t>
  </si>
  <si>
    <t>16.2.3.1</t>
  </si>
  <si>
    <t>Megyei Jogú Városok Szövetsége</t>
  </si>
  <si>
    <t>16.2.3.2</t>
  </si>
  <si>
    <t xml:space="preserve">Debreceni Agglomeráció Hulladékgazdálkodási Társulás (hozzájárulás) </t>
  </si>
  <si>
    <t>16.2.3.3</t>
  </si>
  <si>
    <t>Városok-Falvak Szövetsége</t>
  </si>
  <si>
    <t>16.2.3.4</t>
  </si>
  <si>
    <t>Bihari Szilárd Hulladéklerakó és Hasznosító Társulás munkaszervezeti feladatainak ellátásához tagi hozzájárulás</t>
  </si>
  <si>
    <t>16.2.3.5</t>
  </si>
  <si>
    <t>Dél-Nyírség, Erdőspuszták Leader Egyesület</t>
  </si>
  <si>
    <t>16.2.3.6</t>
  </si>
  <si>
    <t>Vásárszövetség tagdíj</t>
  </si>
  <si>
    <t>Egyéb kiadások</t>
  </si>
  <si>
    <t>(5. melléklet 21. cím részletezése)</t>
  </si>
  <si>
    <t>21.1.1</t>
  </si>
  <si>
    <t>Postaköltség</t>
  </si>
  <si>
    <t>21.1.2</t>
  </si>
  <si>
    <t>Számlavezetés költségei</t>
  </si>
  <si>
    <t>21.1.3</t>
  </si>
  <si>
    <t>Áfa befizetés</t>
  </si>
  <si>
    <t>21.1.4</t>
  </si>
  <si>
    <t>21.1.5</t>
  </si>
  <si>
    <t>Megbízási díjak</t>
  </si>
  <si>
    <t>21.1.6</t>
  </si>
  <si>
    <t>21.1.7</t>
  </si>
  <si>
    <t>21.1.8</t>
  </si>
  <si>
    <t>21.1.9</t>
  </si>
  <si>
    <t>Lakossági ivóvíz szolgáltatás támogatása</t>
  </si>
  <si>
    <t>21.1.10</t>
  </si>
  <si>
    <t>Elismerő címek, díjak és kitüntetések</t>
  </si>
  <si>
    <t>21.1.11</t>
  </si>
  <si>
    <t>Normatív állami támogatások elszámolása</t>
  </si>
  <si>
    <t>21.1.12</t>
  </si>
  <si>
    <t xml:space="preserve">Közbeszerzési eljárások közzétételi díja </t>
  </si>
  <si>
    <t>21.1.13</t>
  </si>
  <si>
    <t>Kisgyermekes bérlet kedvezmény bevételkiesésének fedezete</t>
  </si>
  <si>
    <t>21.1.14</t>
  </si>
  <si>
    <t>21.1.15</t>
  </si>
  <si>
    <t>Intézmények részére átadott maradvány</t>
  </si>
  <si>
    <t>21.1.16</t>
  </si>
  <si>
    <t>Széchenyi terves lakások üzemeltetésével kapcsolatos kiadások (pénzforgalom nélküli)</t>
  </si>
  <si>
    <t>21.1.17</t>
  </si>
  <si>
    <t xml:space="preserve">Debreceni Viziközmű Társulat </t>
  </si>
  <si>
    <t>21.1.18</t>
  </si>
  <si>
    <t>Olajfa Lakópark Víziközmű Társulat</t>
  </si>
  <si>
    <t>21.1.19</t>
  </si>
  <si>
    <t>Helyi adóval összefüggő igazgatási és végrehajtási díjak, költségek</t>
  </si>
  <si>
    <t>21.1.20</t>
  </si>
  <si>
    <t>Önkormányzati társasági tulajdonrészekkel kapcsolatos költségek</t>
  </si>
  <si>
    <t>21.1.21</t>
  </si>
  <si>
    <t>Jogi oltalmakhoz kapcsolódó megbízási díjak, és jogi, végrehajtási eljárásokban felmerülő költségek</t>
  </si>
  <si>
    <t>21.1.22</t>
  </si>
  <si>
    <t>Helyi önkormányzatok szolidaritási hozzájárulása</t>
  </si>
  <si>
    <t>21.1.23</t>
  </si>
  <si>
    <t>21.1.24</t>
  </si>
  <si>
    <t>Műsoridő vásárlás</t>
  </si>
  <si>
    <t>Nemzetközi Iskola megvalósítása</t>
  </si>
  <si>
    <t>21.3.1</t>
  </si>
  <si>
    <t>Honvédelem, polgári védelem, katasztrófavédelem</t>
  </si>
  <si>
    <t>Városmarketing feladatok</t>
  </si>
  <si>
    <t>(5. melléklet 22. cím részletezése)</t>
  </si>
  <si>
    <t>22.2.1</t>
  </si>
  <si>
    <t>Média-megjelenések és kiadványok</t>
  </si>
  <si>
    <t>22.2.2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</si>
  <si>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</si>
  <si>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</si>
  <si>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</si>
  <si>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</si>
  <si>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</si>
  <si>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</si>
  <si>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</si>
  <si>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</si>
  <si>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</si>
  <si>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</si>
  <si>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22.2.8</t>
  </si>
  <si>
    <t>22.2.9</t>
  </si>
  <si>
    <t>Nemzetközi kapcsolatok</t>
  </si>
  <si>
    <t>22.2.10</t>
  </si>
  <si>
    <t>Hortobágyi lovasnapok</t>
  </si>
  <si>
    <t>22.2.11</t>
  </si>
  <si>
    <t>Nemzetközi és hazai támogatású pályázatok</t>
  </si>
  <si>
    <t>(5. melléklet 23. cím részletezése)</t>
  </si>
  <si>
    <t>23.1.1</t>
  </si>
  <si>
    <t>TÁMOP 3.1.3. - 11/2-2012-0043 "A természettudományos oktatás megújítása Debrecenben, Öveges program a TÁG-ban"</t>
  </si>
  <si>
    <t>23.1.2</t>
  </si>
  <si>
    <t>TOP-6.8.2-15 Foglalkoztatási paktum kialakítása</t>
  </si>
  <si>
    <t>23.1.3</t>
  </si>
  <si>
    <t>TOP-6.9.1-15 Társadalmi együttműködés erősítés Nagymacs városrészen</t>
  </si>
  <si>
    <t>23.1.4</t>
  </si>
  <si>
    <t>HU11-0002-A1-2013 Egészséges és aktív időskor</t>
  </si>
  <si>
    <t>23.1.5</t>
  </si>
  <si>
    <t>23.1.6</t>
  </si>
  <si>
    <t>Év közben induló pályázatok</t>
  </si>
  <si>
    <t>23.1.7</t>
  </si>
  <si>
    <t>"TTP-KP-1-2017/1-000371 Bethlen Gábor Alap-Debrecen és Salánk kapcsolatépítése</t>
  </si>
  <si>
    <t>Vagyongazdálkodási feladatok</t>
  </si>
  <si>
    <t>(5. melléklet 24. cím részletezése)</t>
  </si>
  <si>
    <t>24.1.1</t>
  </si>
  <si>
    <t>Üzemeltetési költség</t>
  </si>
  <si>
    <t>24.1.2</t>
  </si>
  <si>
    <t xml:space="preserve">Ingatlanértékesítés előkészítése </t>
  </si>
  <si>
    <t>24.1.3</t>
  </si>
  <si>
    <t xml:space="preserve">Önkormányzattal szembeni követelések, kártérítések </t>
  </si>
  <si>
    <t>24.1.4</t>
  </si>
  <si>
    <t>Vagyonkataszter karbantartás</t>
  </si>
  <si>
    <t>24.1.5</t>
  </si>
  <si>
    <t xml:space="preserve">Egyéb vagyonkezelési költség </t>
  </si>
  <si>
    <t>24.1.6</t>
  </si>
  <si>
    <t>Térítési díjak önkormányzati lakások kiürítéséhez</t>
  </si>
  <si>
    <t>24.1.7</t>
  </si>
  <si>
    <t>Stratégiai vagyonalap</t>
  </si>
  <si>
    <t>24.1.8</t>
  </si>
  <si>
    <t>Szabályozási tervi korlátozás, kisajátítás, adásvétel</t>
  </si>
  <si>
    <t>24.1.9</t>
  </si>
  <si>
    <t xml:space="preserve">Ingatlan forgalmi értékének a szabályozási tervi előírások miatti értékcsökkenéséből adódó kártalanítás </t>
  </si>
  <si>
    <t>24.1.10</t>
  </si>
  <si>
    <t xml:space="preserve">Bontási költség </t>
  </si>
  <si>
    <t>24.1.11</t>
  </si>
  <si>
    <t>Színház funkció befogadására létesített ingatlan állagmegóvásával és vagyonvédelmével kapcsolatos kiadások</t>
  </si>
  <si>
    <t>24.1.12</t>
  </si>
  <si>
    <t>Bérleti díj beszámítással végzett beruházások, felújítások elszámolása</t>
  </si>
  <si>
    <t>24.1.13</t>
  </si>
  <si>
    <t>Ingatlancserék</t>
  </si>
  <si>
    <t>24.1.14</t>
  </si>
  <si>
    <t>Felújítások</t>
  </si>
  <si>
    <t>24.1.15</t>
  </si>
  <si>
    <t>Nem lakás célú önkormányzati tulajdonú helyiségek közös költségei</t>
  </si>
  <si>
    <t>24.1.16</t>
  </si>
  <si>
    <t>Riasztórendszerek kiépítése, figyelőszolgáltatása, karbantartása</t>
  </si>
  <si>
    <t>24.1.17</t>
  </si>
  <si>
    <t>24.1.18</t>
  </si>
  <si>
    <t>Stadion lebegő járda földhasználati díj ellentételezése</t>
  </si>
  <si>
    <t>Tócóvölgyi csererdősítés</t>
  </si>
  <si>
    <t>Nemzetiségi Önkormányzatok működési támogatása</t>
  </si>
  <si>
    <t>(5. melléklet 25. cím részletezése)</t>
  </si>
  <si>
    <t>25.2.1</t>
  </si>
  <si>
    <t>DMJV Bolgár Nemzetiségi Önkormányzat működési támogatása</t>
  </si>
  <si>
    <t>25.2.2</t>
  </si>
  <si>
    <t>DMJV Roma Nemzetiségi Önkormányzat működési támogatása</t>
  </si>
  <si>
    <t>25.2.3</t>
  </si>
  <si>
    <t>DMJV Örmény Nemzetiségi Önkormányzat működési támogatása</t>
  </si>
  <si>
    <t>25.2.4</t>
  </si>
  <si>
    <t>DMJV Német Nemzetiségi Önkormányzat működési támogatása</t>
  </si>
  <si>
    <t>25.2.5</t>
  </si>
  <si>
    <t>DMJV Román Nemzetiségi Önkormányzat működési támogatása</t>
  </si>
  <si>
    <t>25.2.6</t>
  </si>
  <si>
    <t>DMJV Ruszin Nemzetiségi  Önkormányzat működési támogatása</t>
  </si>
  <si>
    <t>25.2.7</t>
  </si>
  <si>
    <t>DMJV Görög Nemzetiségi  Önkormányzat működési támogatása</t>
  </si>
  <si>
    <t>Céltartalék</t>
  </si>
  <si>
    <t>(5. melléklet 27. cím részletezése)</t>
  </si>
  <si>
    <t>27.1.1</t>
  </si>
  <si>
    <t>27.1.2</t>
  </si>
  <si>
    <t>27.1.3</t>
  </si>
  <si>
    <t>27.1.4</t>
  </si>
  <si>
    <t>Megyei Könyvtár Kistelepülési könyvtári célú kiegészítő támogatása</t>
  </si>
  <si>
    <t>27.1.5</t>
  </si>
  <si>
    <t>27.1.6</t>
  </si>
  <si>
    <t>27.1.7</t>
  </si>
  <si>
    <t>Költségvetési intézményeket érintő évközi feladatok</t>
  </si>
  <si>
    <t>27.1.8</t>
  </si>
  <si>
    <t>Központi kezelésű feladatok évközi többletfeladatai</t>
  </si>
  <si>
    <t>27.1.9</t>
  </si>
  <si>
    <t>Érdekeltségnövelő támogatás (önrész)</t>
  </si>
  <si>
    <t>27.1.10</t>
  </si>
  <si>
    <t>Kubinyi Ágoston program (önrész)</t>
  </si>
  <si>
    <t>Hajdú-Táncegyüttesért Közhasznú Alapítvány támogatása</t>
  </si>
  <si>
    <t>23.1.8</t>
  </si>
  <si>
    <t>23.1.9</t>
  </si>
  <si>
    <t>23.1.10</t>
  </si>
  <si>
    <t>23.1.11</t>
  </si>
  <si>
    <t>23.1.12</t>
  </si>
  <si>
    <t>23.1.13</t>
  </si>
  <si>
    <t>23.1.14</t>
  </si>
  <si>
    <t>TOP-6.9.2-16-DE1-2017-00006
Helyi közösségfejlesztés Debrecen – Józsa városrészen</t>
  </si>
  <si>
    <t>TOP-6.9.2-16-DE1-2017-00003
Helyi közösségfejlesztés Ondód városrészen</t>
  </si>
  <si>
    <t>TOP-6.9.2-16-DE1-2017-00002
Helyi közösségfejlesztés Bánk városrészen</t>
  </si>
  <si>
    <t>TOP-6.9.2-16-DE1-2017-00001
Helyi közösségfejlesztés Debrecen1 városrészen</t>
  </si>
  <si>
    <t>TOP-6.9.2-16-DE1-2017-00005
Helyi közösségfejlesztés Debrecen2 városrészen</t>
  </si>
  <si>
    <t>TOP-6.9.2-16-DE1-2017-00004
Helyi közösségfejlesztés Debrecen3 városrészen</t>
  </si>
  <si>
    <t>Parkolóalap kiadásai</t>
  </si>
  <si>
    <t>TOP-6.1.5-16-DE1-2017-00005 Debrecen déli gazdasági övezet elérhetőségének javítása</t>
  </si>
  <si>
    <t>TOP-6.1.5-16-DE1-2017-00003 A Köntösgát soron lévő ipari terület elérhetőségének javítása</t>
  </si>
  <si>
    <t>TOP-6.6.2-16-DE1-2017-00001 VSzSz Süveg utcai telephelyének infrastrukturális fejlesztése</t>
  </si>
  <si>
    <t>TOP-6.6.2-16-DE1-2017-00002 Fogyatékos Személyek Ifjúság Utcai Nappali Intézményének infrastrukturális fejlesztése</t>
  </si>
  <si>
    <t>TOP-6.6.2-16-DE1-2017-00003 VSzSz Csapó utcai telephelyének infrastrukturális fejlesztése</t>
  </si>
  <si>
    <t>TOP-6.6.2-16-DE1-2017-00004 VSzSz Pósa utcai telephelyének infrastrukturális fejlesztése</t>
  </si>
  <si>
    <t>TOP-6.6.2-16-DE1-2017-00005 VSzSz Thomas Mann utcai telephelyének infrastrukturális fejlesztése</t>
  </si>
  <si>
    <t>Csokonai Színház és színészház felújítása - Modern Városok Program</t>
  </si>
  <si>
    <t>GZR-T-Ö-2016-0009 "Jedlik Ányos Terv" Elektromos töltőállomás alapján helyi önkormányzatok részére</t>
  </si>
  <si>
    <t>GINOP-7.1.9 Turisztikai Központ-Ötholdas pagonyban</t>
  </si>
  <si>
    <t>Nemzeti Szabadidős-Egészség Sportpark program</t>
  </si>
  <si>
    <t>Gyulai István Atlétikai Stadion és futófolyosó felújítása </t>
  </si>
  <si>
    <t>Rigó Dezső tekecsarnok felújítása, Oláh Gábor u. 5. sz.  </t>
  </si>
  <si>
    <t xml:space="preserve">TOP-6.1.5-16-DE1-2017-00002 Határ úti ipari park elérhetőségének javítása </t>
  </si>
  <si>
    <t>TOP-6.1.5-16-DE1-2017-00001 Innovációs iparterület elérhetőségének javítása</t>
  </si>
  <si>
    <t>8.2.26</t>
  </si>
  <si>
    <t>8.2.27</t>
  </si>
  <si>
    <t>8.2.28</t>
  </si>
  <si>
    <t>2018. évi eredeti előirányzat összege</t>
  </si>
  <si>
    <t>Debreceni Egyetem</t>
  </si>
  <si>
    <t>4.1.11</t>
  </si>
  <si>
    <t>Debrecen közterületein található nyárfa állomány rekonstrukciója I. ütem (Akadémiakert)</t>
  </si>
  <si>
    <t>Helyi közösségi közlekedés 2018. évi állami támogatása</t>
  </si>
  <si>
    <t>First Lego Leauge (FLL)</t>
  </si>
  <si>
    <t>Gladiátors Amerikai Football Csapat támogatása</t>
  </si>
  <si>
    <t>15.1.16</t>
  </si>
  <si>
    <t>Helyi Esélyegyenlőségi Program 2018-2023</t>
  </si>
  <si>
    <t>23.1.15</t>
  </si>
  <si>
    <t>1.1.1.</t>
  </si>
  <si>
    <t>1-2-17-3800-0181-8</t>
  </si>
  <si>
    <t>OTP Bank Nyrt. (3 mrd Ft hitel)</t>
  </si>
  <si>
    <t>Bérkompenzáció 2017. évi elszámolása</t>
  </si>
  <si>
    <t>Bérkompenzáció 2017. évről áthúzódó támogatása</t>
  </si>
  <si>
    <t>Bérkompenzáció 2018. évi különbözete</t>
  </si>
  <si>
    <t>Debreceni Német Kulturális Fórum támogatása</t>
  </si>
  <si>
    <t>Interreg Europe-String projekt</t>
  </si>
  <si>
    <t>23.1.16</t>
  </si>
  <si>
    <t>23.1.17</t>
  </si>
  <si>
    <t>ROHU CBC Incubator</t>
  </si>
  <si>
    <t>ROHU EduCultCentre</t>
  </si>
  <si>
    <t>TOP-6.9.1-16-DE1-2017-00001 Közösségfejlesztő, képzési és felzárkóztató programok megvalósítása a Nagysándortelep-Vulkántelepen városrészen</t>
  </si>
  <si>
    <t>Debreceni Egyetem Kenézy Gyula Egyetemi Kórház által nyújtott egészségügyi alapellátás biztosítása</t>
  </si>
  <si>
    <t>Debreceni Egyetem Kenézy Gyula Egyetemi Kórház által nyújtott egyészségügyi szolgáltatás - a szervezett anyatejgyűjtés-biztosítása</t>
  </si>
  <si>
    <t>Egyéb egészségügyi ellátás</t>
  </si>
  <si>
    <t>Több külterületi telepphellyel rendelkező háziorvosi, házi gyermekorvosi szolgáltató számára a rendelő üzemeltetési költségeinek támogatása</t>
  </si>
  <si>
    <t>Közúti jelzőlámpa üzemeltetése, karbantartása és fejlesztése</t>
  </si>
  <si>
    <t>Gépi, kézi úttisztítás és utcai szemétszállítás, illegális szemétlerakók megszüntetése, lombgyűjtőzsák biztosítása a lakosság részére</t>
  </si>
  <si>
    <t>Kossuth tér - Piac utca díszburkolatának vegyszeres tisztítása</t>
  </si>
  <si>
    <t>Zöldterületi károk helyreállítása</t>
  </si>
  <si>
    <t>Tervezési feladatok, megbízási díjak</t>
  </si>
  <si>
    <t xml:space="preserve">Nádor utcai park rekonstrukciója </t>
  </si>
  <si>
    <t xml:space="preserve">Nagyerdő 2018 program </t>
  </si>
  <si>
    <t>Borbíró tér fejlesztés</t>
  </si>
  <si>
    <t>Városi gyep területek felújítása I. ütem</t>
  </si>
  <si>
    <t>Bevezető út program I. ütem</t>
  </si>
  <si>
    <t>Körutak zöldfelület fejlesztés I. ütem</t>
  </si>
  <si>
    <t>Land art Hallgatói Tábor 2018</t>
  </si>
  <si>
    <t>Városrendezési tervek</t>
  </si>
  <si>
    <t>(5. melléklet 7. cím részletezése)</t>
  </si>
  <si>
    <t>7.1.1</t>
  </si>
  <si>
    <t>7.2.1</t>
  </si>
  <si>
    <t>7.2.2</t>
  </si>
  <si>
    <t>Tanulmánytervek, beépítési tervek készítésének díjazása</t>
  </si>
  <si>
    <t>7.2.3</t>
  </si>
  <si>
    <t>Díjazási-, bíráló bizottsági tiszteletdíjak költségei</t>
  </si>
  <si>
    <t>7.2.4</t>
  </si>
  <si>
    <t>Érdekvédelmi rendelet módosítása</t>
  </si>
  <si>
    <t>7.2.5</t>
  </si>
  <si>
    <t>Műemlékvédelmi alap létrehozása</t>
  </si>
  <si>
    <t>7.2.6</t>
  </si>
  <si>
    <t>Településképi Arculati Kézikönyv szerkesztésével és sokszorosításával kapcsolatos költségek</t>
  </si>
  <si>
    <t>Lakossági kezdeményezéssel megvalósuló út és közműépítés 2019. évi előkészítése</t>
  </si>
  <si>
    <t>TOP-6.3.3-16-DE1-2017-00003 Debrecen, Létai úti csapadékvíz elvezető főgerincvezeték rekonstrukciójának I. üteme</t>
  </si>
  <si>
    <t>TOP-6.3.3-16-DE1-2017-00001 Debrecen, Nagysándortelep csapadékvíz elvezetése II. ütem</t>
  </si>
  <si>
    <t>TOP-6.3.3-16-DE1-2017-00002 Debrecen, Tarján utca csapadékvíz elvezetése</t>
  </si>
  <si>
    <t>TOP-6.1.2-16 Inkubátorházak fejlesztése</t>
  </si>
  <si>
    <t>TOP-6.1.5-15 Gazdaságfejlesztést és a munkaerő mobilitás ösztönzés</t>
  </si>
  <si>
    <t>TOP-6.2.1-16 Családbarát, munkába állást segítő intzémyének, közszolgáltatások fejlesztése</t>
  </si>
  <si>
    <t>TOP-6.2.1-16-DE1-2017-00001 A Gönczy Pál Utcai Óvoda tornaszobával történő bővítése</t>
  </si>
  <si>
    <t>TOP-6.2.1-16-DE1-2017-00002 Károlyi M. u-i bölcsődei tagintézmény infrastruktúrális fejlesztése</t>
  </si>
  <si>
    <t>TOP-6.2.1-16-DE1-2017-00003 Új óvoda építése a Tócóvölgyben (Tócóskerti Óvoda Napsugár Tagintézménye)</t>
  </si>
  <si>
    <t>TOP-6.2.1-16-DE1-2017-00004 Eszközbeszerzés Bölcsődék (Varga u, Honvéd u, Áchim A. u, Margit tér, Angyalföld tér)</t>
  </si>
  <si>
    <t>TOP-6.3.2-16 Zöld város kialakítása</t>
  </si>
  <si>
    <t>TOP-6.4.1-16 Fenntartható városi közlekedésfejlesztés</t>
  </si>
  <si>
    <t xml:space="preserve">TOP-6.4.1-16-DE1-2017-00001 Nyugati kiskörút III. ütem </t>
  </si>
  <si>
    <t>TOP-6.5.1-16 Önkormányzati épületek energetikai korszerűsítése</t>
  </si>
  <si>
    <t>TOP-6.5.1-16-DE1-2017-00001 A Görgey Utcai Óvoda épületének energetikai korszerűsítése</t>
  </si>
  <si>
    <t xml:space="preserve"> TOP-6.5.1-16-DE1-2017-00002 A Régi Városháza épületének energetikai korszerűsítése</t>
  </si>
  <si>
    <t>TOP-6.5.1-16-DE1-2017-00003 Karácsony György Utcai Óvoda épületének energetikai korszerűsítése</t>
  </si>
  <si>
    <t>TOP-6.5.1-16-DE1-2017-00004 Sinay Miklós Utcai Óvoda épületének energetikai korszerűsítése</t>
  </si>
  <si>
    <t xml:space="preserve">TOP-6.5.1-16-DE1-2017-00005 Mosolykert Óvoda Kismacsi Telephelye épületének energetikai korszerűsítése    </t>
  </si>
  <si>
    <t>TOP-6.5.1-16-DE1-2017-00006 A Debrecen, Jerikó u. 17. szám alatti intézmények épületegyüttesének energetikai korszerűsítése</t>
  </si>
  <si>
    <t>TOP-6.5.1-16-DE1-2017-00008 DMJV EBI Görgey Utcai Tagintézmény épületének energetikai korszerűsítése</t>
  </si>
  <si>
    <t>TOP-6.5.1-16-DE1-2017-00007  A Csapókerti Közösségi Ház épületének energetikai korszerűsítése</t>
  </si>
  <si>
    <t>TOP-6.5.1-16-DE1-2017-00009 A Debreceni Bocskai István Általános Iskola épületének energetikai korszerűsítése</t>
  </si>
  <si>
    <t xml:space="preserve">TOP-6.5.1-16-DE1-2017-00010 A Debreceni Arany János Óvoda épületének energetikai korszerűsítése </t>
  </si>
  <si>
    <t>TOP-6.5.1-16-DE1-2017-00011  A Debreceni Dózsa György Általános Iskola épületének energetikai korszerűsítése</t>
  </si>
  <si>
    <t>TOP-6.6.1-16-DE1-2017-00001 A Sas utcai háziorvosi rendelő infrastrukturális fejlesztése</t>
  </si>
  <si>
    <t>TOP-6.6.1-16-DE1-2017-00002 Az Epreskert utcai háziorvosi rendelő infrastrukturális fejlesztése</t>
  </si>
  <si>
    <t>TOP-6.6.1-16-DE1-2017-00003 A Darabos utcai háziorvosi rendelő infrastrukturális fejlesztése</t>
  </si>
  <si>
    <t>TOP-6.6.2-15 Szociális alapszolgáltatások infrastruktúrájának fejlesztése</t>
  </si>
  <si>
    <t>TOP-6.6.2-16 Szociális alapszolgáltatások infrastruktúrájának fejlesztése</t>
  </si>
  <si>
    <t>TOP-6.7.1-16 Megyei Jogú Városok leromlott városi területeinek rehabilitációja</t>
  </si>
  <si>
    <t>Turisztikai programok</t>
  </si>
  <si>
    <t>Debreceni állatkert és vidámpark turisztikai fejlesztése (P2)</t>
  </si>
  <si>
    <t>Egyéb pályázati forrásból megvalósuló beruházások</t>
  </si>
  <si>
    <t>I. világháborús mauzóleumok felújítása</t>
  </si>
  <si>
    <t>Vojtina Bábszínház tető felújítása</t>
  </si>
  <si>
    <t>Pallagi úti mélygarázs állagmegóvási munkái</t>
  </si>
  <si>
    <t>Tégláskerti orvosi rendelő felújítása</t>
  </si>
  <si>
    <t>Szabó Magda szobor talapzatának átburkolása</t>
  </si>
  <si>
    <t>Laktanya u. felújítási pályázat</t>
  </si>
  <si>
    <t>Debreceni egyesített bölcsődei intézmény fejlesztésének előkészítése</t>
  </si>
  <si>
    <t>Ovi-Sport program</t>
  </si>
  <si>
    <t>TOP-6.6.1-15 Egészségügyi alapellátás infrastrukturális fejlesztése</t>
  </si>
  <si>
    <t>TOP-6.6.1-16 Egészségügyi alapellátás infrastrukturális fejlesztése</t>
  </si>
  <si>
    <t>Fedett utasvárók kihelyezése</t>
  </si>
  <si>
    <t>Gerle u. ivóvíz építés</t>
  </si>
  <si>
    <t>Létai- Vámospércsi u. csomópont felújítás</t>
  </si>
  <si>
    <t xml:space="preserve">Debreceni Szakképzési Centrum támogatása az Ady parkban padok elhelyezésére </t>
  </si>
  <si>
    <t>Építészeti-Műszaki Tervtanács működtetése (személyi kifizetések és reprezentáció)</t>
  </si>
  <si>
    <t>Kiemelkedő tevékenységek és kiemelt városi rendezvények támogatása és járuléka</t>
  </si>
  <si>
    <t>Bocskai István ökölvívó emlékverseny 2018</t>
  </si>
  <si>
    <t>21.3.2</t>
  </si>
  <si>
    <t>Országyűlési képviselők választása</t>
  </si>
  <si>
    <t>Városrendezési tervek elkészítéséhez szükséges költségek, igazgatási szolgáltatási díjak, tervek vásárlása</t>
  </si>
  <si>
    <t>CLLD projekt 2018. évi megvalósításához szükséges összeg (megosztott közösségi infrastruktúra, kulturális kapcs. háza, Debrecen háza alprojekt)</t>
  </si>
  <si>
    <t>Magyarország lobogója tartóoszlop felállítása</t>
  </si>
  <si>
    <t>Latinovits Színház belső kialakítása (RO-HU)</t>
  </si>
  <si>
    <t>Nagyfelületű út- és járdafelújítás</t>
  </si>
  <si>
    <t>23.1.18</t>
  </si>
  <si>
    <t>16.2.3.7</t>
  </si>
  <si>
    <t xml:space="preserve">Debrecen-Hortobágy Turizmusáért Egyesület </t>
  </si>
  <si>
    <t>Interreg Europe - Kreatív miliő projekt</t>
  </si>
  <si>
    <t>16.1.1.2</t>
  </si>
  <si>
    <t>De Klinikai Központ Gyermekgyógyászati Klinikán  tartós gyógykezelés alatt álló gyermekek tankötelezettségének támogatása</t>
  </si>
  <si>
    <t>Gyermek, Ifjúsági és KEF pályázatok</t>
  </si>
  <si>
    <t>Káplár Miklós Nemzetközi Alkotótábor támogatása</t>
  </si>
  <si>
    <t>Rendezvények utáni kézi takarítás és hulladékgyűjtés</t>
  </si>
  <si>
    <t>Intézmények játszótéri eszközök beszerzése</t>
  </si>
  <si>
    <t>Intézmények és orvosi rendelők felújítása</t>
  </si>
  <si>
    <t>TOP-6.3.3-15-DE1-2016-00001 Debrecen, keleti városrész csapadékvíz elvezetése</t>
  </si>
  <si>
    <t>VP6-7.2.1-7.4.1.2-16 Külterületi helyi közutak fejlesztése és munkagép beszerzése pályázat (Felsőpércsi út)</t>
  </si>
  <si>
    <t>Nyugati kiskörút I.-II. ütem</t>
  </si>
  <si>
    <t>TOP-6.3.2.-16-DE1-2017-00001 "A Sóház gazdaságélénkítő környezeti megújítása"</t>
  </si>
  <si>
    <t>TOP-6.3.2.-16-DE1-2017-00002 "A Tócóskert gazdaságélénkítő környezeti megújítása"</t>
  </si>
  <si>
    <t>TOP-6.3.2.-16-DE1-2017-00003 "A Petőfi tér rekonstrukciója"</t>
  </si>
  <si>
    <t>TOP-6.3.2.-16-DE1-2017-00004 "A Tócóvölgy gazdaságélénkítő környezeti megújítása"</t>
  </si>
  <si>
    <t>TOP-6.3.2.-16-DE1-2017-00005 "A Bem tér gazdaságélénkítő környezeti megújítása"</t>
  </si>
  <si>
    <t>16.3.1</t>
  </si>
  <si>
    <t>3.2.14</t>
  </si>
  <si>
    <t>Főtéri rendezvények kiszolgálásához áramvételezési lehetőség kialakítása</t>
  </si>
  <si>
    <t>Műtárgyak javítása</t>
  </si>
  <si>
    <t>Nem közművel összegyűjtött háztartási szennyvíz ártalmatlanítás</t>
  </si>
  <si>
    <t>4.1.7</t>
  </si>
  <si>
    <t>4.1.12</t>
  </si>
  <si>
    <t>4.1.13</t>
  </si>
  <si>
    <t>4.1.14</t>
  </si>
  <si>
    <t>4.1.15</t>
  </si>
  <si>
    <t>Szabványos játszóterek időszakos ellenőrzése az ellenőrzött eszközök előírt  kötelező javítása 
(MSZ-EN szabványos játszóterek időszakos TÜV ellenőrzése)</t>
  </si>
  <si>
    <t>Előre nem tervezett parkfenntartási és rendezvényi feladatok</t>
  </si>
  <si>
    <t>12.2.5</t>
  </si>
  <si>
    <t>Debreceni Asztalitenisz Klub támogatása</t>
  </si>
  <si>
    <t>11.2.3</t>
  </si>
  <si>
    <t>11.1.2</t>
  </si>
  <si>
    <t>Széna tér zöldterületi fejlesztése</t>
  </si>
  <si>
    <t>Belváros Barna utcai park rekonstrukciója</t>
  </si>
  <si>
    <t>Derék utca 22. melletti park rekonstrukciója, növénytelepítés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</si>
  <si>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</si>
  <si>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</si>
  <si>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</si>
  <si>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</si>
  <si>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</si>
  <si>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</si>
  <si>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</si>
  <si>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</si>
  <si>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</si>
  <si>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</si>
  <si>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</si>
  <si>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</si>
  <si>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1.1.2.</t>
  </si>
  <si>
    <t>1.1.3.</t>
  </si>
  <si>
    <t>1.1.3</t>
  </si>
  <si>
    <t>2018.</t>
  </si>
  <si>
    <t>16.2.1.8</t>
  </si>
  <si>
    <t>15.1.16.1</t>
  </si>
  <si>
    <t>15.1.16.2</t>
  </si>
  <si>
    <t>15.1.16.3</t>
  </si>
  <si>
    <t>15.1.16.4</t>
  </si>
  <si>
    <t>15.1.16.5</t>
  </si>
  <si>
    <t>15.1.16.6</t>
  </si>
  <si>
    <t>DEAC Sport Nonprofit Közhasznú Kft. támogatása</t>
  </si>
  <si>
    <t>DVSC Kézilabda Kft. támogatása</t>
  </si>
  <si>
    <t>DVSC Futball Szervező Zrt. támogatása</t>
  </si>
  <si>
    <t>Agóra Közhasznú Nonprofit Kft. támogatása</t>
  </si>
  <si>
    <t>Modem Modern Debreceni Nonprofit Kft. támogatása</t>
  </si>
  <si>
    <t>Zsuzsi Erdei Vasút Nonprofit Kft. támogatása</t>
  </si>
  <si>
    <t>Debreceni Nagyerdei Stadion-üzemeltető Kft. támogatása</t>
  </si>
  <si>
    <t>Nemzetközi és utánpótlásversenyek</t>
  </si>
  <si>
    <t>Pallagi úti Idősek Háza felújítása</t>
  </si>
  <si>
    <t>Közfoglalkoztatottak egyéb feladataihoz szükséges beszerzések támogatása</t>
  </si>
  <si>
    <t>TOP-6.3.3-15-DE1-2016-00002 Nagysándor telep- Vulkántelep és Fészek lakópark (Téglagyár városrész) csapadékvíz elvezetése</t>
  </si>
  <si>
    <t>TOP-6.4.1-15-DE1-2016-00006 Keleti városrész forgalomszervezése és kerékpárút kialakítása</t>
  </si>
  <si>
    <t>EFOP-1.9.9-17-2017-00009
Bölcsődei szakemberek szakmai fejlesztése Debrecenben</t>
  </si>
  <si>
    <t>Előző költségvetési éveket érintő visszatérítések, visszafizetések</t>
  </si>
  <si>
    <t>(1. oldal)</t>
  </si>
  <si>
    <t>(2. oldal)</t>
  </si>
  <si>
    <t>(3. oldal)</t>
  </si>
  <si>
    <t xml:space="preserve">Kezességvállalás tőketörlesztése 2018. évben </t>
  </si>
  <si>
    <t>Tőketörlesztés 2018. évben*</t>
  </si>
  <si>
    <r>
      <rPr>
        <b/>
        <u val="single"/>
        <sz val="10"/>
        <rFont val="Arial"/>
        <family val="2"/>
      </rPr>
      <t>*Megjegyzés</t>
    </r>
    <r>
      <rPr>
        <sz val="10"/>
        <rFont val="Arial"/>
        <family val="2"/>
      </rPr>
      <t>: a hosszú lejáratú hitelek tőketörlesztése az Áhsz. rendelkezései értelmében finanszírozási kiadásnak minősül, ezért az "Önkormányzat finanszírozási kiadásai" elnevezésű 7. mellékletben került megtervezésre.</t>
    </r>
  </si>
  <si>
    <t>TOP-6.1.5-16-DE1-2017-00004 Egyetemi Innovációs Park elérhetőségének javítása</t>
  </si>
  <si>
    <t>Módosított előirányzat</t>
  </si>
  <si>
    <t>Tőketörlesztés 2018. évben *</t>
  </si>
  <si>
    <t>2018. évi módosított előirányzat összege</t>
  </si>
  <si>
    <t>(5. melléklet a 4/2018. (II. 22.) önkormányzati rendelethez)</t>
  </si>
  <si>
    <t>(5.1. melléklet a 4/2018. (II. 22.) önkormányzati rendelethez)</t>
  </si>
  <si>
    <t>(5.2. melléklet a 4/2018. (II. 22.) önkormányzati rendelethez)</t>
  </si>
  <si>
    <t>(5.3. melléklet a 4/2018. (II. 22.) önkormányzati rendelethez)</t>
  </si>
  <si>
    <t>(5.4. melléklet a 4/2018. (II. 22.) önkormányzati rendelethez)</t>
  </si>
  <si>
    <t>(5.5. melléklet a 4/2018. (II. 22.) önkormányzati rendelethez)</t>
  </si>
  <si>
    <t>(5.6. melléklet a 4/2018. (II. 22.) önkormányzati rendelethez)</t>
  </si>
  <si>
    <t>(5.8. melléklet a 4/2018. (II. 22.) önkormányzati rendelethez)</t>
  </si>
  <si>
    <t>(5.9. melléklet a 4/2018. (II. 22.) önkormányzati rendelethez)</t>
  </si>
  <si>
    <t>(5.10. melléklet a 4/2018. (II. 22.) önkormányzati rendelethez)</t>
  </si>
  <si>
    <t>(5.11. melléklet a 4/2018. (II. 22.) önkormányzati rendelethez)</t>
  </si>
  <si>
    <t>(5.12. melléklet a 4/2018. (II. 22.) önkormányzati rendelethez)</t>
  </si>
  <si>
    <t>(5.13. melléklet a 4/2018. (II. 22.) önkormányzati rendelethez)</t>
  </si>
  <si>
    <t>(5.14. melléklet a 4/2018. (II. 22.) önkormányzati rendelethez)</t>
  </si>
  <si>
    <t>(5.16. melléklet a 4/2018. (II. 22.) önkormányzati rendelethez)</t>
  </si>
  <si>
    <t>(5.17. melléklet a 4/2018. (II. 22.) önkormányzati rendelethez)</t>
  </si>
  <si>
    <t>(5.18. melléklet a 4/2018. (II. 22.) önkormányzati rendelethez)</t>
  </si>
  <si>
    <t>15.1.16.7</t>
  </si>
  <si>
    <t>Magyar Református Szeretetszolgálat Közhasznú Alapítvány támogatása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</si>
  <si>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</si>
  <si>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</si>
  <si>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</si>
  <si>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</si>
  <si>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</si>
  <si>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</si>
  <si>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</si>
  <si>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</si>
  <si>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</si>
  <si>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</si>
  <si>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</si>
  <si>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</si>
  <si>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</si>
  <si>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</si>
  <si>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</si>
  <si>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</si>
  <si>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</si>
  <si>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</si>
  <si>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</si>
  <si>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</si>
  <si>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</si>
  <si>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</si>
  <si>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</si>
  <si>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</si>
  <si>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</si>
  <si>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</si>
  <si>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</si>
  <si>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</si>
  <si>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</si>
  <si>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</si>
  <si>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</si>
  <si>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</si>
  <si>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</si>
  <si>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</si>
  <si>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5.2.35</t>
  </si>
  <si>
    <t>5.2.36</t>
  </si>
  <si>
    <t>5.2.37</t>
  </si>
  <si>
    <t>5.2.38</t>
  </si>
  <si>
    <t>5.2.39</t>
  </si>
  <si>
    <t>5.2.40</t>
  </si>
  <si>
    <t>5.2.41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</si>
  <si>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</si>
  <si>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</si>
  <si>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</si>
  <si>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</si>
  <si>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</si>
  <si>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</si>
  <si>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</si>
  <si>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</si>
  <si>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>5.2.50</t>
  </si>
  <si>
    <t>5.2.51</t>
  </si>
  <si>
    <t>5.2.52</t>
  </si>
  <si>
    <t>5.2.53</t>
  </si>
  <si>
    <t>5.2.54</t>
  </si>
  <si>
    <t>5.2.55</t>
  </si>
  <si>
    <t>5.2.56</t>
  </si>
  <si>
    <t>5.2.57</t>
  </si>
  <si>
    <t>5.2.58</t>
  </si>
  <si>
    <t>5.2.59</t>
  </si>
  <si>
    <t>5.2.60</t>
  </si>
  <si>
    <t>5.2.61</t>
  </si>
  <si>
    <t>5.2.62</t>
  </si>
  <si>
    <t>5.2.63</t>
  </si>
  <si>
    <t>5.2.64</t>
  </si>
  <si>
    <t>5.2.65</t>
  </si>
  <si>
    <t>5.2.66</t>
  </si>
  <si>
    <t>5.2.67</t>
  </si>
  <si>
    <t>5.2.68</t>
  </si>
  <si>
    <t>5.2.69</t>
  </si>
  <si>
    <t>5.2.70</t>
  </si>
  <si>
    <t>5.2.71</t>
  </si>
  <si>
    <t>5.2.72</t>
  </si>
  <si>
    <t>5.2.73</t>
  </si>
  <si>
    <t>5.2.74</t>
  </si>
  <si>
    <t>5.2.75</t>
  </si>
  <si>
    <t>5.2.76</t>
  </si>
  <si>
    <t>5.2.77</t>
  </si>
  <si>
    <t>5.2.78</t>
  </si>
  <si>
    <t>5.2.79</t>
  </si>
  <si>
    <t>5.2.80</t>
  </si>
  <si>
    <t>5.2.81</t>
  </si>
  <si>
    <t>5.2.82</t>
  </si>
  <si>
    <t>5.2.83</t>
  </si>
  <si>
    <t>5.2.84</t>
  </si>
  <si>
    <t>5.2.85</t>
  </si>
  <si>
    <t>5.2.86</t>
  </si>
  <si>
    <t>5.2.87</t>
  </si>
  <si>
    <t>5.2.88</t>
  </si>
  <si>
    <t>5.2.89</t>
  </si>
  <si>
    <t>5.2.90</t>
  </si>
  <si>
    <t>5.2.91</t>
  </si>
  <si>
    <t>5.2.92</t>
  </si>
  <si>
    <t>5.2.93</t>
  </si>
  <si>
    <t>5.2.94</t>
  </si>
  <si>
    <t>5.2.95</t>
  </si>
  <si>
    <t>5.2.96</t>
  </si>
  <si>
    <t>5.2.97</t>
  </si>
  <si>
    <t>5.2.98</t>
  </si>
  <si>
    <t>5.2.99</t>
  </si>
  <si>
    <t>5.2.100</t>
  </si>
  <si>
    <t>5.2.101</t>
  </si>
  <si>
    <t>5.2.102</t>
  </si>
  <si>
    <t>5.2.103</t>
  </si>
  <si>
    <t>5.2.104</t>
  </si>
  <si>
    <t>5.2.105</t>
  </si>
  <si>
    <t>5.2.106</t>
  </si>
  <si>
    <t>5.2.107</t>
  </si>
  <si>
    <t>5.2.108</t>
  </si>
  <si>
    <t>5.2.109</t>
  </si>
  <si>
    <t>5.2.110</t>
  </si>
  <si>
    <t>5.2.111</t>
  </si>
  <si>
    <t>5.2.112</t>
  </si>
  <si>
    <t>5.2.113</t>
  </si>
  <si>
    <t>5.2.114</t>
  </si>
  <si>
    <t>5.2.115</t>
  </si>
  <si>
    <t>5.2.116</t>
  </si>
  <si>
    <t>5.2.117</t>
  </si>
  <si>
    <t>5.2.118</t>
  </si>
  <si>
    <t>5.2.119</t>
  </si>
  <si>
    <t>5.2.120</t>
  </si>
  <si>
    <t>5.2.121</t>
  </si>
  <si>
    <t>5.2.122</t>
  </si>
  <si>
    <t>5.2.123</t>
  </si>
  <si>
    <t>5.2.124</t>
  </si>
  <si>
    <t>5.2.125</t>
  </si>
  <si>
    <t>5.2.126</t>
  </si>
  <si>
    <t>TOP-6.1.4-16-DE1-2017-00001 Turisztikai attrakciófejlesztés a Debreceni Zsidó Hitközség székházában</t>
  </si>
  <si>
    <t>TOP-6.1.4-16-DE1-2017-00002  „Hit és Kultúra” Attila téri görögkatolikus turisztikai látogatóközpont létrehozása</t>
  </si>
  <si>
    <t>TOP-6.1.2-16-DE1-2017-00001 Debrecen Inkubációs központ</t>
  </si>
  <si>
    <t>TOP-6.2.1-16-DE1-2017-00005 Új bölcsőde létesítése a Postakert városrészen</t>
  </si>
  <si>
    <t xml:space="preserve">TOP-6.7.1-16-DE1-2017-00001 Szociális városrehabilitáció a Nagysándortelep-Vulkántelepen </t>
  </si>
  <si>
    <t>15.1.16.8</t>
  </si>
  <si>
    <t>Vásáry Tamás Alapítvány támogatása</t>
  </si>
  <si>
    <t>Egyházak támogatása</t>
  </si>
  <si>
    <t>15.1.17</t>
  </si>
  <si>
    <t>Családok Átmeneti Otthona Mester u 30.</t>
  </si>
  <si>
    <t>(5. melléklet 15. cím részletezése)</t>
  </si>
  <si>
    <t>15.1.18</t>
  </si>
  <si>
    <t>Debreceni Zsidó Hitközség támogatása</t>
  </si>
  <si>
    <t>15.1.19</t>
  </si>
  <si>
    <t>Valcer Táncstúdió és Alapfokú Művészeti Iskola támogatása</t>
  </si>
  <si>
    <t>15.1.20</t>
  </si>
  <si>
    <t>15.1.21</t>
  </si>
  <si>
    <t>Római Katólikus Egyház támogatása</t>
  </si>
  <si>
    <t>15.1.22</t>
  </si>
  <si>
    <t>Cívis Borbár Kft. Támogatása</t>
  </si>
  <si>
    <t>15.1.23</t>
  </si>
  <si>
    <t>Design Terminál támogatása</t>
  </si>
  <si>
    <t>15.1.16.9</t>
  </si>
  <si>
    <t>15.1.16.10</t>
  </si>
  <si>
    <t>11.1.4</t>
  </si>
  <si>
    <t>Ellátási szerződésekhez kapcsolodó egyéb kiadások</t>
  </si>
  <si>
    <t>Pallagi úti labdarúgó bázis műfüves pálya lefedése, pályázati önrész</t>
  </si>
  <si>
    <t>Debreceni Művelődési Központ támogatása</t>
  </si>
  <si>
    <t>Alapítvány a Vénkerti Iskoláért támogatása</t>
  </si>
  <si>
    <t>Kisebbségekért Pro Minoritate Alapítvány támogatása</t>
  </si>
  <si>
    <t>5.2.127</t>
  </si>
  <si>
    <t>Észak-Nyugati Gazdasági Övezet kialakításának, közművesítésének és elérhetőségének javításához szükséges  kiadások</t>
  </si>
  <si>
    <t>24.1.19</t>
  </si>
  <si>
    <t>Észak-Nyugati Gazdasági Övezet kialakításához, fejlesztéséhez kapcsolódó területszerzések és régészet</t>
  </si>
  <si>
    <t>1.1.4</t>
  </si>
  <si>
    <t>Hitelszerződés száma</t>
  </si>
  <si>
    <t>1-2-18-3800-0368-4</t>
  </si>
  <si>
    <t>Készfizető kezességvállalások (tőke):</t>
  </si>
  <si>
    <t xml:space="preserve"> Készfizető kezességvállalás 160/2014. (VII.10.) határozat (Debreceni Nagyerdei Stadion Kft.)</t>
  </si>
  <si>
    <t>Készfizető kezességvállalások (kamat):</t>
  </si>
  <si>
    <t>Készfizető kezességvállalás</t>
  </si>
  <si>
    <t>Adósságot keletkeztető ügylet megnevezése</t>
  </si>
  <si>
    <t>OTP Bank Nyrt. (2,5 mrd Ft hitel)</t>
  </si>
  <si>
    <t>160/2014. (VII.10.) határozat Debreceni Nagyerdei Stadion Kft.</t>
  </si>
  <si>
    <t>(5.19. melléklet a 4/2018. (II. 22.) önkormányzati rendelethez)</t>
  </si>
  <si>
    <t>Debrecen Nagycsere és Haláp településrészei ivóvíz hálózatának fejlesztése</t>
  </si>
  <si>
    <t>KÖFOP-1.2.1-VEKOP-16-2017-01051 Debrecen Megyei Jogú Város Önkormányzata ASP Központhoz való csatlakozása</t>
  </si>
  <si>
    <t>23.1.19</t>
  </si>
  <si>
    <t>1.1.4.</t>
  </si>
  <si>
    <t>18/ISF/P49665/BER</t>
  </si>
  <si>
    <t>Erste Bank Hungary Zrt.</t>
  </si>
  <si>
    <t>Debreceni Sportcentrum Kft. 
Főnix Fitt 2018 rendezvény</t>
  </si>
  <si>
    <t>Helyi közösségi közlekedés 2018. évi állami támogatásához kapcsolódó önkormányzati önrész és egyéb önkormányzati támogatás</t>
  </si>
  <si>
    <t>DKV Zrt. veszteség kompenzációja</t>
  </si>
  <si>
    <t>Erste Bank Hungary Zrt. (44 mrd Ft  hitel)</t>
  </si>
  <si>
    <t>(5.7. melléklet a 4/2018. (II. 22.) önkormányzati rendelethez)</t>
  </si>
  <si>
    <t>(5.15. melléklet a 4/2018. (II. 22.) önkormányzati rendelethez)</t>
  </si>
  <si>
    <t>Airport-Debrecen Repülőtér Üzemeltető Kft. részére pénzeszköz átadás</t>
  </si>
  <si>
    <t>15. melléklet a 9/2019. (IV. 18.) önkormányzati rendelethez</t>
  </si>
  <si>
    <t>16. melléklet a 9/2019. (IV. 18.) önkormányzati rendelethez</t>
  </si>
  <si>
    <t>17. melléklet a 9/2019. (IV. 18.) önkormányzati rendelethez</t>
  </si>
  <si>
    <t>18. melléklet a 9/2019. (IV. 18.) önkormányzati rendelethez</t>
  </si>
  <si>
    <t>19. melléklet a 9/2019. (IV. 18.) önkormányzati rendelethez</t>
  </si>
  <si>
    <t>20. melléklet a 9/2019. (IV. 18.) önkormányzati rendelethez</t>
  </si>
  <si>
    <t>21. melléklet a 9/2019. (IV. 18.) önkormányzati rendelethez</t>
  </si>
  <si>
    <t>22. melléklet a 9/2019. (IV. 18.) önkormányzati rendelethez</t>
  </si>
  <si>
    <t>23. melléklet a 9/2019. (IV. 18.) önkormányzati rendelethez</t>
  </si>
  <si>
    <t>24. melléklet a 9/2019. (IV. 18.) önkormányzati rendelethez</t>
  </si>
  <si>
    <t>25. melléklet a 9/2019. (IV. 18.) önkormányzati rendelethez</t>
  </si>
  <si>
    <t>26. melléklet a 9/2019. (IV. 18.) önkormányzati rendelethez</t>
  </si>
  <si>
    <t>27. melléklet a 9/2019. (IV. 18.) önkormányzati rendelethez</t>
  </si>
  <si>
    <t>28. melléklet a 9/2019. (IV. 18.) önkormányzati rendelethez</t>
  </si>
  <si>
    <t>29. melléklet a 9/2019. (IV. 18.) önkormányzati rendelethez</t>
  </si>
  <si>
    <t>30. melléklet a 9/2019. (IV. 18.) önkormányzati rendelethez</t>
  </si>
  <si>
    <t>31. melléklet a 9/2019. (IV. 18.) önkormányzati rendelethez</t>
  </si>
  <si>
    <t>32. melléklet a 9/2019. (IV. 18.) önkormányzati rendelethez</t>
  </si>
  <si>
    <t>33. melléklet a 9/2019. (IV. 18.) önkormányzati rendelethez</t>
  </si>
  <si>
    <t>34. melléklet a 9/2019. (IV. 18.)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</si>
</sst>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\-dd;@"/>
    <numFmt numFmtId="166" formatCode="#,##0&quot; Ft&quot;"/>
    <numFmt numFmtId="167" formatCode="_-* #,##0.00\ _F_t_-;\-* #,##0.00\ _F_t_-;_-* \-??\ _F_t_-;_-@_-"/>
    <numFmt numFmtId="168" formatCode="_-* #,##0\ _F_t_-;\-* #,##0\ _F_t_-;_-* \-??\ _F_t_-;_-@_-"/>
    <numFmt numFmtId="169" formatCode="#,##0;\-#,##0"/>
    <numFmt numFmtId="170" formatCode="_-* #,##0.000\ _F_t_-;\-* #,##0.000\ _F_t_-;_-* \-??\ _F_t_-;_-@_-"/>
    <numFmt numFmtId="171" formatCode="_-* #,##0.0\ _F_t_-;\-* #,##0.0\ _F_t_-;_-* \-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#,##0\ _F_t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u val="single"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8"/>
      <name val="Calibri"/>
      <family val="2"/>
    </font>
    <font>
      <b/>
      <sz val="1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vertical="center" wrapText="1"/>
    </xf>
    <xf numFmtId="3" fontId="11" fillId="33" borderId="14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11" fillId="33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17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11" fillId="33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 applyProtection="1">
      <alignment vertical="center"/>
      <protection/>
    </xf>
    <xf numFmtId="3" fontId="6" fillId="0" borderId="22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 applyProtection="1">
      <alignment vertical="center"/>
      <protection/>
    </xf>
    <xf numFmtId="3" fontId="6" fillId="0" borderId="26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" fontId="11" fillId="33" borderId="16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0" fillId="0" borderId="0" xfId="58" applyFont="1">
      <alignment/>
      <protection/>
    </xf>
    <xf numFmtId="0" fontId="0" fillId="0" borderId="0" xfId="58">
      <alignment/>
      <protection/>
    </xf>
    <xf numFmtId="0" fontId="0" fillId="0" borderId="0" xfId="58" applyFont="1" applyBorder="1">
      <alignment/>
      <protection/>
    </xf>
    <xf numFmtId="0" fontId="0" fillId="0" borderId="0" xfId="0" applyFont="1" applyBorder="1" applyAlignment="1">
      <alignment horizontal="right" vertical="center"/>
    </xf>
    <xf numFmtId="0" fontId="12" fillId="0" borderId="0" xfId="59" applyFont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0" fillId="0" borderId="10" xfId="58" applyFont="1" applyBorder="1" applyAlignment="1">
      <alignment horizontal="center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/>
      <protection/>
    </xf>
    <xf numFmtId="0" fontId="13" fillId="0" borderId="0" xfId="58" applyFont="1" applyAlignment="1">
      <alignment horizontal="right"/>
      <protection/>
    </xf>
    <xf numFmtId="49" fontId="14" fillId="33" borderId="10" xfId="58" applyNumberFormat="1" applyFont="1" applyFill="1" applyBorder="1" applyAlignment="1">
      <alignment horizontal="right" vertical="center"/>
      <protection/>
    </xf>
    <xf numFmtId="0" fontId="14" fillId="33" borderId="10" xfId="58" applyFont="1" applyFill="1" applyBorder="1" applyAlignment="1">
      <alignment horizontal="right"/>
      <protection/>
    </xf>
    <xf numFmtId="0" fontId="14" fillId="33" borderId="10" xfId="59" applyFont="1" applyFill="1" applyBorder="1" applyAlignment="1">
      <alignment horizontal="right" vertical="center" wrapText="1"/>
      <protection/>
    </xf>
    <xf numFmtId="0" fontId="14" fillId="33" borderId="10" xfId="59" applyFont="1" applyFill="1" applyBorder="1" applyAlignment="1">
      <alignment horizontal="right" vertical="center" textRotation="90" wrapText="1"/>
      <protection/>
    </xf>
    <xf numFmtId="3" fontId="14" fillId="33" borderId="10" xfId="59" applyNumberFormat="1" applyFont="1" applyFill="1" applyBorder="1" applyAlignment="1">
      <alignment horizontal="right" vertical="center" wrapText="1"/>
      <protection/>
    </xf>
    <xf numFmtId="49" fontId="0" fillId="0" borderId="10" xfId="58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 wrapText="1"/>
      <protection/>
    </xf>
    <xf numFmtId="164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textRotation="90" wrapText="1"/>
      <protection/>
    </xf>
    <xf numFmtId="3" fontId="13" fillId="0" borderId="10" xfId="59" applyNumberFormat="1" applyFont="1" applyBorder="1" applyAlignment="1">
      <alignment vertical="center"/>
      <protection/>
    </xf>
    <xf numFmtId="3" fontId="13" fillId="0" borderId="10" xfId="59" applyNumberFormat="1" applyFont="1" applyBorder="1" applyAlignment="1">
      <alignment horizontal="right" vertical="center"/>
      <protection/>
    </xf>
    <xf numFmtId="3" fontId="14" fillId="0" borderId="10" xfId="59" applyNumberFormat="1" applyFont="1" applyBorder="1" applyAlignment="1">
      <alignment horizontal="right" vertical="center"/>
      <protection/>
    </xf>
    <xf numFmtId="3" fontId="14" fillId="33" borderId="10" xfId="59" applyNumberFormat="1" applyFont="1" applyFill="1" applyBorder="1" applyAlignment="1">
      <alignment horizontal="right" vertical="center"/>
      <protection/>
    </xf>
    <xf numFmtId="0" fontId="0" fillId="0" borderId="10" xfId="59" applyFont="1" applyBorder="1" applyAlignment="1">
      <alignment vertical="center" wrapText="1"/>
      <protection/>
    </xf>
    <xf numFmtId="165" fontId="0" fillId="0" borderId="10" xfId="59" applyNumberFormat="1" applyFont="1" applyBorder="1" applyAlignment="1">
      <alignment horizontal="center" vertical="center" wrapText="1"/>
      <protection/>
    </xf>
    <xf numFmtId="3" fontId="14" fillId="0" borderId="10" xfId="59" applyNumberFormat="1" applyFont="1" applyBorder="1" applyAlignment="1">
      <alignment vertical="center"/>
      <protection/>
    </xf>
    <xf numFmtId="3" fontId="13" fillId="0" borderId="10" xfId="59" applyNumberFormat="1" applyFont="1" applyFill="1" applyBorder="1" applyAlignment="1">
      <alignment vertical="center"/>
      <protection/>
    </xf>
    <xf numFmtId="3" fontId="14" fillId="33" borderId="10" xfId="59" applyNumberFormat="1" applyFont="1" applyFill="1" applyBorder="1" applyAlignment="1">
      <alignment vertical="center"/>
      <protection/>
    </xf>
    <xf numFmtId="3" fontId="14" fillId="33" borderId="10" xfId="59" applyNumberFormat="1" applyFont="1" applyFill="1" applyBorder="1" applyAlignment="1">
      <alignment horizontal="right" vertical="center" textRotation="90"/>
      <protection/>
    </xf>
    <xf numFmtId="164" fontId="0" fillId="34" borderId="10" xfId="59" applyNumberFormat="1" applyFont="1" applyFill="1" applyBorder="1" applyAlignment="1">
      <alignment horizontal="center" vertical="center" wrapText="1"/>
      <protection/>
    </xf>
    <xf numFmtId="164" fontId="0" fillId="34" borderId="10" xfId="59" applyNumberFormat="1" applyFont="1" applyFill="1" applyBorder="1" applyAlignment="1">
      <alignment horizontal="center" vertical="center" textRotation="90" wrapText="1"/>
      <protection/>
    </xf>
    <xf numFmtId="3" fontId="13" fillId="34" borderId="10" xfId="59" applyNumberFormat="1" applyFont="1" applyFill="1" applyBorder="1" applyAlignment="1">
      <alignment vertical="center"/>
      <protection/>
    </xf>
    <xf numFmtId="3" fontId="0" fillId="34" borderId="10" xfId="59" applyNumberFormat="1" applyFont="1" applyFill="1" applyBorder="1" applyAlignment="1">
      <alignment vertical="center"/>
      <protection/>
    </xf>
    <xf numFmtId="3" fontId="14" fillId="34" borderId="10" xfId="59" applyNumberFormat="1" applyFont="1" applyFill="1" applyBorder="1" applyAlignment="1">
      <alignment vertical="center"/>
      <protection/>
    </xf>
    <xf numFmtId="0" fontId="13" fillId="0" borderId="0" xfId="58" applyFont="1">
      <alignment/>
      <protection/>
    </xf>
    <xf numFmtId="49" fontId="14" fillId="33" borderId="10" xfId="58" applyNumberFormat="1" applyFont="1" applyFill="1" applyBorder="1" applyAlignment="1">
      <alignment horizontal="center" vertical="center"/>
      <protection/>
    </xf>
    <xf numFmtId="3" fontId="14" fillId="33" borderId="10" xfId="59" applyNumberFormat="1" applyFont="1" applyFill="1" applyBorder="1" applyAlignment="1">
      <alignment horizontal="center" vertical="center" wrapText="1"/>
      <protection/>
    </xf>
    <xf numFmtId="3" fontId="14" fillId="33" borderId="10" xfId="59" applyNumberFormat="1" applyFont="1" applyFill="1" applyBorder="1" applyAlignment="1">
      <alignment horizontal="center" vertical="center" textRotation="90" wrapText="1"/>
      <protection/>
    </xf>
    <xf numFmtId="0" fontId="9" fillId="0" borderId="0" xfId="0" applyFont="1" applyBorder="1" applyAlignment="1">
      <alignment horizontal="right" vertical="center"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/>
      <protection/>
    </xf>
    <xf numFmtId="0" fontId="13" fillId="0" borderId="10" xfId="58" applyFont="1" applyBorder="1" applyAlignment="1">
      <alignment horizontal="right" vertical="center"/>
      <protection/>
    </xf>
    <xf numFmtId="0" fontId="14" fillId="33" borderId="10" xfId="58" applyFont="1" applyFill="1" applyBorder="1" applyAlignment="1">
      <alignment horizontal="right" vertical="center"/>
      <protection/>
    </xf>
    <xf numFmtId="0" fontId="0" fillId="0" borderId="10" xfId="58" applyFont="1" applyBorder="1" applyAlignment="1">
      <alignment vertical="center"/>
      <protection/>
    </xf>
    <xf numFmtId="0" fontId="15" fillId="0" borderId="0" xfId="0" applyFont="1" applyBorder="1" applyAlignment="1">
      <alignment vertical="center"/>
    </xf>
    <xf numFmtId="3" fontId="12" fillId="34" borderId="10" xfId="59" applyNumberFormat="1" applyFont="1" applyFill="1" applyBorder="1" applyAlignment="1">
      <alignment vertical="center"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9" fillId="0" borderId="0" xfId="60" applyFont="1" applyBorder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13" fillId="0" borderId="29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/>
      <protection/>
    </xf>
    <xf numFmtId="0" fontId="14" fillId="33" borderId="10" xfId="59" applyFont="1" applyFill="1" applyBorder="1" applyAlignment="1">
      <alignment horizontal="center" vertical="center" wrapText="1"/>
      <protection/>
    </xf>
    <xf numFmtId="3" fontId="14" fillId="33" borderId="10" xfId="60" applyNumberFormat="1" applyFont="1" applyFill="1" applyBorder="1" applyAlignment="1">
      <alignment horizontal="right" vertical="center"/>
      <protection/>
    </xf>
    <xf numFmtId="3" fontId="0" fillId="0" borderId="10" xfId="60" applyNumberFormat="1" applyFont="1" applyBorder="1" applyAlignment="1" applyProtection="1">
      <alignment vertical="center"/>
      <protection locked="0"/>
    </xf>
    <xf numFmtId="164" fontId="0" fillId="0" borderId="10" xfId="59" applyNumberFormat="1" applyFont="1" applyBorder="1" applyAlignment="1">
      <alignment horizontal="right" vertical="center" wrapText="1"/>
      <protection/>
    </xf>
    <xf numFmtId="3" fontId="0" fillId="0" borderId="10" xfId="59" applyNumberFormat="1" applyFont="1" applyBorder="1" applyAlignment="1" applyProtection="1">
      <alignment vertical="center"/>
      <protection locked="0"/>
    </xf>
    <xf numFmtId="3" fontId="0" fillId="34" borderId="10" xfId="6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 wrapText="1"/>
      <protection/>
    </xf>
    <xf numFmtId="3" fontId="9" fillId="0" borderId="19" xfId="61" applyNumberFormat="1" applyFont="1" applyFill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3" fontId="9" fillId="0" borderId="10" xfId="61" applyNumberFormat="1" applyFont="1" applyFill="1" applyBorder="1" applyAlignment="1">
      <alignment vertical="center" wrapText="1"/>
      <protection/>
    </xf>
    <xf numFmtId="3" fontId="9" fillId="0" borderId="19" xfId="61" applyNumberFormat="1" applyFont="1" applyFill="1" applyBorder="1" applyAlignment="1">
      <alignment vertical="center" wrapText="1"/>
      <protection/>
    </xf>
    <xf numFmtId="49" fontId="9" fillId="0" borderId="19" xfId="61" applyNumberFormat="1" applyFont="1" applyFill="1" applyBorder="1" applyAlignment="1">
      <alignment horizontal="left" vertical="center" wrapText="1"/>
      <protection/>
    </xf>
    <xf numFmtId="0" fontId="9" fillId="34" borderId="19" xfId="6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3" fontId="17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 applyProtection="1">
      <alignment vertical="center"/>
      <protection/>
    </xf>
    <xf numFmtId="0" fontId="16" fillId="33" borderId="11" xfId="0" applyFont="1" applyFill="1" applyBorder="1" applyAlignment="1">
      <alignment vertical="center" wrapText="1"/>
    </xf>
    <xf numFmtId="3" fontId="8" fillId="33" borderId="2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>
      <alignment horizontal="center" vertical="center" wrapText="1"/>
    </xf>
    <xf numFmtId="3" fontId="8" fillId="34" borderId="2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 applyProtection="1">
      <alignment vertical="center"/>
      <protection/>
    </xf>
    <xf numFmtId="3" fontId="8" fillId="33" borderId="19" xfId="0" applyNumberFormat="1" applyFont="1" applyFill="1" applyBorder="1" applyAlignment="1" applyProtection="1">
      <alignment vertical="center"/>
      <protection/>
    </xf>
    <xf numFmtId="3" fontId="8" fillId="33" borderId="10" xfId="0" applyNumberFormat="1" applyFont="1" applyFill="1" applyBorder="1" applyAlignment="1">
      <alignment vertical="center"/>
    </xf>
    <xf numFmtId="3" fontId="17" fillId="33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3" fontId="11" fillId="33" borderId="19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3" fontId="6" fillId="0" borderId="15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9" fontId="6" fillId="0" borderId="10" xfId="0" applyNumberFormat="1" applyFont="1" applyFill="1" applyBorder="1" applyAlignment="1">
      <alignment vertical="center" wrapText="1"/>
    </xf>
    <xf numFmtId="11" fontId="9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9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58" applyNumberFormat="1" applyFont="1">
      <alignment/>
      <protection/>
    </xf>
    <xf numFmtId="3" fontId="8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13" fillId="0" borderId="0" xfId="0" applyFont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vertical="center" wrapText="1"/>
    </xf>
    <xf numFmtId="3" fontId="11" fillId="33" borderId="34" xfId="0" applyNumberFormat="1" applyFont="1" applyFill="1" applyBorder="1" applyAlignment="1">
      <alignment vertical="center" wrapText="1"/>
    </xf>
    <xf numFmtId="3" fontId="11" fillId="33" borderId="34" xfId="0" applyNumberFormat="1" applyFont="1" applyFill="1" applyBorder="1" applyAlignment="1" applyProtection="1">
      <alignment vertical="center" wrapText="1"/>
      <protection/>
    </xf>
    <xf numFmtId="3" fontId="20" fillId="0" borderId="20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vertical="center" wrapText="1"/>
    </xf>
    <xf numFmtId="0" fontId="18" fillId="35" borderId="34" xfId="0" applyFont="1" applyFill="1" applyBorder="1" applyAlignment="1">
      <alignment vertical="center" wrapText="1"/>
    </xf>
    <xf numFmtId="0" fontId="18" fillId="36" borderId="34" xfId="0" applyFont="1" applyFill="1" applyBorder="1" applyAlignment="1">
      <alignment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34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19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vertical="center" wrapText="1"/>
    </xf>
    <xf numFmtId="49" fontId="8" fillId="35" borderId="19" xfId="0" applyNumberFormat="1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left" vertical="center" wrapText="1"/>
    </xf>
    <xf numFmtId="49" fontId="18" fillId="35" borderId="34" xfId="0" applyNumberFormat="1" applyFont="1" applyFill="1" applyBorder="1" applyAlignment="1">
      <alignment vertical="center" wrapText="1"/>
    </xf>
    <xf numFmtId="0" fontId="18" fillId="36" borderId="15" xfId="0" applyFont="1" applyFill="1" applyBorder="1" applyAlignment="1">
      <alignment vertical="center" wrapText="1"/>
    </xf>
    <xf numFmtId="0" fontId="18" fillId="36" borderId="10" xfId="0" applyFont="1" applyFill="1" applyBorder="1" applyAlignment="1">
      <alignment wrapText="1"/>
    </xf>
    <xf numFmtId="0" fontId="18" fillId="36" borderId="35" xfId="0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35" borderId="15" xfId="0" applyNumberFormat="1" applyFont="1" applyFill="1" applyBorder="1" applyAlignment="1">
      <alignment horizontal="center" vertical="center" wrapText="1"/>
    </xf>
    <xf numFmtId="49" fontId="8" fillId="35" borderId="36" xfId="0" applyNumberFormat="1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vertical="center" wrapText="1"/>
    </xf>
    <xf numFmtId="3" fontId="6" fillId="35" borderId="10" xfId="0" applyNumberFormat="1" applyFont="1" applyFill="1" applyBorder="1" applyAlignment="1" applyProtection="1">
      <alignment vertical="center"/>
      <protection/>
    </xf>
    <xf numFmtId="0" fontId="9" fillId="36" borderId="10" xfId="0" applyFont="1" applyFill="1" applyBorder="1" applyAlignment="1">
      <alignment vertical="center" wrapText="1"/>
    </xf>
    <xf numFmtId="3" fontId="6" fillId="36" borderId="10" xfId="0" applyNumberFormat="1" applyFont="1" applyFill="1" applyBorder="1" applyAlignment="1" applyProtection="1">
      <alignment vertical="center"/>
      <protection/>
    </xf>
    <xf numFmtId="3" fontId="6" fillId="36" borderId="10" xfId="0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3" fontId="13" fillId="0" borderId="34" xfId="61" applyNumberFormat="1" applyFont="1" applyFill="1" applyBorder="1" applyAlignment="1">
      <alignment vertical="center" wrapText="1"/>
      <protection/>
    </xf>
    <xf numFmtId="3" fontId="13" fillId="0" borderId="34" xfId="61" applyNumberFormat="1" applyFont="1" applyFill="1" applyBorder="1" applyAlignment="1">
      <alignment horizontal="left" vertical="center" wrapText="1"/>
      <protection/>
    </xf>
    <xf numFmtId="0" fontId="21" fillId="0" borderId="34" xfId="0" applyFont="1" applyFill="1" applyBorder="1" applyAlignment="1">
      <alignment vertical="center" wrapText="1"/>
    </xf>
    <xf numFmtId="0" fontId="13" fillId="35" borderId="34" xfId="56" applyFont="1" applyFill="1" applyBorder="1" applyAlignment="1">
      <alignment horizontal="left" vertical="center" wrapText="1"/>
      <protection/>
    </xf>
    <xf numFmtId="0" fontId="13" fillId="34" borderId="34" xfId="0" applyFont="1" applyFill="1" applyBorder="1" applyAlignment="1">
      <alignment wrapText="1"/>
    </xf>
    <xf numFmtId="0" fontId="13" fillId="0" borderId="34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wrapText="1"/>
    </xf>
    <xf numFmtId="3" fontId="6" fillId="33" borderId="34" xfId="0" applyNumberFormat="1" applyFont="1" applyFill="1" applyBorder="1" applyAlignment="1">
      <alignment vertical="center" wrapText="1"/>
    </xf>
    <xf numFmtId="3" fontId="6" fillId="0" borderId="34" xfId="0" applyNumberFormat="1" applyFont="1" applyFill="1" applyBorder="1" applyAlignment="1" applyProtection="1">
      <alignment vertical="center" wrapText="1"/>
      <protection/>
    </xf>
    <xf numFmtId="0" fontId="6" fillId="0" borderId="34" xfId="0" applyFont="1" applyBorder="1" applyAlignment="1">
      <alignment vertical="center" wrapText="1"/>
    </xf>
    <xf numFmtId="3" fontId="6" fillId="0" borderId="34" xfId="0" applyNumberFormat="1" applyFont="1" applyFill="1" applyBorder="1" applyAlignment="1" applyProtection="1">
      <alignment vertical="center"/>
      <protection/>
    </xf>
    <xf numFmtId="3" fontId="6" fillId="33" borderId="3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 wrapText="1"/>
    </xf>
    <xf numFmtId="3" fontId="11" fillId="33" borderId="34" xfId="0" applyNumberFormat="1" applyFont="1" applyFill="1" applyBorder="1" applyAlignment="1">
      <alignment vertical="center"/>
    </xf>
    <xf numFmtId="3" fontId="11" fillId="33" borderId="34" xfId="0" applyNumberFormat="1" applyFont="1" applyFill="1" applyBorder="1" applyAlignment="1" applyProtection="1">
      <alignment vertical="center"/>
      <protection/>
    </xf>
    <xf numFmtId="0" fontId="9" fillId="0" borderId="34" xfId="0" applyFont="1" applyFill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33" borderId="38" xfId="0" applyNumberFormat="1" applyFont="1" applyFill="1" applyBorder="1" applyAlignment="1" applyProtection="1">
      <alignment vertical="center"/>
      <protection/>
    </xf>
    <xf numFmtId="3" fontId="8" fillId="33" borderId="15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49" fontId="9" fillId="35" borderId="10" xfId="0" applyNumberFormat="1" applyFont="1" applyFill="1" applyBorder="1" applyAlignment="1">
      <alignment vertical="center" wrapText="1"/>
    </xf>
    <xf numFmtId="3" fontId="0" fillId="34" borderId="10" xfId="59" applyNumberFormat="1" applyFont="1" applyFill="1" applyBorder="1" applyAlignment="1">
      <alignment horizontal="center" vertical="center" textRotation="90" wrapText="1"/>
      <protection/>
    </xf>
    <xf numFmtId="0" fontId="0" fillId="0" borderId="0" xfId="58" applyFont="1" applyBorder="1" applyAlignment="1">
      <alignment horizontal="right"/>
      <protection/>
    </xf>
    <xf numFmtId="3" fontId="0" fillId="34" borderId="10" xfId="59" applyNumberFormat="1" applyFont="1" applyFill="1" applyBorder="1" applyAlignment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3" fontId="8" fillId="0" borderId="39" xfId="0" applyNumberFormat="1" applyFont="1" applyFill="1" applyBorder="1" applyAlignment="1">
      <alignment vertical="center"/>
    </xf>
    <xf numFmtId="3" fontId="8" fillId="35" borderId="34" xfId="0" applyNumberFormat="1" applyFont="1" applyFill="1" applyBorder="1" applyAlignment="1" applyProtection="1">
      <alignment vertical="center"/>
      <protection/>
    </xf>
    <xf numFmtId="3" fontId="8" fillId="0" borderId="40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0" fontId="8" fillId="0" borderId="34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/>
    </xf>
    <xf numFmtId="49" fontId="10" fillId="33" borderId="14" xfId="0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58" applyFont="1" applyAlignment="1">
      <alignment horizontal="left"/>
      <protection/>
    </xf>
    <xf numFmtId="0" fontId="14" fillId="33" borderId="10" xfId="59" applyFont="1" applyFill="1" applyBorder="1" applyAlignment="1">
      <alignment horizontal="left" vertical="center" wrapText="1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 textRotation="90" wrapText="1"/>
      <protection/>
    </xf>
    <xf numFmtId="3" fontId="14" fillId="33" borderId="10" xfId="59" applyNumberFormat="1" applyFont="1" applyFill="1" applyBorder="1" applyAlignment="1">
      <alignment horizontal="center" vertical="center" wrapText="1"/>
      <protection/>
    </xf>
    <xf numFmtId="3" fontId="0" fillId="34" borderId="10" xfId="59" applyNumberFormat="1" applyFont="1" applyFill="1" applyBorder="1" applyAlignment="1">
      <alignment horizontal="left" vertical="center" wrapText="1"/>
      <protection/>
    </xf>
    <xf numFmtId="3" fontId="14" fillId="33" borderId="10" xfId="59" applyNumberFormat="1" applyFont="1" applyFill="1" applyBorder="1" applyAlignment="1">
      <alignment horizontal="left" vertical="center"/>
      <protection/>
    </xf>
    <xf numFmtId="0" fontId="0" fillId="33" borderId="10" xfId="58" applyFont="1" applyFill="1" applyBorder="1" applyAlignment="1">
      <alignment horizontal="center" vertical="center" textRotation="90"/>
      <protection/>
    </xf>
    <xf numFmtId="0" fontId="0" fillId="33" borderId="10" xfId="59" applyFont="1" applyFill="1" applyBorder="1" applyAlignment="1">
      <alignment horizontal="center" vertical="center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 vertical="center"/>
    </xf>
    <xf numFmtId="0" fontId="12" fillId="33" borderId="10" xfId="58" applyFont="1" applyFill="1" applyBorder="1" applyAlignment="1">
      <alignment horizontal="center" vertical="center" textRotation="90"/>
      <protection/>
    </xf>
    <xf numFmtId="0" fontId="12" fillId="33" borderId="15" xfId="58" applyFont="1" applyFill="1" applyBorder="1" applyAlignment="1">
      <alignment horizontal="center" vertical="center" textRotation="90"/>
      <protection/>
    </xf>
    <xf numFmtId="0" fontId="12" fillId="33" borderId="10" xfId="59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33" borderId="10" xfId="59" applyFont="1" applyFill="1" applyBorder="1" applyAlignment="1">
      <alignment horizontal="center" vertical="center" textRotation="90" wrapText="1"/>
      <protection/>
    </xf>
    <xf numFmtId="3" fontId="14" fillId="33" borderId="10" xfId="59" applyNumberFormat="1" applyFont="1" applyFill="1" applyBorder="1" applyAlignment="1">
      <alignment horizontal="left" vertical="center" wrapText="1"/>
      <protection/>
    </xf>
    <xf numFmtId="3" fontId="0" fillId="34" borderId="19" xfId="59" applyNumberFormat="1" applyFont="1" applyFill="1" applyBorder="1" applyAlignment="1">
      <alignment horizontal="center" vertical="center" wrapText="1"/>
      <protection/>
    </xf>
    <xf numFmtId="3" fontId="0" fillId="34" borderId="39" xfId="59" applyNumberFormat="1" applyFont="1" applyFill="1" applyBorder="1" applyAlignment="1">
      <alignment horizontal="center" vertical="center" wrapText="1"/>
      <protection/>
    </xf>
    <xf numFmtId="3" fontId="0" fillId="34" borderId="20" xfId="59" applyNumberFormat="1" applyFont="1" applyFill="1" applyBorder="1" applyAlignment="1">
      <alignment horizontal="center" vertical="center" wrapText="1"/>
      <protection/>
    </xf>
    <xf numFmtId="0" fontId="12" fillId="33" borderId="41" xfId="59" applyFont="1" applyFill="1" applyBorder="1" applyAlignment="1">
      <alignment horizontal="center" vertical="center" wrapText="1"/>
      <protection/>
    </xf>
    <xf numFmtId="0" fontId="12" fillId="33" borderId="43" xfId="59" applyFont="1" applyFill="1" applyBorder="1" applyAlignment="1">
      <alignment horizontal="center" vertical="center" wrapText="1"/>
      <protection/>
    </xf>
    <xf numFmtId="0" fontId="12" fillId="33" borderId="37" xfId="59" applyFont="1" applyFill="1" applyBorder="1" applyAlignment="1">
      <alignment horizontal="center" vertical="center" wrapText="1"/>
      <protection/>
    </xf>
    <xf numFmtId="0" fontId="12" fillId="33" borderId="44" xfId="59" applyFont="1" applyFill="1" applyBorder="1" applyAlignment="1">
      <alignment horizontal="center" vertical="center" wrapText="1"/>
      <protection/>
    </xf>
    <xf numFmtId="0" fontId="12" fillId="33" borderId="0" xfId="59" applyFont="1" applyFill="1" applyBorder="1" applyAlignment="1">
      <alignment horizontal="center" vertical="center" wrapText="1"/>
      <protection/>
    </xf>
    <xf numFmtId="0" fontId="12" fillId="33" borderId="45" xfId="59" applyFont="1" applyFill="1" applyBorder="1" applyAlignment="1">
      <alignment horizontal="center" vertical="center" wrapText="1"/>
      <protection/>
    </xf>
    <xf numFmtId="0" fontId="12" fillId="33" borderId="38" xfId="59" applyFont="1" applyFill="1" applyBorder="1" applyAlignment="1">
      <alignment horizontal="center" vertical="center" wrapText="1"/>
      <protection/>
    </xf>
    <xf numFmtId="0" fontId="12" fillId="33" borderId="29" xfId="59" applyFont="1" applyFill="1" applyBorder="1" applyAlignment="1">
      <alignment horizontal="center" vertical="center" wrapText="1"/>
      <protection/>
    </xf>
    <xf numFmtId="0" fontId="12" fillId="33" borderId="40" xfId="59" applyFont="1" applyFill="1" applyBorder="1" applyAlignment="1">
      <alignment horizontal="center" vertical="center" wrapText="1"/>
      <protection/>
    </xf>
    <xf numFmtId="49" fontId="0" fillId="0" borderId="19" xfId="60" applyNumberFormat="1" applyFont="1" applyBorder="1" applyAlignment="1">
      <alignment horizontal="center" vertical="center" wrapText="1"/>
      <protection/>
    </xf>
    <xf numFmtId="49" fontId="0" fillId="0" borderId="39" xfId="60" applyNumberFormat="1" applyFont="1" applyBorder="1" applyAlignment="1">
      <alignment horizontal="center" vertical="center" wrapText="1"/>
      <protection/>
    </xf>
    <xf numFmtId="49" fontId="0" fillId="0" borderId="20" xfId="60" applyNumberFormat="1" applyFont="1" applyBorder="1" applyAlignment="1">
      <alignment horizontal="center" vertical="center" wrapText="1"/>
      <protection/>
    </xf>
    <xf numFmtId="0" fontId="14" fillId="33" borderId="10" xfId="59" applyFont="1" applyFill="1" applyBorder="1" applyAlignment="1">
      <alignment horizontal="center" vertical="center" wrapText="1"/>
      <protection/>
    </xf>
    <xf numFmtId="164" fontId="0" fillId="0" borderId="10" xfId="59" applyNumberFormat="1" applyFont="1" applyBorder="1" applyAlignment="1">
      <alignment horizontal="center" vertical="center" wrapText="1"/>
      <protection/>
    </xf>
    <xf numFmtId="0" fontId="14" fillId="33" borderId="41" xfId="60" applyFont="1" applyFill="1" applyBorder="1" applyAlignment="1">
      <alignment horizontal="center" vertical="center" wrapText="1"/>
      <protection/>
    </xf>
    <xf numFmtId="0" fontId="14" fillId="33" borderId="37" xfId="60" applyFont="1" applyFill="1" applyBorder="1" applyAlignment="1">
      <alignment horizontal="center" vertical="center" wrapText="1"/>
      <protection/>
    </xf>
    <xf numFmtId="0" fontId="14" fillId="33" borderId="38" xfId="60" applyFont="1" applyFill="1" applyBorder="1" applyAlignment="1">
      <alignment horizontal="center" vertical="center" wrapText="1"/>
      <protection/>
    </xf>
    <xf numFmtId="0" fontId="14" fillId="33" borderId="40" xfId="60" applyFont="1" applyFill="1" applyBorder="1" applyAlignment="1">
      <alignment horizontal="center" vertical="center" wrapText="1"/>
      <protection/>
    </xf>
    <xf numFmtId="0" fontId="22" fillId="0" borderId="0" xfId="60" applyFont="1" applyAlignment="1">
      <alignment horizontal="center"/>
      <protection/>
    </xf>
    <xf numFmtId="0" fontId="23" fillId="0" borderId="0" xfId="60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4" fillId="33" borderId="11" xfId="59" applyFont="1" applyFill="1" applyBorder="1" applyAlignment="1">
      <alignment horizontal="center" vertical="center" textRotation="90" wrapText="1"/>
      <protection/>
    </xf>
    <xf numFmtId="0" fontId="14" fillId="33" borderId="15" xfId="59" applyFont="1" applyFill="1" applyBorder="1" applyAlignment="1">
      <alignment horizontal="center" vertical="center" textRotation="90" wrapText="1"/>
      <protection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34" xfId="0" applyFont="1" applyFill="1" applyBorder="1" applyAlignment="1">
      <alignment horizontal="center" vertical="center" textRotation="90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49" fontId="17" fillId="5" borderId="19" xfId="0" applyNumberFormat="1" applyFont="1" applyFill="1" applyBorder="1" applyAlignment="1">
      <alignment horizontal="center" vertical="center" wrapText="1"/>
    </xf>
    <xf numFmtId="49" fontId="17" fillId="5" borderId="39" xfId="0" applyNumberFormat="1" applyFont="1" applyFill="1" applyBorder="1" applyAlignment="1">
      <alignment horizontal="center" vertical="center" wrapText="1"/>
    </xf>
    <xf numFmtId="49" fontId="17" fillId="5" borderId="20" xfId="0" applyNumberFormat="1" applyFont="1" applyFill="1" applyBorder="1" applyAlignment="1">
      <alignment horizontal="center" vertical="center" wrapText="1"/>
    </xf>
    <xf numFmtId="49" fontId="17" fillId="5" borderId="38" xfId="0" applyNumberFormat="1" applyFont="1" applyFill="1" applyBorder="1" applyAlignment="1">
      <alignment horizontal="center" vertical="center" wrapText="1"/>
    </xf>
    <xf numFmtId="49" fontId="17" fillId="5" borderId="29" xfId="0" applyNumberFormat="1" applyFont="1" applyFill="1" applyBorder="1" applyAlignment="1">
      <alignment horizontal="center" vertical="center" wrapText="1"/>
    </xf>
    <xf numFmtId="49" fontId="17" fillId="5" borderId="40" xfId="0" applyNumberFormat="1" applyFont="1" applyFill="1" applyBorder="1" applyAlignment="1">
      <alignment horizontal="center" vertical="center" wrapText="1"/>
    </xf>
    <xf numFmtId="49" fontId="17" fillId="5" borderId="41" xfId="0" applyNumberFormat="1" applyFont="1" applyFill="1" applyBorder="1" applyAlignment="1">
      <alignment horizontal="center" vertical="center" wrapText="1"/>
    </xf>
    <xf numFmtId="49" fontId="17" fillId="5" borderId="43" xfId="0" applyNumberFormat="1" applyFont="1" applyFill="1" applyBorder="1" applyAlignment="1">
      <alignment horizontal="center" vertical="center" wrapText="1"/>
    </xf>
    <xf numFmtId="49" fontId="17" fillId="5" borderId="37" xfId="0" applyNumberFormat="1" applyFont="1" applyFill="1" applyBorder="1" applyAlignment="1">
      <alignment horizontal="center" vertical="center" wrapText="1"/>
    </xf>
    <xf numFmtId="49" fontId="17" fillId="5" borderId="44" xfId="0" applyNumberFormat="1" applyFont="1" applyFill="1" applyBorder="1" applyAlignment="1">
      <alignment horizontal="center" vertical="center" wrapText="1"/>
    </xf>
    <xf numFmtId="49" fontId="17" fillId="5" borderId="0" xfId="0" applyNumberFormat="1" applyFont="1" applyFill="1" applyBorder="1" applyAlignment="1">
      <alignment horizontal="center" vertical="center" wrapText="1"/>
    </xf>
    <xf numFmtId="49" fontId="17" fillId="5" borderId="45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textRotation="90"/>
    </xf>
    <xf numFmtId="49" fontId="17" fillId="5" borderId="34" xfId="0" applyNumberFormat="1" applyFont="1" applyFill="1" applyBorder="1" applyAlignment="1">
      <alignment horizontal="center" vertical="center" wrapText="1"/>
    </xf>
    <xf numFmtId="49" fontId="17" fillId="5" borderId="46" xfId="0" applyNumberFormat="1" applyFont="1" applyFill="1" applyBorder="1" applyAlignment="1">
      <alignment horizontal="center" vertical="center" wrapText="1"/>
    </xf>
    <xf numFmtId="49" fontId="17" fillId="5" borderId="47" xfId="0" applyNumberFormat="1" applyFont="1" applyFill="1" applyBorder="1" applyAlignment="1">
      <alignment horizontal="center" vertical="center" wrapText="1"/>
    </xf>
    <xf numFmtId="49" fontId="17" fillId="5" borderId="48" xfId="0" applyNumberFormat="1" applyFont="1" applyFill="1" applyBorder="1" applyAlignment="1">
      <alignment horizontal="center" vertical="center" wrapText="1"/>
    </xf>
    <xf numFmtId="49" fontId="17" fillId="5" borderId="49" xfId="0" applyNumberFormat="1" applyFont="1" applyFill="1" applyBorder="1" applyAlignment="1">
      <alignment horizontal="center" vertical="center" wrapText="1"/>
    </xf>
    <xf numFmtId="49" fontId="17" fillId="5" borderId="50" xfId="0" applyNumberFormat="1" applyFont="1" applyFill="1" applyBorder="1" applyAlignment="1">
      <alignment horizontal="center" vertical="center" wrapText="1"/>
    </xf>
    <xf numFmtId="49" fontId="17" fillId="5" borderId="5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9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39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 2" xfId="57"/>
    <cellStyle name="Normál_adósság régi tábla" xfId="58"/>
    <cellStyle name="Normál_Csilla1" xfId="59"/>
    <cellStyle name="Normál_Lalának-adósság új szerint 245-290" xfId="60"/>
    <cellStyle name="Normál_Melléklet-5_III_1 számú (1)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tkaine.kun.edina\2018\k&#246;lts&#233;gvet&#233;s\ad&#243;ss&#225;g\ad&#243;ss&#225;g%20t&#225;bl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8\2018.%20j&#250;niusi%20R-m&#243;d\V&#233;gleges%20v&#225;ltozat\2018.%20&#233;vi%20R-m&#243;d%206-15.%20mell&#233;klet%20(k&#246;zpon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 Adósság"/>
      <sheetName val="5.1 D"/>
      <sheetName val="5.1 FT, MT"/>
      <sheetName val="5.1 Évenként"/>
    </sheetNames>
    <sheetDataSet>
      <sheetData sheetId="2">
        <row r="10">
          <cell r="I10">
            <v>5250000</v>
          </cell>
          <cell r="J10">
            <v>5250000</v>
          </cell>
          <cell r="K10">
            <v>5250000</v>
          </cell>
          <cell r="L10">
            <v>5250000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 melléklet"/>
      <sheetName val="5.1. Adósság (2)"/>
      <sheetName val="5.1 D (2)"/>
      <sheetName val="5.1 FT, MT (2)"/>
      <sheetName val="5.1 Évenként (2)"/>
      <sheetName val="5.4. Beruházás"/>
      <sheetName val="5.7. Kertség"/>
      <sheetName val="5.9. Népjólét"/>
      <sheetName val="5.12. Közművelődés"/>
      <sheetName val="5.13. Támogatások"/>
      <sheetName val="5.14. Egyéb kiadások"/>
      <sheetName val="5.17. Vagyon"/>
      <sheetName val="5.19. Céltartalék"/>
      <sheetName val="Munkalap23"/>
    </sheetNames>
    <sheetDataSet>
      <sheetData sheetId="2">
        <row r="11">
          <cell r="L11">
            <v>11000000</v>
          </cell>
          <cell r="M11">
            <v>0</v>
          </cell>
          <cell r="P11">
            <v>11000000</v>
          </cell>
        </row>
        <row r="12">
          <cell r="L12">
            <v>33000000</v>
          </cell>
          <cell r="M12">
            <v>0</v>
          </cell>
          <cell r="P12">
            <v>33000000</v>
          </cell>
        </row>
        <row r="13">
          <cell r="P13">
            <v>1000000</v>
          </cell>
        </row>
        <row r="16">
          <cell r="L16">
            <v>9000000</v>
          </cell>
          <cell r="M16">
            <v>5000000</v>
          </cell>
          <cell r="P16">
            <v>9000000</v>
          </cell>
          <cell r="Q16">
            <v>5000000</v>
          </cell>
        </row>
        <row r="17">
          <cell r="L17">
            <v>0</v>
          </cell>
          <cell r="M17">
            <v>0</v>
          </cell>
          <cell r="Q17">
            <v>0</v>
          </cell>
        </row>
      </sheetData>
      <sheetData sheetId="3">
        <row r="10">
          <cell r="Q10">
            <v>5250000</v>
          </cell>
          <cell r="R10">
            <v>5250000</v>
          </cell>
          <cell r="S10">
            <v>5250000</v>
          </cell>
          <cell r="T10">
            <v>5250000</v>
          </cell>
          <cell r="U10">
            <v>21000000</v>
          </cell>
        </row>
        <row r="19">
          <cell r="V19">
            <v>3300000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9"/>
  <sheetViews>
    <sheetView view="pageBreakPreview" zoomScale="70" zoomScaleNormal="70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U1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57.140625" style="0" customWidth="1"/>
    <col min="4" max="4" width="26.57421875" style="0" customWidth="1"/>
    <col min="5" max="6" width="18.7109375" style="0" customWidth="1"/>
    <col min="7" max="7" width="21.7109375" style="0" bestFit="1" customWidth="1"/>
    <col min="8" max="8" width="18.7109375" style="0" customWidth="1"/>
    <col min="9" max="9" width="22.421875" style="0" bestFit="1" customWidth="1"/>
    <col min="10" max="10" width="22.8515625" style="0" customWidth="1"/>
    <col min="11" max="11" width="21.28125" style="0" bestFit="1" customWidth="1"/>
    <col min="12" max="12" width="18.7109375" style="0" customWidth="1"/>
    <col min="13" max="13" width="25.28125" style="0" customWidth="1"/>
    <col min="14" max="14" width="20.140625" style="0" customWidth="1"/>
    <col min="15" max="15" width="19.57421875" style="0" customWidth="1"/>
    <col min="16" max="16" width="20.140625" style="0" customWidth="1"/>
    <col min="17" max="17" width="17.00390625" style="0" customWidth="1"/>
    <col min="18" max="18" width="21.57421875" style="0" customWidth="1"/>
    <col min="19" max="20" width="21.28125" style="0" customWidth="1"/>
    <col min="21" max="21" width="20.57421875" style="0" customWidth="1"/>
    <col min="23" max="23" width="9.28125" style="0" customWidth="1"/>
  </cols>
  <sheetData>
    <row r="1" spans="1:21" s="1" customFormat="1" ht="18">
      <c r="A1" s="262" t="s">
        <v>1253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s="1" customFormat="1" ht="18">
      <c r="A2" s="263" t="s">
        <v>1050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s="1" customFormat="1" ht="41.25" customHeight="1">
      <c r="A3" s="264" t="s">
        <v>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</row>
    <row r="4" spans="1:21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40"/>
      <c r="U4" s="240" t="s">
        <v>1</v>
      </c>
    </row>
    <row r="5" spans="1:11" s="1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21" s="1" customFormat="1" ht="12.7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4" t="s">
        <v>15</v>
      </c>
      <c r="O6" s="6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s="8" customFormat="1" ht="16.5" customHeight="1">
      <c r="A7" s="273" t="s">
        <v>23</v>
      </c>
      <c r="B7" s="273" t="s">
        <v>24</v>
      </c>
      <c r="C7" s="274" t="s">
        <v>25</v>
      </c>
      <c r="D7" s="265" t="s">
        <v>853</v>
      </c>
      <c r="E7" s="266" t="s">
        <v>26</v>
      </c>
      <c r="F7" s="266"/>
      <c r="G7" s="266"/>
      <c r="H7" s="266"/>
      <c r="I7" s="266"/>
      <c r="J7" s="266"/>
      <c r="K7" s="266"/>
      <c r="L7" s="266"/>
      <c r="M7" s="265" t="s">
        <v>1049</v>
      </c>
      <c r="N7" s="266" t="s">
        <v>1047</v>
      </c>
      <c r="O7" s="266"/>
      <c r="P7" s="266"/>
      <c r="Q7" s="266"/>
      <c r="R7" s="266"/>
      <c r="S7" s="266"/>
      <c r="T7" s="266"/>
      <c r="U7" s="266"/>
    </row>
    <row r="8" spans="1:21" s="8" customFormat="1" ht="19.5" customHeight="1">
      <c r="A8" s="273"/>
      <c r="B8" s="273"/>
      <c r="C8" s="274"/>
      <c r="D8" s="265"/>
      <c r="E8" s="267" t="s">
        <v>27</v>
      </c>
      <c r="F8" s="267"/>
      <c r="G8" s="267"/>
      <c r="H8" s="267"/>
      <c r="I8" s="267"/>
      <c r="J8" s="267" t="s">
        <v>28</v>
      </c>
      <c r="K8" s="267"/>
      <c r="L8" s="267"/>
      <c r="M8" s="265"/>
      <c r="N8" s="267" t="s">
        <v>27</v>
      </c>
      <c r="O8" s="267"/>
      <c r="P8" s="267"/>
      <c r="Q8" s="267"/>
      <c r="R8" s="267"/>
      <c r="S8" s="267" t="s">
        <v>28</v>
      </c>
      <c r="T8" s="267"/>
      <c r="U8" s="267"/>
    </row>
    <row r="9" spans="1:21" s="8" customFormat="1" ht="92.25" customHeight="1" thickBot="1">
      <c r="A9" s="273"/>
      <c r="B9" s="273"/>
      <c r="C9" s="274"/>
      <c r="D9" s="265"/>
      <c r="E9" s="9" t="s">
        <v>29</v>
      </c>
      <c r="F9" s="9" t="s">
        <v>30</v>
      </c>
      <c r="G9" s="9" t="s">
        <v>31</v>
      </c>
      <c r="H9" s="9" t="s">
        <v>32</v>
      </c>
      <c r="I9" s="9" t="s">
        <v>33</v>
      </c>
      <c r="J9" s="9" t="s">
        <v>34</v>
      </c>
      <c r="K9" s="9" t="s">
        <v>35</v>
      </c>
      <c r="L9" s="9" t="s">
        <v>36</v>
      </c>
      <c r="M9" s="265"/>
      <c r="N9" s="9" t="s">
        <v>29</v>
      </c>
      <c r="O9" s="9" t="s">
        <v>30</v>
      </c>
      <c r="P9" s="9" t="s">
        <v>31</v>
      </c>
      <c r="Q9" s="9" t="s">
        <v>32</v>
      </c>
      <c r="R9" s="9" t="s">
        <v>33</v>
      </c>
      <c r="S9" s="9" t="s">
        <v>34</v>
      </c>
      <c r="T9" s="9" t="s">
        <v>35</v>
      </c>
      <c r="U9" s="9" t="s">
        <v>36</v>
      </c>
    </row>
    <row r="10" spans="1:21" s="8" customFormat="1" ht="18" customHeight="1">
      <c r="A10" s="10" t="s">
        <v>37</v>
      </c>
      <c r="B10" s="270" t="s">
        <v>38</v>
      </c>
      <c r="C10" s="270"/>
      <c r="D10" s="11">
        <f aca="true" t="shared" si="0" ref="D10:D41">SUM(E10:L10)</f>
        <v>83300000</v>
      </c>
      <c r="E10" s="11">
        <f aca="true" t="shared" si="1" ref="E10:L10">SUM(E11:E13)</f>
        <v>0</v>
      </c>
      <c r="F10" s="11">
        <f t="shared" si="1"/>
        <v>0</v>
      </c>
      <c r="G10" s="11">
        <f t="shared" si="1"/>
        <v>59000000</v>
      </c>
      <c r="H10" s="11">
        <f t="shared" si="1"/>
        <v>0</v>
      </c>
      <c r="I10" s="11">
        <f t="shared" si="1"/>
        <v>3300000</v>
      </c>
      <c r="J10" s="11">
        <f t="shared" si="1"/>
        <v>0</v>
      </c>
      <c r="K10" s="11">
        <f t="shared" si="1"/>
        <v>0</v>
      </c>
      <c r="L10" s="11">
        <f t="shared" si="1"/>
        <v>21000000</v>
      </c>
      <c r="M10" s="11">
        <f>SUM(N10:U10)</f>
        <v>106760000</v>
      </c>
      <c r="N10" s="11">
        <f aca="true" t="shared" si="2" ref="N10:U10">SUM(N11:N13)</f>
        <v>0</v>
      </c>
      <c r="O10" s="11">
        <f t="shared" si="2"/>
        <v>0</v>
      </c>
      <c r="P10" s="11">
        <f t="shared" si="2"/>
        <v>82460000</v>
      </c>
      <c r="Q10" s="11">
        <f t="shared" si="2"/>
        <v>0</v>
      </c>
      <c r="R10" s="11">
        <f t="shared" si="2"/>
        <v>3300000</v>
      </c>
      <c r="S10" s="11">
        <f t="shared" si="2"/>
        <v>0</v>
      </c>
      <c r="T10" s="11">
        <f t="shared" si="2"/>
        <v>0</v>
      </c>
      <c r="U10" s="11">
        <f t="shared" si="2"/>
        <v>21000000</v>
      </c>
    </row>
    <row r="11" spans="1:21" s="8" customFormat="1" ht="18.75" thickBot="1">
      <c r="A11" s="269"/>
      <c r="B11" s="12" t="s">
        <v>39</v>
      </c>
      <c r="C11" s="13" t="s">
        <v>40</v>
      </c>
      <c r="D11" s="14">
        <f t="shared" si="0"/>
        <v>83300000</v>
      </c>
      <c r="E11" s="15">
        <v>0</v>
      </c>
      <c r="F11" s="16">
        <v>0</v>
      </c>
      <c r="G11" s="16">
        <f>'5.1 D'!N18</f>
        <v>59000000</v>
      </c>
      <c r="H11" s="16">
        <v>0</v>
      </c>
      <c r="I11" s="16">
        <f>'5.1 FT, MT'!P20</f>
        <v>3300000</v>
      </c>
      <c r="J11" s="16">
        <v>0</v>
      </c>
      <c r="K11" s="16">
        <v>0</v>
      </c>
      <c r="L11" s="17">
        <f>'5.1 FT, MT'!P11</f>
        <v>21000000</v>
      </c>
      <c r="M11" s="14">
        <f aca="true" t="shared" si="3" ref="M11:M73">SUM(N11:U11)</f>
        <v>106760000</v>
      </c>
      <c r="N11" s="15">
        <v>0</v>
      </c>
      <c r="O11" s="16">
        <v>0</v>
      </c>
      <c r="P11" s="16">
        <f>'5.1 D'!R18</f>
        <v>82460000</v>
      </c>
      <c r="Q11" s="16">
        <v>0</v>
      </c>
      <c r="R11" s="16">
        <f>'5.1 FT, MT'!X20</f>
        <v>3300000</v>
      </c>
      <c r="S11" s="16">
        <v>0</v>
      </c>
      <c r="T11" s="16">
        <v>0</v>
      </c>
      <c r="U11" s="17">
        <f>'5.1 FT, MT'!X11</f>
        <v>21000000</v>
      </c>
    </row>
    <row r="12" spans="1:21" s="8" customFormat="1" ht="18.75" thickBot="1">
      <c r="A12" s="269"/>
      <c r="B12" s="18" t="s">
        <v>41</v>
      </c>
      <c r="C12" s="19" t="s">
        <v>42</v>
      </c>
      <c r="D12" s="20">
        <f t="shared" si="0"/>
        <v>0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0">
        <f t="shared" si="3"/>
        <v>0</v>
      </c>
      <c r="N12" s="21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3">
        <v>0</v>
      </c>
    </row>
    <row r="13" spans="1:21" s="8" customFormat="1" ht="18.75" thickBot="1">
      <c r="A13" s="269"/>
      <c r="B13" s="12" t="s">
        <v>43</v>
      </c>
      <c r="C13" s="24" t="s">
        <v>44</v>
      </c>
      <c r="D13" s="25">
        <f t="shared" si="0"/>
        <v>0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8">
        <v>0</v>
      </c>
      <c r="M13" s="25">
        <f t="shared" si="3"/>
        <v>0</v>
      </c>
      <c r="N13" s="26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8">
        <v>0</v>
      </c>
    </row>
    <row r="14" spans="1:21" s="8" customFormat="1" ht="66.75" customHeight="1">
      <c r="A14" s="10" t="s">
        <v>45</v>
      </c>
      <c r="B14" s="270" t="s">
        <v>46</v>
      </c>
      <c r="C14" s="270"/>
      <c r="D14" s="11">
        <f t="shared" si="0"/>
        <v>221720634</v>
      </c>
      <c r="E14" s="11">
        <f aca="true" t="shared" si="4" ref="E14:L14">SUM(E15:E17)</f>
        <v>172743652</v>
      </c>
      <c r="F14" s="11">
        <f t="shared" si="4"/>
        <v>31863982</v>
      </c>
      <c r="G14" s="11">
        <f t="shared" si="4"/>
        <v>15113000</v>
      </c>
      <c r="H14" s="11">
        <f t="shared" si="4"/>
        <v>0</v>
      </c>
      <c r="I14" s="11">
        <f t="shared" si="4"/>
        <v>0</v>
      </c>
      <c r="J14" s="11">
        <f t="shared" si="4"/>
        <v>2000000</v>
      </c>
      <c r="K14" s="11">
        <f t="shared" si="4"/>
        <v>0</v>
      </c>
      <c r="L14" s="11">
        <f t="shared" si="4"/>
        <v>0</v>
      </c>
      <c r="M14" s="11">
        <f>SUM(N14:U14)</f>
        <v>221750966</v>
      </c>
      <c r="N14" s="11">
        <f aca="true" t="shared" si="5" ref="N14:U14">SUM(N15:N17)</f>
        <v>172743652</v>
      </c>
      <c r="O14" s="11">
        <f t="shared" si="5"/>
        <v>31863982</v>
      </c>
      <c r="P14" s="11">
        <f t="shared" si="5"/>
        <v>15143332</v>
      </c>
      <c r="Q14" s="11">
        <f t="shared" si="5"/>
        <v>0</v>
      </c>
      <c r="R14" s="11">
        <f t="shared" si="5"/>
        <v>0</v>
      </c>
      <c r="S14" s="11">
        <f t="shared" si="5"/>
        <v>2000000</v>
      </c>
      <c r="T14" s="11">
        <f t="shared" si="5"/>
        <v>0</v>
      </c>
      <c r="U14" s="11">
        <f t="shared" si="5"/>
        <v>0</v>
      </c>
    </row>
    <row r="15" spans="1:21" s="8" customFormat="1" ht="18.75" thickBot="1">
      <c r="A15" s="269"/>
      <c r="B15" s="12" t="s">
        <v>47</v>
      </c>
      <c r="C15" s="19" t="s">
        <v>40</v>
      </c>
      <c r="D15" s="25">
        <f>SUM(E15:L15)</f>
        <v>204607634</v>
      </c>
      <c r="E15" s="15">
        <v>172743652</v>
      </c>
      <c r="F15" s="16">
        <v>31863982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25">
        <f t="shared" si="3"/>
        <v>204607634</v>
      </c>
      <c r="N15" s="15">
        <v>172743652</v>
      </c>
      <c r="O15" s="16">
        <v>31863982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v>0</v>
      </c>
    </row>
    <row r="16" spans="1:21" s="8" customFormat="1" ht="18.75" thickBot="1">
      <c r="A16" s="269"/>
      <c r="B16" s="12" t="s">
        <v>48</v>
      </c>
      <c r="C16" s="19" t="s">
        <v>42</v>
      </c>
      <c r="D16" s="25">
        <f t="shared" si="0"/>
        <v>17113000</v>
      </c>
      <c r="E16" s="21">
        <v>0</v>
      </c>
      <c r="F16" s="22">
        <v>0</v>
      </c>
      <c r="G16" s="29">
        <v>15113000</v>
      </c>
      <c r="H16" s="22">
        <v>0</v>
      </c>
      <c r="I16" s="22">
        <v>0</v>
      </c>
      <c r="J16" s="22">
        <v>2000000</v>
      </c>
      <c r="K16" s="22">
        <v>0</v>
      </c>
      <c r="L16" s="23">
        <v>0</v>
      </c>
      <c r="M16" s="25">
        <f t="shared" si="3"/>
        <v>17143332</v>
      </c>
      <c r="N16" s="21">
        <v>0</v>
      </c>
      <c r="O16" s="22">
        <v>0</v>
      </c>
      <c r="P16" s="29">
        <v>15143332</v>
      </c>
      <c r="Q16" s="22">
        <v>0</v>
      </c>
      <c r="R16" s="22">
        <v>0</v>
      </c>
      <c r="S16" s="22">
        <v>2000000</v>
      </c>
      <c r="T16" s="22">
        <v>0</v>
      </c>
      <c r="U16" s="23">
        <v>0</v>
      </c>
    </row>
    <row r="17" spans="1:21" s="8" customFormat="1" ht="18.75" thickBot="1">
      <c r="A17" s="269"/>
      <c r="B17" s="12" t="s">
        <v>49</v>
      </c>
      <c r="C17" s="30" t="s">
        <v>44</v>
      </c>
      <c r="D17" s="25">
        <f t="shared" si="0"/>
        <v>0</v>
      </c>
      <c r="E17" s="26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5">
        <f t="shared" si="3"/>
        <v>0</v>
      </c>
      <c r="N17" s="26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8">
        <v>0</v>
      </c>
    </row>
    <row r="18" spans="1:21" s="8" customFormat="1" ht="18" customHeight="1">
      <c r="A18" s="10" t="s">
        <v>50</v>
      </c>
      <c r="B18" s="270" t="s">
        <v>51</v>
      </c>
      <c r="C18" s="270"/>
      <c r="D18" s="11">
        <f t="shared" si="0"/>
        <v>2639433222</v>
      </c>
      <c r="E18" s="11">
        <f aca="true" t="shared" si="6" ref="E18:L18">SUM(E19:E21)</f>
        <v>0</v>
      </c>
      <c r="F18" s="11">
        <f t="shared" si="6"/>
        <v>0</v>
      </c>
      <c r="G18" s="11">
        <f t="shared" si="6"/>
        <v>2505433222</v>
      </c>
      <c r="H18" s="11">
        <f t="shared" si="6"/>
        <v>0</v>
      </c>
      <c r="I18" s="11">
        <f t="shared" si="6"/>
        <v>76000000</v>
      </c>
      <c r="J18" s="11">
        <f t="shared" si="6"/>
        <v>58000000</v>
      </c>
      <c r="K18" s="11">
        <f t="shared" si="6"/>
        <v>0</v>
      </c>
      <c r="L18" s="11">
        <f t="shared" si="6"/>
        <v>0</v>
      </c>
      <c r="M18" s="11">
        <f>SUM(N18:U18)</f>
        <v>3015786329</v>
      </c>
      <c r="N18" s="11">
        <f aca="true" t="shared" si="7" ref="N18:U18">SUM(N19:N21)</f>
        <v>0</v>
      </c>
      <c r="O18" s="11">
        <f t="shared" si="7"/>
        <v>0</v>
      </c>
      <c r="P18" s="11">
        <f t="shared" si="7"/>
        <v>2859296672</v>
      </c>
      <c r="Q18" s="11">
        <f t="shared" si="7"/>
        <v>0</v>
      </c>
      <c r="R18" s="11">
        <f t="shared" si="7"/>
        <v>87792823</v>
      </c>
      <c r="S18" s="11">
        <f t="shared" si="7"/>
        <v>68696834</v>
      </c>
      <c r="T18" s="11">
        <f t="shared" si="7"/>
        <v>0</v>
      </c>
      <c r="U18" s="11">
        <f t="shared" si="7"/>
        <v>0</v>
      </c>
    </row>
    <row r="19" spans="1:21" s="8" customFormat="1" ht="18.75" thickBot="1">
      <c r="A19" s="269"/>
      <c r="B19" s="12" t="s">
        <v>52</v>
      </c>
      <c r="C19" s="19" t="s">
        <v>40</v>
      </c>
      <c r="D19" s="25">
        <f t="shared" si="0"/>
        <v>2337433222</v>
      </c>
      <c r="E19" s="15">
        <f>'5.2.Városüzem'!E10</f>
        <v>0</v>
      </c>
      <c r="F19" s="16">
        <f>'5.2.Városüzem'!F10</f>
        <v>0</v>
      </c>
      <c r="G19" s="16">
        <f>'5.2.Városüzem'!G10</f>
        <v>2256433222</v>
      </c>
      <c r="H19" s="16">
        <f>'5.2.Városüzem'!H10</f>
        <v>0</v>
      </c>
      <c r="I19" s="16">
        <f>'5.2.Városüzem'!I10</f>
        <v>76000000</v>
      </c>
      <c r="J19" s="16">
        <f>'5.2.Városüzem'!J10</f>
        <v>5000000</v>
      </c>
      <c r="K19" s="16">
        <f>'5.2.Városüzem'!K10</f>
        <v>0</v>
      </c>
      <c r="L19" s="31">
        <f>'5.2.Városüzem'!L10</f>
        <v>0</v>
      </c>
      <c r="M19" s="25">
        <f t="shared" si="3"/>
        <v>2748556322</v>
      </c>
      <c r="N19" s="15">
        <f>'5.2.Városüzem'!N10</f>
        <v>0</v>
      </c>
      <c r="O19" s="15">
        <f>'5.2.Városüzem'!O10</f>
        <v>0</v>
      </c>
      <c r="P19" s="15">
        <f>'5.2.Városüzem'!P10</f>
        <v>2623857934</v>
      </c>
      <c r="Q19" s="15">
        <f>'5.2.Városüzem'!Q10</f>
        <v>0</v>
      </c>
      <c r="R19" s="15">
        <f>'5.2.Városüzem'!R10</f>
        <v>87792823</v>
      </c>
      <c r="S19" s="15">
        <f>'5.2.Városüzem'!S10</f>
        <v>36905565</v>
      </c>
      <c r="T19" s="15">
        <f>'5.2.Városüzem'!T10</f>
        <v>0</v>
      </c>
      <c r="U19" s="15">
        <f>'5.2.Városüzem'!U10</f>
        <v>0</v>
      </c>
    </row>
    <row r="20" spans="1:21" s="8" customFormat="1" ht="18.75" thickBot="1">
      <c r="A20" s="269"/>
      <c r="B20" s="12" t="s">
        <v>53</v>
      </c>
      <c r="C20" s="19" t="s">
        <v>42</v>
      </c>
      <c r="D20" s="25">
        <f t="shared" si="0"/>
        <v>302000000</v>
      </c>
      <c r="E20" s="21">
        <f>'5.2.Városüzem'!E33</f>
        <v>0</v>
      </c>
      <c r="F20" s="22">
        <f>'5.2.Városüzem'!F33</f>
        <v>0</v>
      </c>
      <c r="G20" s="22">
        <f>'5.2.Városüzem'!G33</f>
        <v>249000000</v>
      </c>
      <c r="H20" s="22">
        <f>'5.2.Városüzem'!H33</f>
        <v>0</v>
      </c>
      <c r="I20" s="22">
        <f>'5.2.Városüzem'!I33</f>
        <v>0</v>
      </c>
      <c r="J20" s="22">
        <f>'5.2.Városüzem'!J33</f>
        <v>53000000</v>
      </c>
      <c r="K20" s="22">
        <f>'5.2.Városüzem'!K33</f>
        <v>0</v>
      </c>
      <c r="L20" s="32">
        <f>'5.2.Városüzem'!L33</f>
        <v>0</v>
      </c>
      <c r="M20" s="25">
        <f t="shared" si="3"/>
        <v>267230007</v>
      </c>
      <c r="N20" s="21">
        <f>'5.2.Városüzem'!N33</f>
        <v>0</v>
      </c>
      <c r="O20" s="21">
        <f>'5.2.Városüzem'!O33</f>
        <v>0</v>
      </c>
      <c r="P20" s="21">
        <f>'5.2.Városüzem'!P33</f>
        <v>235438738</v>
      </c>
      <c r="Q20" s="21">
        <f>'5.2.Városüzem'!Q33</f>
        <v>0</v>
      </c>
      <c r="R20" s="21">
        <f>'5.2.Városüzem'!R33</f>
        <v>0</v>
      </c>
      <c r="S20" s="21">
        <f>'5.2.Városüzem'!S33</f>
        <v>31791269</v>
      </c>
      <c r="T20" s="21">
        <f>'5.2.Városüzem'!T33</f>
        <v>0</v>
      </c>
      <c r="U20" s="21">
        <f>'5.2.Városüzem'!U33</f>
        <v>0</v>
      </c>
    </row>
    <row r="21" spans="1:21" s="8" customFormat="1" ht="18.75" thickBot="1">
      <c r="A21" s="269"/>
      <c r="B21" s="12" t="s">
        <v>54</v>
      </c>
      <c r="C21" s="30" t="s">
        <v>44</v>
      </c>
      <c r="D21" s="25">
        <f t="shared" si="0"/>
        <v>0</v>
      </c>
      <c r="E21" s="26">
        <f>'5.2.Városüzem'!E48</f>
        <v>0</v>
      </c>
      <c r="F21" s="27">
        <f>'5.2.Városüzem'!F48</f>
        <v>0</v>
      </c>
      <c r="G21" s="27">
        <f>'5.2.Városüzem'!G48</f>
        <v>0</v>
      </c>
      <c r="H21" s="27">
        <f>'5.2.Városüzem'!H48</f>
        <v>0</v>
      </c>
      <c r="I21" s="27">
        <f>'5.2.Városüzem'!I48</f>
        <v>0</v>
      </c>
      <c r="J21" s="27">
        <f>'5.2.Városüzem'!J48</f>
        <v>0</v>
      </c>
      <c r="K21" s="27">
        <f>'5.2.Városüzem'!K48</f>
        <v>0</v>
      </c>
      <c r="L21" s="33">
        <f>'5.2.Városüzem'!L48</f>
        <v>0</v>
      </c>
      <c r="M21" s="25">
        <f t="shared" si="3"/>
        <v>0</v>
      </c>
      <c r="N21" s="26">
        <f>'5.2.Városüzem'!N48</f>
        <v>0</v>
      </c>
      <c r="O21" s="26">
        <f>'5.2.Városüzem'!O48</f>
        <v>0</v>
      </c>
      <c r="P21" s="26">
        <f>'5.2.Városüzem'!P48</f>
        <v>0</v>
      </c>
      <c r="Q21" s="26">
        <f>'5.2.Városüzem'!Q48</f>
        <v>0</v>
      </c>
      <c r="R21" s="26">
        <f>'5.2.Városüzem'!R48</f>
        <v>0</v>
      </c>
      <c r="S21" s="26">
        <f>'5.2.Városüzem'!S48</f>
        <v>0</v>
      </c>
      <c r="T21" s="26">
        <f>'5.2.Városüzem'!T48</f>
        <v>0</v>
      </c>
      <c r="U21" s="26">
        <f>'5.2.Városüzem'!U48</f>
        <v>0</v>
      </c>
    </row>
    <row r="22" spans="1:21" s="8" customFormat="1" ht="18" customHeight="1">
      <c r="A22" s="10" t="s">
        <v>55</v>
      </c>
      <c r="B22" s="270" t="s">
        <v>56</v>
      </c>
      <c r="C22" s="270"/>
      <c r="D22" s="11">
        <f t="shared" si="0"/>
        <v>1261500000</v>
      </c>
      <c r="E22" s="11">
        <f aca="true" t="shared" si="8" ref="E22:L22">SUM(E23:E25)</f>
        <v>0</v>
      </c>
      <c r="F22" s="11">
        <f t="shared" si="8"/>
        <v>0</v>
      </c>
      <c r="G22" s="11">
        <f t="shared" si="8"/>
        <v>1062500000</v>
      </c>
      <c r="H22" s="11">
        <f t="shared" si="8"/>
        <v>0</v>
      </c>
      <c r="I22" s="11">
        <f t="shared" si="8"/>
        <v>44000000</v>
      </c>
      <c r="J22" s="11">
        <f t="shared" si="8"/>
        <v>69000000</v>
      </c>
      <c r="K22" s="11">
        <f t="shared" si="8"/>
        <v>86000000</v>
      </c>
      <c r="L22" s="11">
        <f t="shared" si="8"/>
        <v>0</v>
      </c>
      <c r="M22" s="11">
        <f>SUM(N22:U22)</f>
        <v>1319950081</v>
      </c>
      <c r="N22" s="11">
        <f aca="true" t="shared" si="9" ref="N22:U22">SUM(N23:N25)</f>
        <v>151574</v>
      </c>
      <c r="O22" s="11">
        <f t="shared" si="9"/>
        <v>86553</v>
      </c>
      <c r="P22" s="11">
        <f t="shared" si="9"/>
        <v>1130508777</v>
      </c>
      <c r="Q22" s="11">
        <f t="shared" si="9"/>
        <v>0</v>
      </c>
      <c r="R22" s="11">
        <f t="shared" si="9"/>
        <v>83400000</v>
      </c>
      <c r="S22" s="11">
        <f t="shared" si="9"/>
        <v>15939737</v>
      </c>
      <c r="T22" s="11">
        <f t="shared" si="9"/>
        <v>87863440</v>
      </c>
      <c r="U22" s="11">
        <f t="shared" si="9"/>
        <v>2000000</v>
      </c>
    </row>
    <row r="23" spans="1:21" s="8" customFormat="1" ht="18.75" thickBot="1">
      <c r="A23" s="269"/>
      <c r="B23" s="12" t="s">
        <v>57</v>
      </c>
      <c r="C23" s="19" t="s">
        <v>40</v>
      </c>
      <c r="D23" s="25">
        <f t="shared" si="0"/>
        <v>1048000000</v>
      </c>
      <c r="E23" s="15">
        <f>'5.3. Zöldterületi kiadások'!E10</f>
        <v>0</v>
      </c>
      <c r="F23" s="15">
        <f>'5.3. Zöldterületi kiadások'!F10</f>
        <v>0</v>
      </c>
      <c r="G23" s="15">
        <f>'5.3. Zöldterületi kiadások'!G10</f>
        <v>929500000</v>
      </c>
      <c r="H23" s="15">
        <f>'5.3. Zöldterületi kiadások'!H10</f>
        <v>0</v>
      </c>
      <c r="I23" s="15">
        <f>'5.3. Zöldterületi kiadások'!I10</f>
        <v>6000000</v>
      </c>
      <c r="J23" s="15">
        <f>'5.3. Zöldterületi kiadások'!J10</f>
        <v>30000000</v>
      </c>
      <c r="K23" s="15">
        <f>'5.3. Zöldterületi kiadások'!K10</f>
        <v>82500000</v>
      </c>
      <c r="L23" s="15">
        <f>'5.3. Zöldterületi kiadások'!L10</f>
        <v>0</v>
      </c>
      <c r="M23" s="25">
        <f t="shared" si="3"/>
        <v>1141690204</v>
      </c>
      <c r="N23" s="15">
        <f>'5.3. Zöldterületi kiadások'!N10</f>
        <v>0</v>
      </c>
      <c r="O23" s="15">
        <f>'5.3. Zöldterületi kiadások'!O10</f>
        <v>0</v>
      </c>
      <c r="P23" s="15">
        <f>'5.3. Zöldterületi kiadások'!P10</f>
        <v>1050750673</v>
      </c>
      <c r="Q23" s="15">
        <f>'5.3. Zöldterületi kiadások'!Q10</f>
        <v>0</v>
      </c>
      <c r="R23" s="15">
        <f>'5.3. Zöldterületi kiadások'!R10</f>
        <v>3000000</v>
      </c>
      <c r="S23" s="15">
        <f>'5.3. Zöldterületi kiadások'!S10</f>
        <v>3374531</v>
      </c>
      <c r="T23" s="15">
        <f>'5.3. Zöldterületi kiadások'!T10</f>
        <v>82565000</v>
      </c>
      <c r="U23" s="15">
        <f>'5.3. Zöldterületi kiadások'!U10</f>
        <v>2000000</v>
      </c>
    </row>
    <row r="24" spans="1:21" s="8" customFormat="1" ht="18.75" thickBot="1">
      <c r="A24" s="269"/>
      <c r="B24" s="12" t="s">
        <v>58</v>
      </c>
      <c r="C24" s="19" t="s">
        <v>42</v>
      </c>
      <c r="D24" s="25">
        <f t="shared" si="0"/>
        <v>213500000</v>
      </c>
      <c r="E24" s="21">
        <f>'5.3. Zöldterületi kiadások'!E26</f>
        <v>0</v>
      </c>
      <c r="F24" s="21">
        <f>'5.3. Zöldterületi kiadások'!F26</f>
        <v>0</v>
      </c>
      <c r="G24" s="21">
        <f>'5.3. Zöldterületi kiadások'!G26</f>
        <v>133000000</v>
      </c>
      <c r="H24" s="21">
        <f>'5.3. Zöldterületi kiadások'!H26</f>
        <v>0</v>
      </c>
      <c r="I24" s="21">
        <f>'5.3. Zöldterületi kiadások'!I26</f>
        <v>38000000</v>
      </c>
      <c r="J24" s="21">
        <f>'5.3. Zöldterületi kiadások'!J26</f>
        <v>39000000</v>
      </c>
      <c r="K24" s="21">
        <f>'5.3. Zöldterületi kiadások'!K26</f>
        <v>3500000</v>
      </c>
      <c r="L24" s="21">
        <f>'5.3. Zöldterületi kiadások'!L26</f>
        <v>0</v>
      </c>
      <c r="M24" s="25">
        <f t="shared" si="3"/>
        <v>178259877</v>
      </c>
      <c r="N24" s="21">
        <f>'5.3. Zöldterületi kiadások'!N26</f>
        <v>151574</v>
      </c>
      <c r="O24" s="21">
        <f>'5.3. Zöldterületi kiadások'!O26</f>
        <v>86553</v>
      </c>
      <c r="P24" s="21">
        <f>'5.3. Zöldterületi kiadások'!P26</f>
        <v>79758104</v>
      </c>
      <c r="Q24" s="21">
        <f>'5.3. Zöldterületi kiadások'!Q26</f>
        <v>0</v>
      </c>
      <c r="R24" s="21">
        <f>'5.3. Zöldterületi kiadások'!R26</f>
        <v>80400000</v>
      </c>
      <c r="S24" s="21">
        <f>'5.3. Zöldterületi kiadások'!S26</f>
        <v>12565206</v>
      </c>
      <c r="T24" s="21">
        <f>'5.3. Zöldterületi kiadások'!T26</f>
        <v>5298440</v>
      </c>
      <c r="U24" s="21">
        <f>'5.3. Zöldterületi kiadások'!U26</f>
        <v>0</v>
      </c>
    </row>
    <row r="25" spans="1:21" s="8" customFormat="1" ht="18.75" thickBot="1">
      <c r="A25" s="269"/>
      <c r="B25" s="12" t="s">
        <v>59</v>
      </c>
      <c r="C25" s="30" t="s">
        <v>44</v>
      </c>
      <c r="D25" s="25">
        <f t="shared" si="0"/>
        <v>0</v>
      </c>
      <c r="E25" s="26">
        <f>'5.3. Zöldterületi kiadások'!E49</f>
        <v>0</v>
      </c>
      <c r="F25" s="26">
        <f>'5.3. Zöldterületi kiadások'!F49</f>
        <v>0</v>
      </c>
      <c r="G25" s="26">
        <f>'5.3. Zöldterületi kiadások'!G49</f>
        <v>0</v>
      </c>
      <c r="H25" s="26">
        <f>'5.3. Zöldterületi kiadások'!H49</f>
        <v>0</v>
      </c>
      <c r="I25" s="26">
        <f>'5.3. Zöldterületi kiadások'!I49</f>
        <v>0</v>
      </c>
      <c r="J25" s="26">
        <f>'5.3. Zöldterületi kiadások'!J49</f>
        <v>0</v>
      </c>
      <c r="K25" s="26">
        <f>'5.3. Zöldterületi kiadások'!K49</f>
        <v>0</v>
      </c>
      <c r="L25" s="26">
        <f>'5.3. Zöldterületi kiadások'!L49</f>
        <v>0</v>
      </c>
      <c r="M25" s="25">
        <f t="shared" si="3"/>
        <v>0</v>
      </c>
      <c r="N25" s="26">
        <f>'5.3. Zöldterületi kiadások'!N49</f>
        <v>0</v>
      </c>
      <c r="O25" s="26">
        <f>'5.3. Zöldterületi kiadások'!O49</f>
        <v>0</v>
      </c>
      <c r="P25" s="26">
        <f>'5.3. Zöldterületi kiadások'!P49</f>
        <v>0</v>
      </c>
      <c r="Q25" s="26">
        <f>'5.3. Zöldterületi kiadások'!Q49</f>
        <v>0</v>
      </c>
      <c r="R25" s="26">
        <f>'5.3. Zöldterületi kiadások'!R49</f>
        <v>0</v>
      </c>
      <c r="S25" s="26">
        <f>'5.3. Zöldterületi kiadások'!S49</f>
        <v>0</v>
      </c>
      <c r="T25" s="26">
        <f>'5.3. Zöldterületi kiadások'!T49</f>
        <v>0</v>
      </c>
      <c r="U25" s="26">
        <f>'5.3. Zöldterületi kiadások'!U49</f>
        <v>0</v>
      </c>
    </row>
    <row r="26" spans="1:21" s="8" customFormat="1" ht="18" customHeight="1">
      <c r="A26" s="10" t="s">
        <v>60</v>
      </c>
      <c r="B26" s="270" t="s">
        <v>61</v>
      </c>
      <c r="C26" s="270"/>
      <c r="D26" s="11">
        <f t="shared" si="0"/>
        <v>29505745004</v>
      </c>
      <c r="E26" s="11">
        <f aca="true" t="shared" si="10" ref="E26:L26">SUM(E27:E29)</f>
        <v>0</v>
      </c>
      <c r="F26" s="11">
        <f t="shared" si="10"/>
        <v>0</v>
      </c>
      <c r="G26" s="11">
        <f t="shared" si="10"/>
        <v>0</v>
      </c>
      <c r="H26" s="11">
        <f t="shared" si="10"/>
        <v>0</v>
      </c>
      <c r="I26" s="11">
        <f t="shared" si="10"/>
        <v>0</v>
      </c>
      <c r="J26" s="11">
        <f t="shared" si="10"/>
        <v>25113229943</v>
      </c>
      <c r="K26" s="11">
        <f t="shared" si="10"/>
        <v>4392515061</v>
      </c>
      <c r="L26" s="11">
        <f t="shared" si="10"/>
        <v>0</v>
      </c>
      <c r="M26" s="11">
        <f>SUM(N26:U26)</f>
        <v>49060187521</v>
      </c>
      <c r="N26" s="11">
        <f aca="true" t="shared" si="11" ref="N26:U26">SUM(N27:N29)</f>
        <v>0</v>
      </c>
      <c r="O26" s="11">
        <f t="shared" si="11"/>
        <v>0</v>
      </c>
      <c r="P26" s="11">
        <f t="shared" si="11"/>
        <v>2796754272</v>
      </c>
      <c r="Q26" s="11">
        <f t="shared" si="11"/>
        <v>0</v>
      </c>
      <c r="R26" s="11">
        <f t="shared" si="11"/>
        <v>24975748</v>
      </c>
      <c r="S26" s="11">
        <f t="shared" si="11"/>
        <v>37496958661</v>
      </c>
      <c r="T26" s="11">
        <f t="shared" si="11"/>
        <v>8183265222</v>
      </c>
      <c r="U26" s="11">
        <f t="shared" si="11"/>
        <v>558233618</v>
      </c>
    </row>
    <row r="27" spans="1:21" s="8" customFormat="1" ht="18.75" thickBot="1">
      <c r="A27" s="269"/>
      <c r="B27" s="12" t="s">
        <v>62</v>
      </c>
      <c r="C27" s="19" t="s">
        <v>40</v>
      </c>
      <c r="D27" s="25">
        <f t="shared" si="0"/>
        <v>0</v>
      </c>
      <c r="E27" s="16">
        <f>'5.4. Beruházás'!F10</f>
        <v>0</v>
      </c>
      <c r="F27" s="16">
        <f>'5.4. Beruházás'!G10</f>
        <v>0</v>
      </c>
      <c r="G27" s="16">
        <f>'5.4. Beruházás'!H10</f>
        <v>0</v>
      </c>
      <c r="H27" s="16">
        <f>'5.4. Beruházás'!I10</f>
        <v>0</v>
      </c>
      <c r="I27" s="16">
        <f>'5.4. Beruházás'!J10</f>
        <v>0</v>
      </c>
      <c r="J27" s="16">
        <f>'5.4. Beruházás'!K10</f>
        <v>0</v>
      </c>
      <c r="K27" s="16">
        <f>'5.4. Beruházás'!L10</f>
        <v>0</v>
      </c>
      <c r="L27" s="31">
        <f>'5.4. Beruházás'!M10</f>
        <v>0</v>
      </c>
      <c r="M27" s="25">
        <f t="shared" si="3"/>
        <v>0</v>
      </c>
      <c r="N27" s="16">
        <f>'5.4. Beruházás'!O10</f>
        <v>0</v>
      </c>
      <c r="O27" s="16">
        <f>'5.4. Beruházás'!P10</f>
        <v>0</v>
      </c>
      <c r="P27" s="16">
        <f>'5.4. Beruházás'!Q10</f>
        <v>0</v>
      </c>
      <c r="Q27" s="16">
        <f>'5.4. Beruházás'!R10</f>
        <v>0</v>
      </c>
      <c r="R27" s="16">
        <f>'5.4. Beruházás'!S10</f>
        <v>0</v>
      </c>
      <c r="S27" s="16">
        <f>'5.4. Beruházás'!T10</f>
        <v>0</v>
      </c>
      <c r="T27" s="16">
        <f>'5.4. Beruházás'!U10</f>
        <v>0</v>
      </c>
      <c r="U27" s="16">
        <f>'5.4. Beruházás'!V10</f>
        <v>0</v>
      </c>
    </row>
    <row r="28" spans="1:21" s="8" customFormat="1" ht="18.75" thickBot="1">
      <c r="A28" s="269"/>
      <c r="B28" s="12" t="s">
        <v>63</v>
      </c>
      <c r="C28" s="19" t="s">
        <v>42</v>
      </c>
      <c r="D28" s="25">
        <f t="shared" si="0"/>
        <v>29505745004</v>
      </c>
      <c r="E28" s="16">
        <f>'5.4. Beruházás'!F11</f>
        <v>0</v>
      </c>
      <c r="F28" s="16">
        <f>'5.4. Beruházás'!G11</f>
        <v>0</v>
      </c>
      <c r="G28" s="16">
        <f>'5.4. Beruházás'!H11</f>
        <v>0</v>
      </c>
      <c r="H28" s="16">
        <f>'5.4. Beruházás'!I11</f>
        <v>0</v>
      </c>
      <c r="I28" s="16">
        <f>'5.4. Beruházás'!J11</f>
        <v>0</v>
      </c>
      <c r="J28" s="16">
        <f>'5.4. Beruházás'!K11</f>
        <v>25113229943</v>
      </c>
      <c r="K28" s="16">
        <f>'5.4. Beruházás'!L11</f>
        <v>4392515061</v>
      </c>
      <c r="L28" s="16">
        <f>'5.4. Beruházás'!M11</f>
        <v>0</v>
      </c>
      <c r="M28" s="25">
        <f t="shared" si="3"/>
        <v>49060187521</v>
      </c>
      <c r="N28" s="16">
        <f>'5.4. Beruházás'!O11</f>
        <v>0</v>
      </c>
      <c r="O28" s="16">
        <f>'5.4. Beruházás'!P11</f>
        <v>0</v>
      </c>
      <c r="P28" s="16">
        <f>'5.4. Beruházás'!Q11</f>
        <v>2796754272</v>
      </c>
      <c r="Q28" s="16">
        <f>'5.4. Beruházás'!R11</f>
        <v>0</v>
      </c>
      <c r="R28" s="16">
        <f>'5.4. Beruházás'!S11</f>
        <v>24975748</v>
      </c>
      <c r="S28" s="16">
        <f>'5.4. Beruházás'!T11</f>
        <v>37496958661</v>
      </c>
      <c r="T28" s="16">
        <f>'5.4. Beruházás'!U11</f>
        <v>8183265222</v>
      </c>
      <c r="U28" s="16">
        <f>'5.4. Beruházás'!V11</f>
        <v>558233618</v>
      </c>
    </row>
    <row r="29" spans="1:21" s="8" customFormat="1" ht="18.75" thickBot="1">
      <c r="A29" s="269"/>
      <c r="B29" s="12" t="s">
        <v>64</v>
      </c>
      <c r="C29" s="30" t="s">
        <v>44</v>
      </c>
      <c r="D29" s="25">
        <f t="shared" si="0"/>
        <v>0</v>
      </c>
      <c r="E29" s="27">
        <f>'5.4. Beruházás'!F161</f>
        <v>0</v>
      </c>
      <c r="F29" s="27">
        <f>'5.4. Beruházás'!G161</f>
        <v>0</v>
      </c>
      <c r="G29" s="27">
        <v>0</v>
      </c>
      <c r="H29" s="27">
        <f>'5.4. Beruházás'!I161</f>
        <v>0</v>
      </c>
      <c r="I29" s="27">
        <f>'5.4. Beruházás'!J161</f>
        <v>0</v>
      </c>
      <c r="J29" s="27">
        <f>'5.4. Beruházás'!K161</f>
        <v>0</v>
      </c>
      <c r="K29" s="27">
        <f>'5.4. Beruházás'!L161</f>
        <v>0</v>
      </c>
      <c r="L29" s="33">
        <v>0</v>
      </c>
      <c r="M29" s="25">
        <f t="shared" si="3"/>
        <v>0</v>
      </c>
      <c r="N29" s="27">
        <f>'5.4. Beruházás'!O161</f>
        <v>0</v>
      </c>
      <c r="O29" s="27">
        <f>'5.4. Beruházás'!P161</f>
        <v>0</v>
      </c>
      <c r="P29" s="27">
        <f>'5.4. Beruházás'!Q161</f>
        <v>0</v>
      </c>
      <c r="Q29" s="27">
        <f>'5.4. Beruházás'!R161</f>
        <v>0</v>
      </c>
      <c r="R29" s="27">
        <f>'5.4. Beruházás'!S161</f>
        <v>0</v>
      </c>
      <c r="S29" s="27">
        <f>'5.4. Beruházás'!T161</f>
        <v>0</v>
      </c>
      <c r="T29" s="27">
        <f>'5.4. Beruházás'!U161</f>
        <v>0</v>
      </c>
      <c r="U29" s="27">
        <f>'5.4. Beruházás'!V161</f>
        <v>0</v>
      </c>
    </row>
    <row r="30" spans="1:21" s="8" customFormat="1" ht="30.75" customHeight="1">
      <c r="A30" s="10" t="s">
        <v>65</v>
      </c>
      <c r="B30" s="270" t="s">
        <v>66</v>
      </c>
      <c r="C30" s="270"/>
      <c r="D30" s="11">
        <f t="shared" si="0"/>
        <v>385360914</v>
      </c>
      <c r="E30" s="11">
        <f aca="true" t="shared" si="12" ref="E30:L30">SUM(E31:E33)</f>
        <v>0</v>
      </c>
      <c r="F30" s="11">
        <f t="shared" si="12"/>
        <v>0</v>
      </c>
      <c r="G30" s="11">
        <f t="shared" si="12"/>
        <v>110000000</v>
      </c>
      <c r="H30" s="11">
        <f t="shared" si="12"/>
        <v>0</v>
      </c>
      <c r="I30" s="11">
        <f t="shared" si="12"/>
        <v>0</v>
      </c>
      <c r="J30" s="11">
        <f t="shared" si="12"/>
        <v>0</v>
      </c>
      <c r="K30" s="11">
        <f t="shared" si="12"/>
        <v>275360914</v>
      </c>
      <c r="L30" s="11">
        <f t="shared" si="12"/>
        <v>0</v>
      </c>
      <c r="M30" s="11">
        <f>SUM(N30:U30)</f>
        <v>526466692</v>
      </c>
      <c r="N30" s="11">
        <f aca="true" t="shared" si="13" ref="N30:U30">SUM(N31:N33)</f>
        <v>0</v>
      </c>
      <c r="O30" s="11">
        <f t="shared" si="13"/>
        <v>0</v>
      </c>
      <c r="P30" s="11">
        <f t="shared" si="13"/>
        <v>120000000</v>
      </c>
      <c r="Q30" s="11">
        <f t="shared" si="13"/>
        <v>0</v>
      </c>
      <c r="R30" s="11">
        <f t="shared" si="13"/>
        <v>0</v>
      </c>
      <c r="S30" s="11">
        <f t="shared" si="13"/>
        <v>0</v>
      </c>
      <c r="T30" s="11">
        <f t="shared" si="13"/>
        <v>406466692</v>
      </c>
      <c r="U30" s="11">
        <f t="shared" si="13"/>
        <v>0</v>
      </c>
    </row>
    <row r="31" spans="1:21" s="8" customFormat="1" ht="18.75" thickBot="1">
      <c r="A31" s="269"/>
      <c r="B31" s="18" t="s">
        <v>67</v>
      </c>
      <c r="C31" s="19" t="s">
        <v>40</v>
      </c>
      <c r="D31" s="20">
        <f t="shared" si="0"/>
        <v>385360914</v>
      </c>
      <c r="E31" s="15">
        <f>'5.5. Lakásalap'!E10</f>
        <v>0</v>
      </c>
      <c r="F31" s="16">
        <f>'5.5. Lakásalap'!F10</f>
        <v>0</v>
      </c>
      <c r="G31" s="16">
        <f>'5.5. Lakásalap'!G10</f>
        <v>110000000</v>
      </c>
      <c r="H31" s="16">
        <f>'5.5. Lakásalap'!H10</f>
        <v>0</v>
      </c>
      <c r="I31" s="16">
        <f>'5.5. Lakásalap'!I10</f>
        <v>0</v>
      </c>
      <c r="J31" s="16">
        <f>'5.5. Lakásalap'!J10</f>
        <v>0</v>
      </c>
      <c r="K31" s="16">
        <f>'5.5. Lakásalap'!K10</f>
        <v>275360914</v>
      </c>
      <c r="L31" s="31">
        <f>'5.5. Lakásalap'!L10</f>
        <v>0</v>
      </c>
      <c r="M31" s="20">
        <f t="shared" si="3"/>
        <v>526466692</v>
      </c>
      <c r="N31" s="15">
        <f>'5.5. Lakásalap'!N10</f>
        <v>0</v>
      </c>
      <c r="O31" s="15">
        <f>'5.5. Lakásalap'!O10</f>
        <v>0</v>
      </c>
      <c r="P31" s="15">
        <f>'5.5. Lakásalap'!P10</f>
        <v>120000000</v>
      </c>
      <c r="Q31" s="15">
        <f>'5.5. Lakásalap'!Q10</f>
        <v>0</v>
      </c>
      <c r="R31" s="15">
        <f>'5.5. Lakásalap'!R10</f>
        <v>0</v>
      </c>
      <c r="S31" s="15">
        <f>'5.5. Lakásalap'!S10</f>
        <v>0</v>
      </c>
      <c r="T31" s="15">
        <f>'5.5. Lakásalap'!T10</f>
        <v>406466692</v>
      </c>
      <c r="U31" s="15">
        <f>'5.5. Lakásalap'!U10</f>
        <v>0</v>
      </c>
    </row>
    <row r="32" spans="1:21" s="8" customFormat="1" ht="18.75" thickBot="1">
      <c r="A32" s="269"/>
      <c r="B32" s="18" t="s">
        <v>68</v>
      </c>
      <c r="C32" s="19" t="s">
        <v>42</v>
      </c>
      <c r="D32" s="20">
        <f t="shared" si="0"/>
        <v>0</v>
      </c>
      <c r="E32" s="21">
        <f>'5.5. Lakásalap'!E18</f>
        <v>0</v>
      </c>
      <c r="F32" s="22">
        <f>'5.5. Lakásalap'!F18</f>
        <v>0</v>
      </c>
      <c r="G32" s="22">
        <f>'5.5. Lakásalap'!G18</f>
        <v>0</v>
      </c>
      <c r="H32" s="22">
        <f>'5.5. Lakásalap'!H18</f>
        <v>0</v>
      </c>
      <c r="I32" s="22">
        <f>'5.5. Lakásalap'!I18</f>
        <v>0</v>
      </c>
      <c r="J32" s="22">
        <f>'5.5. Lakásalap'!J18</f>
        <v>0</v>
      </c>
      <c r="K32" s="22">
        <f>'5.5. Lakásalap'!K18</f>
        <v>0</v>
      </c>
      <c r="L32" s="32">
        <f>'5.5. Lakásalap'!L18</f>
        <v>0</v>
      </c>
      <c r="M32" s="20">
        <f t="shared" si="3"/>
        <v>0</v>
      </c>
      <c r="N32" s="21">
        <f>'5.5. Lakásalap'!N18</f>
        <v>0</v>
      </c>
      <c r="O32" s="21">
        <f>'5.5. Lakásalap'!O18</f>
        <v>0</v>
      </c>
      <c r="P32" s="21">
        <f>'5.5. Lakásalap'!P18</f>
        <v>0</v>
      </c>
      <c r="Q32" s="21">
        <f>'5.5. Lakásalap'!Q18</f>
        <v>0</v>
      </c>
      <c r="R32" s="21">
        <f>'5.5. Lakásalap'!R18</f>
        <v>0</v>
      </c>
      <c r="S32" s="21">
        <f>'5.5. Lakásalap'!S18</f>
        <v>0</v>
      </c>
      <c r="T32" s="21">
        <f>'5.5. Lakásalap'!T18</f>
        <v>0</v>
      </c>
      <c r="U32" s="21">
        <f>'5.5. Lakásalap'!U18</f>
        <v>0</v>
      </c>
    </row>
    <row r="33" spans="1:21" s="8" customFormat="1" ht="18.75" thickBot="1">
      <c r="A33" s="269"/>
      <c r="B33" s="18" t="s">
        <v>69</v>
      </c>
      <c r="C33" s="19" t="s">
        <v>44</v>
      </c>
      <c r="D33" s="20">
        <f t="shared" si="0"/>
        <v>0</v>
      </c>
      <c r="E33" s="26">
        <f>'5.5. Lakásalap'!E19</f>
        <v>0</v>
      </c>
      <c r="F33" s="27">
        <f>'5.5. Lakásalap'!F19</f>
        <v>0</v>
      </c>
      <c r="G33" s="27">
        <f>'5.5. Lakásalap'!G19</f>
        <v>0</v>
      </c>
      <c r="H33" s="27">
        <f>'5.5. Lakásalap'!H19</f>
        <v>0</v>
      </c>
      <c r="I33" s="27">
        <f>'5.5. Lakásalap'!I19</f>
        <v>0</v>
      </c>
      <c r="J33" s="27">
        <f>'5.5. Lakásalap'!J19</f>
        <v>0</v>
      </c>
      <c r="K33" s="27">
        <f>'5.5. Lakásalap'!K19</f>
        <v>0</v>
      </c>
      <c r="L33" s="33">
        <f>'5.5. Lakásalap'!L19</f>
        <v>0</v>
      </c>
      <c r="M33" s="20">
        <f t="shared" si="3"/>
        <v>0</v>
      </c>
      <c r="N33" s="26">
        <f>'5.5. Lakásalap'!N19</f>
        <v>0</v>
      </c>
      <c r="O33" s="26">
        <f>'5.5. Lakásalap'!O19</f>
        <v>0</v>
      </c>
      <c r="P33" s="26">
        <f>'5.5. Lakásalap'!P19</f>
        <v>0</v>
      </c>
      <c r="Q33" s="26">
        <f>'5.5. Lakásalap'!Q19</f>
        <v>0</v>
      </c>
      <c r="R33" s="26">
        <f>'5.5. Lakásalap'!R19</f>
        <v>0</v>
      </c>
      <c r="S33" s="26">
        <f>'5.5. Lakásalap'!S19</f>
        <v>0</v>
      </c>
      <c r="T33" s="26">
        <f>'5.5. Lakásalap'!T19</f>
        <v>0</v>
      </c>
      <c r="U33" s="26">
        <f>'5.5. Lakásalap'!U19</f>
        <v>0</v>
      </c>
    </row>
    <row r="34" spans="1:21" s="8" customFormat="1" ht="18" customHeight="1">
      <c r="A34" s="10" t="s">
        <v>70</v>
      </c>
      <c r="B34" s="270" t="s">
        <v>71</v>
      </c>
      <c r="C34" s="270"/>
      <c r="D34" s="11">
        <f t="shared" si="0"/>
        <v>154679000</v>
      </c>
      <c r="E34" s="11">
        <f aca="true" t="shared" si="14" ref="E34:L34">SUM(E35:E37)</f>
        <v>37551000</v>
      </c>
      <c r="F34" s="11">
        <f t="shared" si="14"/>
        <v>16678000</v>
      </c>
      <c r="G34" s="11">
        <f t="shared" si="14"/>
        <v>100450000</v>
      </c>
      <c r="H34" s="11">
        <f t="shared" si="14"/>
        <v>0</v>
      </c>
      <c r="I34" s="11">
        <f t="shared" si="14"/>
        <v>0</v>
      </c>
      <c r="J34" s="11">
        <f t="shared" si="14"/>
        <v>0</v>
      </c>
      <c r="K34" s="11">
        <f t="shared" si="14"/>
        <v>0</v>
      </c>
      <c r="L34" s="11">
        <f t="shared" si="14"/>
        <v>0</v>
      </c>
      <c r="M34" s="11">
        <f>SUM(N34:U34)</f>
        <v>210148762</v>
      </c>
      <c r="N34" s="11">
        <f aca="true" t="shared" si="15" ref="N34:U34">SUM(N35:N37)</f>
        <v>20458685</v>
      </c>
      <c r="O34" s="11">
        <f t="shared" si="15"/>
        <v>9856977</v>
      </c>
      <c r="P34" s="11">
        <f t="shared" si="15"/>
        <v>179833100</v>
      </c>
      <c r="Q34" s="11">
        <f t="shared" si="15"/>
        <v>0</v>
      </c>
      <c r="R34" s="11">
        <f t="shared" si="15"/>
        <v>0</v>
      </c>
      <c r="S34" s="11">
        <f t="shared" si="15"/>
        <v>0</v>
      </c>
      <c r="T34" s="11">
        <f t="shared" si="15"/>
        <v>0</v>
      </c>
      <c r="U34" s="11">
        <f t="shared" si="15"/>
        <v>0</v>
      </c>
    </row>
    <row r="35" spans="1:21" s="8" customFormat="1" ht="18.75" thickBot="1">
      <c r="A35" s="269"/>
      <c r="B35" s="12" t="s">
        <v>72</v>
      </c>
      <c r="C35" s="19" t="s">
        <v>40</v>
      </c>
      <c r="D35" s="25">
        <f t="shared" si="0"/>
        <v>9229000</v>
      </c>
      <c r="E35" s="15">
        <f>'5.6. Városrendezési tervek'!E10</f>
        <v>7551000</v>
      </c>
      <c r="F35" s="15">
        <f>'5.6. Városrendezési tervek'!F10</f>
        <v>1678000</v>
      </c>
      <c r="G35" s="15">
        <f>'5.6. Városrendezési tervek'!G10</f>
        <v>0</v>
      </c>
      <c r="H35" s="15">
        <f>'5.6. Városrendezési tervek'!H10</f>
        <v>0</v>
      </c>
      <c r="I35" s="15">
        <f>'5.6. Városrendezési tervek'!I10</f>
        <v>0</v>
      </c>
      <c r="J35" s="15">
        <f>'5.6. Városrendezési tervek'!J10</f>
        <v>0</v>
      </c>
      <c r="K35" s="15">
        <f>'5.6. Városrendezési tervek'!K10</f>
        <v>0</v>
      </c>
      <c r="L35" s="15">
        <f>'5.6. Városrendezési tervek'!L10</f>
        <v>0</v>
      </c>
      <c r="M35" s="25">
        <f t="shared" si="3"/>
        <v>137020662</v>
      </c>
      <c r="N35" s="15">
        <f>'5.6. Városrendezési tervek'!N10</f>
        <v>12223685</v>
      </c>
      <c r="O35" s="15">
        <f>'5.6. Városrendezési tervek'!O10</f>
        <v>2856977</v>
      </c>
      <c r="P35" s="15">
        <f>'5.6. Városrendezési tervek'!P10</f>
        <v>121940000</v>
      </c>
      <c r="Q35" s="15">
        <f>'5.6. Városrendezési tervek'!Q10</f>
        <v>0</v>
      </c>
      <c r="R35" s="15">
        <f>'5.6. Városrendezési tervek'!R10</f>
        <v>0</v>
      </c>
      <c r="S35" s="15">
        <f>'5.6. Városrendezési tervek'!S10</f>
        <v>0</v>
      </c>
      <c r="T35" s="15">
        <f>'5.6. Városrendezési tervek'!T10</f>
        <v>0</v>
      </c>
      <c r="U35" s="15">
        <f>'5.6. Városrendezési tervek'!U10</f>
        <v>0</v>
      </c>
    </row>
    <row r="36" spans="1:21" s="8" customFormat="1" ht="18.75" thickBot="1">
      <c r="A36" s="269"/>
      <c r="B36" s="12" t="s">
        <v>73</v>
      </c>
      <c r="C36" s="19" t="s">
        <v>42</v>
      </c>
      <c r="D36" s="25">
        <f t="shared" si="0"/>
        <v>145450000</v>
      </c>
      <c r="E36" s="21">
        <f>'5.6. Városrendezési tervek'!E12</f>
        <v>30000000</v>
      </c>
      <c r="F36" s="21">
        <f>'5.6. Városrendezési tervek'!F12</f>
        <v>15000000</v>
      </c>
      <c r="G36" s="21">
        <f>'5.6. Városrendezési tervek'!G12</f>
        <v>100450000</v>
      </c>
      <c r="H36" s="21">
        <f>'5.6. Városrendezési tervek'!H12</f>
        <v>0</v>
      </c>
      <c r="I36" s="21">
        <f>'5.6. Városrendezési tervek'!I12</f>
        <v>0</v>
      </c>
      <c r="J36" s="21">
        <f>'5.6. Városrendezési tervek'!J12</f>
        <v>0</v>
      </c>
      <c r="K36" s="21">
        <f>'5.6. Városrendezési tervek'!K12</f>
        <v>0</v>
      </c>
      <c r="L36" s="21">
        <f>'5.6. Városrendezési tervek'!L12</f>
        <v>0</v>
      </c>
      <c r="M36" s="25">
        <f t="shared" si="3"/>
        <v>73128100</v>
      </c>
      <c r="N36" s="21">
        <f>'5.6. Városrendezési tervek'!N12</f>
        <v>8235000</v>
      </c>
      <c r="O36" s="21">
        <f>'5.6. Városrendezési tervek'!O12</f>
        <v>7000000</v>
      </c>
      <c r="P36" s="21">
        <f>'5.6. Városrendezési tervek'!P12</f>
        <v>57893100</v>
      </c>
      <c r="Q36" s="21">
        <f>'5.6. Városrendezési tervek'!Q12</f>
        <v>0</v>
      </c>
      <c r="R36" s="21">
        <f>'5.6. Városrendezési tervek'!R12</f>
        <v>0</v>
      </c>
      <c r="S36" s="21">
        <f>'5.6. Városrendezési tervek'!S12</f>
        <v>0</v>
      </c>
      <c r="T36" s="21">
        <f>'5.6. Városrendezési tervek'!T12</f>
        <v>0</v>
      </c>
      <c r="U36" s="21">
        <f>'5.6. Városrendezési tervek'!U12</f>
        <v>0</v>
      </c>
    </row>
    <row r="37" spans="1:21" s="8" customFormat="1" ht="18.75" thickBot="1">
      <c r="A37" s="269"/>
      <c r="B37" s="12" t="s">
        <v>74</v>
      </c>
      <c r="C37" s="30" t="s">
        <v>44</v>
      </c>
      <c r="D37" s="25">
        <f t="shared" si="0"/>
        <v>0</v>
      </c>
      <c r="E37" s="26">
        <f>'5.6. Városrendezési tervek'!E19</f>
        <v>0</v>
      </c>
      <c r="F37" s="26">
        <f>'5.6. Városrendezési tervek'!F19</f>
        <v>0</v>
      </c>
      <c r="G37" s="26">
        <f>'5.6. Városrendezési tervek'!G19</f>
        <v>0</v>
      </c>
      <c r="H37" s="26">
        <f>'5.6. Városrendezési tervek'!H19</f>
        <v>0</v>
      </c>
      <c r="I37" s="26">
        <f>'5.6. Városrendezési tervek'!I19</f>
        <v>0</v>
      </c>
      <c r="J37" s="26">
        <f>'5.6. Városrendezési tervek'!J19</f>
        <v>0</v>
      </c>
      <c r="K37" s="26">
        <f>'5.6. Városrendezési tervek'!K19</f>
        <v>0</v>
      </c>
      <c r="L37" s="26">
        <f>'5.6. Városrendezési tervek'!L19</f>
        <v>0</v>
      </c>
      <c r="M37" s="25">
        <f t="shared" si="3"/>
        <v>0</v>
      </c>
      <c r="N37" s="26">
        <f>'5.6. Városrendezési tervek'!N19</f>
        <v>0</v>
      </c>
      <c r="O37" s="26">
        <f>'5.6. Városrendezési tervek'!O19</f>
        <v>0</v>
      </c>
      <c r="P37" s="26">
        <f>'5.6. Városrendezési tervek'!P19</f>
        <v>0</v>
      </c>
      <c r="Q37" s="26">
        <f>'5.6. Városrendezési tervek'!Q19</f>
        <v>0</v>
      </c>
      <c r="R37" s="26">
        <f>'5.6. Városrendezési tervek'!R19</f>
        <v>0</v>
      </c>
      <c r="S37" s="26">
        <f>'5.6. Városrendezési tervek'!S19</f>
        <v>0</v>
      </c>
      <c r="T37" s="26">
        <f>'5.6. Városrendezési tervek'!T19</f>
        <v>0</v>
      </c>
      <c r="U37" s="26">
        <f>'5.6. Városrendezési tervek'!U19</f>
        <v>0</v>
      </c>
    </row>
    <row r="38" spans="1:21" s="8" customFormat="1" ht="18" customHeight="1">
      <c r="A38" s="10" t="s">
        <v>75</v>
      </c>
      <c r="B38" s="270" t="s">
        <v>76</v>
      </c>
      <c r="C38" s="270"/>
      <c r="D38" s="11">
        <f t="shared" si="0"/>
        <v>4129011494</v>
      </c>
      <c r="E38" s="11">
        <f aca="true" t="shared" si="16" ref="E38:L38">SUM(E39:E41)</f>
        <v>0</v>
      </c>
      <c r="F38" s="11">
        <f t="shared" si="16"/>
        <v>0</v>
      </c>
      <c r="G38" s="11">
        <f t="shared" si="16"/>
        <v>144237595</v>
      </c>
      <c r="H38" s="11">
        <f t="shared" si="16"/>
        <v>0</v>
      </c>
      <c r="I38" s="11">
        <f t="shared" si="16"/>
        <v>0</v>
      </c>
      <c r="J38" s="11">
        <f t="shared" si="16"/>
        <v>3984773899</v>
      </c>
      <c r="K38" s="11">
        <f t="shared" si="16"/>
        <v>0</v>
      </c>
      <c r="L38" s="11">
        <f t="shared" si="16"/>
        <v>0</v>
      </c>
      <c r="M38" s="11">
        <f>SUM(N38:U38)</f>
        <v>5352189698</v>
      </c>
      <c r="N38" s="11">
        <f aca="true" t="shared" si="17" ref="N38:U38">SUM(N39:N41)</f>
        <v>0</v>
      </c>
      <c r="O38" s="11">
        <f t="shared" si="17"/>
        <v>0</v>
      </c>
      <c r="P38" s="11">
        <f t="shared" si="17"/>
        <v>595225767</v>
      </c>
      <c r="Q38" s="11">
        <f t="shared" si="17"/>
        <v>0</v>
      </c>
      <c r="R38" s="11">
        <f t="shared" si="17"/>
        <v>15078487</v>
      </c>
      <c r="S38" s="11">
        <f t="shared" si="17"/>
        <v>4209985892</v>
      </c>
      <c r="T38" s="11">
        <f t="shared" si="17"/>
        <v>19564425</v>
      </c>
      <c r="U38" s="11">
        <f t="shared" si="17"/>
        <v>512335127</v>
      </c>
    </row>
    <row r="39" spans="1:21" s="8" customFormat="1" ht="18.75" thickBot="1">
      <c r="A39" s="269"/>
      <c r="B39" s="12" t="s">
        <v>77</v>
      </c>
      <c r="C39" s="19" t="s">
        <v>40</v>
      </c>
      <c r="D39" s="25">
        <f t="shared" si="0"/>
        <v>0</v>
      </c>
      <c r="E39" s="15">
        <f>'5.7. Kertség'!F10</f>
        <v>0</v>
      </c>
      <c r="F39" s="16">
        <f>'5.7. Kertség'!G10</f>
        <v>0</v>
      </c>
      <c r="G39" s="16">
        <f>'5.7. Kertség'!H10</f>
        <v>0</v>
      </c>
      <c r="H39" s="16">
        <f>'5.7. Kertség'!I10</f>
        <v>0</v>
      </c>
      <c r="I39" s="16">
        <f>'5.7. Kertség'!J10</f>
        <v>0</v>
      </c>
      <c r="J39" s="16">
        <f>'5.7. Kertség'!K10</f>
        <v>0</v>
      </c>
      <c r="K39" s="16">
        <f>'5.7. Kertség'!L10</f>
        <v>0</v>
      </c>
      <c r="L39" s="31">
        <f>'5.7. Kertség'!M10</f>
        <v>0</v>
      </c>
      <c r="M39" s="25">
        <f t="shared" si="3"/>
        <v>0</v>
      </c>
      <c r="N39" s="15">
        <f>'5.7. Kertség'!O10</f>
        <v>0</v>
      </c>
      <c r="O39" s="15">
        <f>'5.7. Kertség'!P10</f>
        <v>0</v>
      </c>
      <c r="P39" s="15">
        <f>'5.7. Kertség'!Q10</f>
        <v>0</v>
      </c>
      <c r="Q39" s="15">
        <f>'5.7. Kertség'!R10</f>
        <v>0</v>
      </c>
      <c r="R39" s="15">
        <f>'5.7. Kertség'!S10</f>
        <v>0</v>
      </c>
      <c r="S39" s="15">
        <f>'5.7. Kertség'!T10</f>
        <v>0</v>
      </c>
      <c r="T39" s="15">
        <f>'5.7. Kertség'!U10</f>
        <v>0</v>
      </c>
      <c r="U39" s="15">
        <f>'5.7. Kertség'!V10</f>
        <v>0</v>
      </c>
    </row>
    <row r="40" spans="1:21" s="34" customFormat="1" ht="18.75" thickBot="1">
      <c r="A40" s="269"/>
      <c r="B40" s="12" t="s">
        <v>78</v>
      </c>
      <c r="C40" s="19" t="s">
        <v>42</v>
      </c>
      <c r="D40" s="25">
        <f t="shared" si="0"/>
        <v>4129011494</v>
      </c>
      <c r="E40" s="21">
        <f>'5.7. Kertség'!F11</f>
        <v>0</v>
      </c>
      <c r="F40" s="22">
        <f>'5.7. Kertség'!G11</f>
        <v>0</v>
      </c>
      <c r="G40" s="22">
        <f>'5.7. Kertség'!H11</f>
        <v>144237595</v>
      </c>
      <c r="H40" s="22">
        <f>'5.7. Kertség'!I11</f>
        <v>0</v>
      </c>
      <c r="I40" s="22">
        <f>'5.7. Kertség'!J11</f>
        <v>0</v>
      </c>
      <c r="J40" s="22">
        <f>'5.7. Kertség'!K11</f>
        <v>3984773899</v>
      </c>
      <c r="K40" s="22">
        <f>'5.7. Kertség'!L11</f>
        <v>0</v>
      </c>
      <c r="L40" s="32">
        <f>'5.7. Kertség'!M11</f>
        <v>0</v>
      </c>
      <c r="M40" s="25">
        <f t="shared" si="3"/>
        <v>5352189698</v>
      </c>
      <c r="N40" s="21">
        <f>'5.7. Kertség'!O11</f>
        <v>0</v>
      </c>
      <c r="O40" s="21">
        <f>'5.7. Kertség'!P11</f>
        <v>0</v>
      </c>
      <c r="P40" s="21">
        <f>'5.7. Kertség'!Q11</f>
        <v>595225767</v>
      </c>
      <c r="Q40" s="21">
        <f>'5.7. Kertség'!R11</f>
        <v>0</v>
      </c>
      <c r="R40" s="21">
        <f>'5.7. Kertség'!S11</f>
        <v>15078487</v>
      </c>
      <c r="S40" s="21">
        <f>'5.7. Kertség'!T11</f>
        <v>4209985892</v>
      </c>
      <c r="T40" s="21">
        <f>'5.7. Kertség'!U11</f>
        <v>19564425</v>
      </c>
      <c r="U40" s="21">
        <f>'5.7. Kertség'!V11</f>
        <v>512335127</v>
      </c>
    </row>
    <row r="41" spans="1:21" s="34" customFormat="1" ht="18.75" thickBot="1">
      <c r="A41" s="269"/>
      <c r="B41" s="12" t="s">
        <v>79</v>
      </c>
      <c r="C41" s="30" t="s">
        <v>44</v>
      </c>
      <c r="D41" s="25">
        <f t="shared" si="0"/>
        <v>0</v>
      </c>
      <c r="E41" s="26">
        <f>'5.7. Kertség'!F40</f>
        <v>0</v>
      </c>
      <c r="F41" s="27">
        <f>'5.7. Kertség'!G40</f>
        <v>0</v>
      </c>
      <c r="G41" s="27">
        <v>0</v>
      </c>
      <c r="H41" s="27">
        <f>'5.7. Kertség'!I40</f>
        <v>0</v>
      </c>
      <c r="I41" s="27">
        <f>'5.7. Kertség'!J40</f>
        <v>0</v>
      </c>
      <c r="J41" s="27">
        <v>0</v>
      </c>
      <c r="K41" s="27">
        <f>'5.7. Kertség'!L40</f>
        <v>0</v>
      </c>
      <c r="L41" s="33">
        <v>0</v>
      </c>
      <c r="M41" s="25">
        <f t="shared" si="3"/>
        <v>0</v>
      </c>
      <c r="N41" s="26">
        <f>'5.7. Kertség'!O40</f>
        <v>0</v>
      </c>
      <c r="O41" s="26">
        <f>'5.7. Kertség'!P40</f>
        <v>0</v>
      </c>
      <c r="P41" s="26">
        <f>'5.7. Kertség'!Q40</f>
        <v>0</v>
      </c>
      <c r="Q41" s="26">
        <f>'5.7. Kertség'!R40</f>
        <v>0</v>
      </c>
      <c r="R41" s="26">
        <f>'5.7. Kertség'!S40</f>
        <v>0</v>
      </c>
      <c r="S41" s="26">
        <f>'5.7. Kertség'!T40</f>
        <v>0</v>
      </c>
      <c r="T41" s="26">
        <f>'5.7. Kertség'!U40</f>
        <v>0</v>
      </c>
      <c r="U41" s="26">
        <f>'5.7. Kertség'!V40</f>
        <v>0</v>
      </c>
    </row>
    <row r="42" spans="1:21" s="34" customFormat="1" ht="18" customHeight="1">
      <c r="A42" s="10" t="s">
        <v>80</v>
      </c>
      <c r="B42" s="270" t="s">
        <v>81</v>
      </c>
      <c r="C42" s="270"/>
      <c r="D42" s="11">
        <f aca="true" t="shared" si="18" ref="D42:D73">SUM(E42:L42)</f>
        <v>10520000</v>
      </c>
      <c r="E42" s="11">
        <f aca="true" t="shared" si="19" ref="E42:L42">SUM(E43:E45)</f>
        <v>0</v>
      </c>
      <c r="F42" s="11">
        <f t="shared" si="19"/>
        <v>0</v>
      </c>
      <c r="G42" s="11">
        <f t="shared" si="19"/>
        <v>100000</v>
      </c>
      <c r="H42" s="11">
        <f t="shared" si="19"/>
        <v>420000</v>
      </c>
      <c r="I42" s="11">
        <f t="shared" si="19"/>
        <v>10000000</v>
      </c>
      <c r="J42" s="11">
        <f t="shared" si="19"/>
        <v>0</v>
      </c>
      <c r="K42" s="11">
        <f t="shared" si="19"/>
        <v>0</v>
      </c>
      <c r="L42" s="11">
        <f t="shared" si="19"/>
        <v>0</v>
      </c>
      <c r="M42" s="11">
        <f>SUM(N42:U42)</f>
        <v>9216863</v>
      </c>
      <c r="N42" s="11">
        <f aca="true" t="shared" si="20" ref="N42:U42">SUM(N43:N45)</f>
        <v>0</v>
      </c>
      <c r="O42" s="11">
        <f t="shared" si="20"/>
        <v>0</v>
      </c>
      <c r="P42" s="11">
        <f t="shared" si="20"/>
        <v>46863</v>
      </c>
      <c r="Q42" s="11">
        <f t="shared" si="20"/>
        <v>270000</v>
      </c>
      <c r="R42" s="11">
        <f t="shared" si="20"/>
        <v>7100000</v>
      </c>
      <c r="S42" s="11">
        <f t="shared" si="20"/>
        <v>0</v>
      </c>
      <c r="T42" s="11">
        <f t="shared" si="20"/>
        <v>0</v>
      </c>
      <c r="U42" s="11">
        <f t="shared" si="20"/>
        <v>1800000</v>
      </c>
    </row>
    <row r="43" spans="1:21" s="34" customFormat="1" ht="18.75" thickBot="1">
      <c r="A43" s="269"/>
      <c r="B43" s="12" t="s">
        <v>82</v>
      </c>
      <c r="C43" s="19" t="s">
        <v>40</v>
      </c>
      <c r="D43" s="25">
        <f t="shared" si="18"/>
        <v>520000</v>
      </c>
      <c r="E43" s="16">
        <v>0</v>
      </c>
      <c r="F43" s="16">
        <v>0</v>
      </c>
      <c r="G43" s="16">
        <v>100000</v>
      </c>
      <c r="H43" s="16">
        <v>420000</v>
      </c>
      <c r="I43" s="16">
        <v>0</v>
      </c>
      <c r="J43" s="16">
        <v>0</v>
      </c>
      <c r="K43" s="16">
        <v>0</v>
      </c>
      <c r="L43" s="31">
        <v>0</v>
      </c>
      <c r="M43" s="25">
        <f t="shared" si="3"/>
        <v>316863</v>
      </c>
      <c r="N43" s="16">
        <v>0</v>
      </c>
      <c r="O43" s="16">
        <v>0</v>
      </c>
      <c r="P43" s="16">
        <v>46863</v>
      </c>
      <c r="Q43" s="16">
        <v>270000</v>
      </c>
      <c r="R43" s="16">
        <v>0</v>
      </c>
      <c r="S43" s="16">
        <v>0</v>
      </c>
      <c r="T43" s="16">
        <v>0</v>
      </c>
      <c r="U43" s="31">
        <v>0</v>
      </c>
    </row>
    <row r="44" spans="1:21" s="34" customFormat="1" ht="18.75" thickBot="1">
      <c r="A44" s="269"/>
      <c r="B44" s="12" t="s">
        <v>83</v>
      </c>
      <c r="C44" s="19" t="s">
        <v>42</v>
      </c>
      <c r="D44" s="25">
        <f t="shared" si="18"/>
        <v>10000000</v>
      </c>
      <c r="E44" s="21">
        <v>0</v>
      </c>
      <c r="F44" s="22">
        <v>0</v>
      </c>
      <c r="G44" s="22">
        <v>0</v>
      </c>
      <c r="H44" s="22">
        <v>0</v>
      </c>
      <c r="I44" s="22">
        <v>10000000</v>
      </c>
      <c r="J44" s="22">
        <v>0</v>
      </c>
      <c r="K44" s="22">
        <v>0</v>
      </c>
      <c r="L44" s="32">
        <v>0</v>
      </c>
      <c r="M44" s="25">
        <f t="shared" si="3"/>
        <v>8900000</v>
      </c>
      <c r="N44" s="21">
        <v>0</v>
      </c>
      <c r="O44" s="22">
        <v>0</v>
      </c>
      <c r="P44" s="22">
        <v>0</v>
      </c>
      <c r="Q44" s="22">
        <v>0</v>
      </c>
      <c r="R44" s="22">
        <v>7100000</v>
      </c>
      <c r="S44" s="22">
        <v>0</v>
      </c>
      <c r="T44" s="22">
        <v>0</v>
      </c>
      <c r="U44" s="32">
        <v>1800000</v>
      </c>
    </row>
    <row r="45" spans="1:21" s="34" customFormat="1" ht="18.75" thickBot="1">
      <c r="A45" s="269"/>
      <c r="B45" s="12" t="s">
        <v>84</v>
      </c>
      <c r="C45" s="30" t="s">
        <v>44</v>
      </c>
      <c r="D45" s="25">
        <f t="shared" si="18"/>
        <v>0</v>
      </c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3">
        <v>0</v>
      </c>
      <c r="M45" s="25">
        <f t="shared" si="3"/>
        <v>0</v>
      </c>
      <c r="N45" s="26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33">
        <v>0</v>
      </c>
    </row>
    <row r="46" spans="1:21" s="34" customFormat="1" ht="18" customHeight="1">
      <c r="A46" s="10" t="s">
        <v>85</v>
      </c>
      <c r="B46" s="270" t="s">
        <v>86</v>
      </c>
      <c r="C46" s="270"/>
      <c r="D46" s="11">
        <f t="shared" si="18"/>
        <v>76766156</v>
      </c>
      <c r="E46" s="11">
        <f aca="true" t="shared" si="21" ref="E46:L46">SUM(E47:E49)</f>
        <v>0</v>
      </c>
      <c r="F46" s="11">
        <f t="shared" si="21"/>
        <v>0</v>
      </c>
      <c r="G46" s="11">
        <f t="shared" si="21"/>
        <v>20000000</v>
      </c>
      <c r="H46" s="11">
        <f t="shared" si="21"/>
        <v>666156</v>
      </c>
      <c r="I46" s="11">
        <f t="shared" si="21"/>
        <v>56100000</v>
      </c>
      <c r="J46" s="11">
        <f t="shared" si="21"/>
        <v>0</v>
      </c>
      <c r="K46" s="11">
        <f t="shared" si="21"/>
        <v>0</v>
      </c>
      <c r="L46" s="11">
        <f t="shared" si="21"/>
        <v>0</v>
      </c>
      <c r="M46" s="11">
        <f>SUM(N46:U46)</f>
        <v>81766156</v>
      </c>
      <c r="N46" s="11">
        <f aca="true" t="shared" si="22" ref="N46:U46">SUM(N47:N49)</f>
        <v>0</v>
      </c>
      <c r="O46" s="11">
        <f t="shared" si="22"/>
        <v>0</v>
      </c>
      <c r="P46" s="11">
        <f t="shared" si="22"/>
        <v>20000000</v>
      </c>
      <c r="Q46" s="11">
        <f t="shared" si="22"/>
        <v>666156</v>
      </c>
      <c r="R46" s="11">
        <f t="shared" si="22"/>
        <v>61100000</v>
      </c>
      <c r="S46" s="11">
        <f t="shared" si="22"/>
        <v>0</v>
      </c>
      <c r="T46" s="11">
        <f t="shared" si="22"/>
        <v>0</v>
      </c>
      <c r="U46" s="11">
        <f t="shared" si="22"/>
        <v>0</v>
      </c>
    </row>
    <row r="47" spans="1:21" s="34" customFormat="1" ht="18.75" thickBot="1">
      <c r="A47" s="269"/>
      <c r="B47" s="12" t="s">
        <v>87</v>
      </c>
      <c r="C47" s="19" t="s">
        <v>40</v>
      </c>
      <c r="D47" s="25">
        <f t="shared" si="18"/>
        <v>75766156</v>
      </c>
      <c r="E47" s="16">
        <f>'5.8. Egészségügyi'!E10</f>
        <v>0</v>
      </c>
      <c r="F47" s="16">
        <f>'5.8. Egészségügyi'!F10</f>
        <v>0</v>
      </c>
      <c r="G47" s="16">
        <f>'5.8. Egészségügyi'!G10</f>
        <v>20000000</v>
      </c>
      <c r="H47" s="16">
        <f>'5.8. Egészségügyi'!H10</f>
        <v>666156</v>
      </c>
      <c r="I47" s="16">
        <f>'5.8. Egészségügyi'!I10</f>
        <v>55100000</v>
      </c>
      <c r="J47" s="16">
        <f>'5.8. Egészségügyi'!J10</f>
        <v>0</v>
      </c>
      <c r="K47" s="16">
        <f>'5.8. Egészségügyi'!K10</f>
        <v>0</v>
      </c>
      <c r="L47" s="16">
        <f>'5.8. Egészségügyi'!L10</f>
        <v>0</v>
      </c>
      <c r="M47" s="25">
        <f t="shared" si="3"/>
        <v>80766156</v>
      </c>
      <c r="N47" s="16">
        <f>'5.8. Egészségügyi'!N10</f>
        <v>0</v>
      </c>
      <c r="O47" s="16">
        <f>'5.8. Egészségügyi'!O10</f>
        <v>0</v>
      </c>
      <c r="P47" s="16">
        <f>'5.8. Egészségügyi'!P10</f>
        <v>20000000</v>
      </c>
      <c r="Q47" s="16">
        <f>'5.8. Egészségügyi'!Q10</f>
        <v>666156</v>
      </c>
      <c r="R47" s="16">
        <f>'5.8. Egészségügyi'!R10</f>
        <v>60100000</v>
      </c>
      <c r="S47" s="16">
        <f>'5.8. Egészségügyi'!S10</f>
        <v>0</v>
      </c>
      <c r="T47" s="16">
        <f>'5.8. Egészségügyi'!T10</f>
        <v>0</v>
      </c>
      <c r="U47" s="16">
        <f>'5.8. Egészségügyi'!U10</f>
        <v>0</v>
      </c>
    </row>
    <row r="48" spans="1:21" s="34" customFormat="1" ht="18.75" thickBot="1">
      <c r="A48" s="269"/>
      <c r="B48" s="12" t="s">
        <v>88</v>
      </c>
      <c r="C48" s="19" t="s">
        <v>42</v>
      </c>
      <c r="D48" s="25">
        <f t="shared" si="18"/>
        <v>1000000</v>
      </c>
      <c r="E48" s="21">
        <f>'5.8. Egészségügyi'!E17</f>
        <v>0</v>
      </c>
      <c r="F48" s="21">
        <f>'5.8. Egészségügyi'!F17</f>
        <v>0</v>
      </c>
      <c r="G48" s="21">
        <f>'5.8. Egészségügyi'!G17</f>
        <v>0</v>
      </c>
      <c r="H48" s="21">
        <f>'5.8. Egészségügyi'!H17</f>
        <v>0</v>
      </c>
      <c r="I48" s="21">
        <f>'5.8. Egészségügyi'!I17</f>
        <v>1000000</v>
      </c>
      <c r="J48" s="21">
        <f>'5.8. Egészségügyi'!J17</f>
        <v>0</v>
      </c>
      <c r="K48" s="21">
        <f>'5.8. Egészségügyi'!K17</f>
        <v>0</v>
      </c>
      <c r="L48" s="21">
        <f>'5.8. Egészségügyi'!L17</f>
        <v>0</v>
      </c>
      <c r="M48" s="25">
        <f t="shared" si="3"/>
        <v>1000000</v>
      </c>
      <c r="N48" s="21">
        <f>'5.8. Egészségügyi'!N17</f>
        <v>0</v>
      </c>
      <c r="O48" s="21">
        <f>'5.8. Egészségügyi'!O17</f>
        <v>0</v>
      </c>
      <c r="P48" s="21">
        <f>'5.8. Egészségügyi'!P17</f>
        <v>0</v>
      </c>
      <c r="Q48" s="21">
        <f>'5.8. Egészségügyi'!Q17</f>
        <v>0</v>
      </c>
      <c r="R48" s="21">
        <f>'5.8. Egészségügyi'!R17</f>
        <v>1000000</v>
      </c>
      <c r="S48" s="21">
        <f>'5.8. Egészségügyi'!S17</f>
        <v>0</v>
      </c>
      <c r="T48" s="21">
        <f>'5.8. Egészségügyi'!T17</f>
        <v>0</v>
      </c>
      <c r="U48" s="21">
        <f>'5.8. Egészségügyi'!U17</f>
        <v>0</v>
      </c>
    </row>
    <row r="49" spans="1:21" s="34" customFormat="1" ht="18.75" thickBot="1">
      <c r="A49" s="269"/>
      <c r="B49" s="12" t="s">
        <v>89</v>
      </c>
      <c r="C49" s="30" t="s">
        <v>44</v>
      </c>
      <c r="D49" s="25">
        <f t="shared" si="18"/>
        <v>0</v>
      </c>
      <c r="E49" s="26">
        <f>'5.8. Egészségügyi'!E19</f>
        <v>0</v>
      </c>
      <c r="F49" s="27">
        <f>'5.8. Egészségügyi'!F19</f>
        <v>0</v>
      </c>
      <c r="G49" s="27">
        <f>'5.8. Egészségügyi'!G19</f>
        <v>0</v>
      </c>
      <c r="H49" s="27">
        <f>'5.8. Egészségügyi'!H19</f>
        <v>0</v>
      </c>
      <c r="I49" s="27">
        <f>'5.8. Egészségügyi'!I19</f>
        <v>0</v>
      </c>
      <c r="J49" s="27">
        <f>'5.8. Egészségügyi'!J19</f>
        <v>0</v>
      </c>
      <c r="K49" s="27">
        <f>'5.8. Egészségügyi'!K19</f>
        <v>0</v>
      </c>
      <c r="L49" s="33">
        <f>'5.8. Egészségügyi'!L19</f>
        <v>0</v>
      </c>
      <c r="M49" s="25">
        <f t="shared" si="3"/>
        <v>0</v>
      </c>
      <c r="N49" s="26">
        <f>'5.8. Egészségügyi'!N19</f>
        <v>0</v>
      </c>
      <c r="O49" s="26">
        <f>'5.8. Egészségügyi'!O19</f>
        <v>0</v>
      </c>
      <c r="P49" s="26">
        <f>'5.8. Egészségügyi'!P19</f>
        <v>0</v>
      </c>
      <c r="Q49" s="26">
        <f>'5.8. Egészségügyi'!Q19</f>
        <v>0</v>
      </c>
      <c r="R49" s="26">
        <f>'5.8. Egészségügyi'!R19</f>
        <v>0</v>
      </c>
      <c r="S49" s="26">
        <f>'5.8. Egészségügyi'!S19</f>
        <v>0</v>
      </c>
      <c r="T49" s="26">
        <f>'5.8. Egészségügyi'!T19</f>
        <v>0</v>
      </c>
      <c r="U49" s="26">
        <f>'5.8. Egészségügyi'!U19</f>
        <v>0</v>
      </c>
    </row>
    <row r="50" spans="1:21" s="34" customFormat="1" ht="18" customHeight="1">
      <c r="A50" s="10" t="s">
        <v>90</v>
      </c>
      <c r="B50" s="270" t="s">
        <v>91</v>
      </c>
      <c r="C50" s="270"/>
      <c r="D50" s="11">
        <f t="shared" si="18"/>
        <v>57700000</v>
      </c>
      <c r="E50" s="11">
        <f aca="true" t="shared" si="23" ref="E50:L50">SUM(E51:E53)</f>
        <v>0</v>
      </c>
      <c r="F50" s="11">
        <f t="shared" si="23"/>
        <v>7200000</v>
      </c>
      <c r="G50" s="11">
        <f t="shared" si="23"/>
        <v>4000000</v>
      </c>
      <c r="H50" s="11">
        <f t="shared" si="23"/>
        <v>0</v>
      </c>
      <c r="I50" s="11">
        <f t="shared" si="23"/>
        <v>46500000</v>
      </c>
      <c r="J50" s="11">
        <f t="shared" si="23"/>
        <v>0</v>
      </c>
      <c r="K50" s="11">
        <f t="shared" si="23"/>
        <v>0</v>
      </c>
      <c r="L50" s="11">
        <f t="shared" si="23"/>
        <v>0</v>
      </c>
      <c r="M50" s="11">
        <f>SUM(N50:U50)</f>
        <v>58900000</v>
      </c>
      <c r="N50" s="11">
        <f aca="true" t="shared" si="24" ref="N50:U50">SUM(N51:N53)</f>
        <v>0</v>
      </c>
      <c r="O50" s="11">
        <f t="shared" si="24"/>
        <v>0</v>
      </c>
      <c r="P50" s="11">
        <f t="shared" si="24"/>
        <v>4000000</v>
      </c>
      <c r="Q50" s="11">
        <f t="shared" si="24"/>
        <v>0</v>
      </c>
      <c r="R50" s="11">
        <f t="shared" si="24"/>
        <v>54900000</v>
      </c>
      <c r="S50" s="11">
        <f t="shared" si="24"/>
        <v>0</v>
      </c>
      <c r="T50" s="11">
        <f t="shared" si="24"/>
        <v>0</v>
      </c>
      <c r="U50" s="11">
        <f t="shared" si="24"/>
        <v>0</v>
      </c>
    </row>
    <row r="51" spans="1:21" s="34" customFormat="1" ht="18.75" thickBot="1">
      <c r="A51" s="269"/>
      <c r="B51" s="12" t="s">
        <v>92</v>
      </c>
      <c r="C51" s="19" t="s">
        <v>40</v>
      </c>
      <c r="D51" s="25">
        <f t="shared" si="18"/>
        <v>45000000</v>
      </c>
      <c r="E51" s="15">
        <f>'5.9. Népjólét'!E10</f>
        <v>0</v>
      </c>
      <c r="F51" s="15">
        <f>'5.9. Népjólét'!F10</f>
        <v>0</v>
      </c>
      <c r="G51" s="15">
        <f>'5.9. Népjólét'!G10</f>
        <v>4000000</v>
      </c>
      <c r="H51" s="15">
        <f>'5.9. Népjólét'!H10</f>
        <v>0</v>
      </c>
      <c r="I51" s="15">
        <f>'5.9. Népjólét'!I10</f>
        <v>41000000</v>
      </c>
      <c r="J51" s="15">
        <f>'5.9. Népjólét'!J10</f>
        <v>0</v>
      </c>
      <c r="K51" s="15">
        <f>'5.9. Népjólét'!K10</f>
        <v>0</v>
      </c>
      <c r="L51" s="15">
        <f>'5.9. Népjólét'!L10</f>
        <v>0</v>
      </c>
      <c r="M51" s="25">
        <f t="shared" si="3"/>
        <v>46200000</v>
      </c>
      <c r="N51" s="15">
        <f>'5.9. Népjólét'!N10</f>
        <v>0</v>
      </c>
      <c r="O51" s="15">
        <f>'5.9. Népjólét'!O10</f>
        <v>0</v>
      </c>
      <c r="P51" s="15">
        <f>'5.9. Népjólét'!P10</f>
        <v>4000000</v>
      </c>
      <c r="Q51" s="15">
        <f>'5.9. Népjólét'!Q10</f>
        <v>0</v>
      </c>
      <c r="R51" s="15">
        <f>'5.9. Népjólét'!R10</f>
        <v>42200000</v>
      </c>
      <c r="S51" s="15">
        <f>'5.9. Népjólét'!S10</f>
        <v>0</v>
      </c>
      <c r="T51" s="15">
        <f>'5.9. Népjólét'!T10</f>
        <v>0</v>
      </c>
      <c r="U51" s="15">
        <f>'5.9. Népjólét'!U10</f>
        <v>0</v>
      </c>
    </row>
    <row r="52" spans="1:21" s="34" customFormat="1" ht="18.75" thickBot="1">
      <c r="A52" s="269"/>
      <c r="B52" s="12" t="s">
        <v>93</v>
      </c>
      <c r="C52" s="19" t="s">
        <v>42</v>
      </c>
      <c r="D52" s="25">
        <f t="shared" si="18"/>
        <v>12700000</v>
      </c>
      <c r="E52" s="21">
        <f>'5.9. Népjólét'!E15</f>
        <v>0</v>
      </c>
      <c r="F52" s="21">
        <f>'5.9. Népjólét'!F15</f>
        <v>7200000</v>
      </c>
      <c r="G52" s="21">
        <f>'5.9. Népjólét'!G15</f>
        <v>0</v>
      </c>
      <c r="H52" s="21">
        <f>'5.9. Népjólét'!H15</f>
        <v>0</v>
      </c>
      <c r="I52" s="21">
        <f>'5.9. Népjólét'!I15</f>
        <v>5500000</v>
      </c>
      <c r="J52" s="21">
        <f>'5.9. Népjólét'!J15</f>
        <v>0</v>
      </c>
      <c r="K52" s="21">
        <f>'5.9. Népjólét'!K15</f>
        <v>0</v>
      </c>
      <c r="L52" s="21">
        <f>'5.9. Népjólét'!L15</f>
        <v>0</v>
      </c>
      <c r="M52" s="25">
        <f t="shared" si="3"/>
        <v>12700000</v>
      </c>
      <c r="N52" s="21">
        <f>'5.9. Népjólét'!N15</f>
        <v>0</v>
      </c>
      <c r="O52" s="21">
        <f>'5.9. Népjólét'!O15</f>
        <v>0</v>
      </c>
      <c r="P52" s="21">
        <f>'5.9. Népjólét'!P15</f>
        <v>0</v>
      </c>
      <c r="Q52" s="21">
        <f>'5.9. Népjólét'!Q15</f>
        <v>0</v>
      </c>
      <c r="R52" s="21">
        <f>'5.9. Népjólét'!R15</f>
        <v>12700000</v>
      </c>
      <c r="S52" s="21">
        <f>'5.9. Népjólét'!S15</f>
        <v>0</v>
      </c>
      <c r="T52" s="21">
        <f>'5.9. Népjólét'!T15</f>
        <v>0</v>
      </c>
      <c r="U52" s="21">
        <f>'5.9. Népjólét'!U15</f>
        <v>0</v>
      </c>
    </row>
    <row r="53" spans="1:21" s="34" customFormat="1" ht="18.75" thickBot="1">
      <c r="A53" s="269"/>
      <c r="B53" s="12" t="s">
        <v>94</v>
      </c>
      <c r="C53" s="30" t="s">
        <v>44</v>
      </c>
      <c r="D53" s="25">
        <f t="shared" si="18"/>
        <v>0</v>
      </c>
      <c r="E53" s="26">
        <f>'5.9. Népjólét'!E19</f>
        <v>0</v>
      </c>
      <c r="F53" s="27">
        <f>'5.9. Népjólét'!F19</f>
        <v>0</v>
      </c>
      <c r="G53" s="27">
        <f>'5.9. Népjólét'!G19</f>
        <v>0</v>
      </c>
      <c r="H53" s="27">
        <f>'5.9. Népjólét'!H19</f>
        <v>0</v>
      </c>
      <c r="I53" s="27">
        <f>'5.9. Népjólét'!I19</f>
        <v>0</v>
      </c>
      <c r="J53" s="27">
        <f>'5.9. Népjólét'!J19</f>
        <v>0</v>
      </c>
      <c r="K53" s="27">
        <f>'5.9. Népjólét'!K19</f>
        <v>0</v>
      </c>
      <c r="L53" s="33">
        <f>'5.9. Népjólét'!L19</f>
        <v>0</v>
      </c>
      <c r="M53" s="25">
        <f t="shared" si="3"/>
        <v>0</v>
      </c>
      <c r="N53" s="26">
        <f>'5.9. Népjólét'!N19</f>
        <v>0</v>
      </c>
      <c r="O53" s="26">
        <f>'5.9. Népjólét'!O19</f>
        <v>0</v>
      </c>
      <c r="P53" s="26">
        <f>'5.9. Népjólét'!P19</f>
        <v>0</v>
      </c>
      <c r="Q53" s="26">
        <f>'5.9. Népjólét'!Q19</f>
        <v>0</v>
      </c>
      <c r="R53" s="26">
        <f>'5.9. Népjólét'!R19</f>
        <v>0</v>
      </c>
      <c r="S53" s="26">
        <f>'5.9. Népjólét'!S19</f>
        <v>0</v>
      </c>
      <c r="T53" s="26">
        <f>'5.9. Népjólét'!T19</f>
        <v>0</v>
      </c>
      <c r="U53" s="26">
        <f>'5.9. Népjólét'!U19</f>
        <v>0</v>
      </c>
    </row>
    <row r="54" spans="1:21" s="34" customFormat="1" ht="28.5" customHeight="1">
      <c r="A54" s="10" t="s">
        <v>95</v>
      </c>
      <c r="B54" s="270" t="s">
        <v>96</v>
      </c>
      <c r="C54" s="270"/>
      <c r="D54" s="11">
        <f t="shared" si="18"/>
        <v>38500000</v>
      </c>
      <c r="E54" s="11">
        <f aca="true" t="shared" si="25" ref="E54:L54">SUM(E55:E57)</f>
        <v>10292000</v>
      </c>
      <c r="F54" s="11">
        <f t="shared" si="25"/>
        <v>2008000</v>
      </c>
      <c r="G54" s="11">
        <f t="shared" si="25"/>
        <v>13700000</v>
      </c>
      <c r="H54" s="11">
        <f t="shared" si="25"/>
        <v>0</v>
      </c>
      <c r="I54" s="11">
        <f t="shared" si="25"/>
        <v>12500000</v>
      </c>
      <c r="J54" s="11">
        <f t="shared" si="25"/>
        <v>0</v>
      </c>
      <c r="K54" s="11">
        <f t="shared" si="25"/>
        <v>0</v>
      </c>
      <c r="L54" s="11">
        <f t="shared" si="25"/>
        <v>0</v>
      </c>
      <c r="M54" s="11">
        <f>SUM(N54:U54)</f>
        <v>57838940</v>
      </c>
      <c r="N54" s="11">
        <f aca="true" t="shared" si="26" ref="N54:U54">SUM(N55:N57)</f>
        <v>15546000</v>
      </c>
      <c r="O54" s="11">
        <f t="shared" si="26"/>
        <v>3372444</v>
      </c>
      <c r="P54" s="11">
        <f t="shared" si="26"/>
        <v>18198496</v>
      </c>
      <c r="Q54" s="11">
        <f t="shared" si="26"/>
        <v>0</v>
      </c>
      <c r="R54" s="11">
        <f t="shared" si="26"/>
        <v>20422000</v>
      </c>
      <c r="S54" s="11">
        <f t="shared" si="26"/>
        <v>0</v>
      </c>
      <c r="T54" s="11">
        <f t="shared" si="26"/>
        <v>0</v>
      </c>
      <c r="U54" s="11">
        <f t="shared" si="26"/>
        <v>300000</v>
      </c>
    </row>
    <row r="55" spans="1:21" s="34" customFormat="1" ht="18.75" thickBot="1">
      <c r="A55" s="269"/>
      <c r="B55" s="12" t="s">
        <v>97</v>
      </c>
      <c r="C55" s="19" t="s">
        <v>40</v>
      </c>
      <c r="D55" s="25">
        <f t="shared" si="18"/>
        <v>13100000</v>
      </c>
      <c r="E55" s="15">
        <f>'5.10. Sportfeladatok'!E10</f>
        <v>0</v>
      </c>
      <c r="F55" s="16">
        <f>'5.10. Sportfeladatok'!F10</f>
        <v>0</v>
      </c>
      <c r="G55" s="16">
        <f>'5.10. Sportfeladatok'!G10</f>
        <v>8100000</v>
      </c>
      <c r="H55" s="16">
        <f>'5.10. Sportfeladatok'!H10</f>
        <v>0</v>
      </c>
      <c r="I55" s="16">
        <f>'5.10. Sportfeladatok'!I10</f>
        <v>5000000</v>
      </c>
      <c r="J55" s="16">
        <f>'5.10. Sportfeladatok'!J10</f>
        <v>0</v>
      </c>
      <c r="K55" s="16">
        <f>'5.10. Sportfeladatok'!K10</f>
        <v>0</v>
      </c>
      <c r="L55" s="31">
        <f>'5.10. Sportfeladatok'!L10</f>
        <v>0</v>
      </c>
      <c r="M55" s="25">
        <f t="shared" si="3"/>
        <v>16713340</v>
      </c>
      <c r="N55" s="15">
        <f>'5.10. Sportfeladatok'!N10</f>
        <v>300000</v>
      </c>
      <c r="O55" s="15">
        <f>'5.10. Sportfeladatok'!O10</f>
        <v>92844</v>
      </c>
      <c r="P55" s="15">
        <f>'5.10. Sportfeladatok'!P10</f>
        <v>5598496</v>
      </c>
      <c r="Q55" s="15">
        <f>'5.10. Sportfeladatok'!Q10</f>
        <v>0</v>
      </c>
      <c r="R55" s="15">
        <f>'5.10. Sportfeladatok'!R10</f>
        <v>10422000</v>
      </c>
      <c r="S55" s="15">
        <f>'5.10. Sportfeladatok'!S10</f>
        <v>0</v>
      </c>
      <c r="T55" s="15">
        <f>'5.10. Sportfeladatok'!T10</f>
        <v>0</v>
      </c>
      <c r="U55" s="15">
        <f>'5.10. Sportfeladatok'!U10</f>
        <v>300000</v>
      </c>
    </row>
    <row r="56" spans="1:21" s="34" customFormat="1" ht="18.75" thickBot="1">
      <c r="A56" s="269"/>
      <c r="B56" s="12" t="s">
        <v>98</v>
      </c>
      <c r="C56" s="19" t="s">
        <v>42</v>
      </c>
      <c r="D56" s="25">
        <f t="shared" si="18"/>
        <v>25400000</v>
      </c>
      <c r="E56" s="21">
        <f>'5.10. Sportfeladatok'!E16</f>
        <v>10292000</v>
      </c>
      <c r="F56" s="22">
        <f>'5.10. Sportfeladatok'!F16</f>
        <v>2008000</v>
      </c>
      <c r="G56" s="22">
        <f>'5.10. Sportfeladatok'!G16</f>
        <v>5600000</v>
      </c>
      <c r="H56" s="22">
        <f>'5.10. Sportfeladatok'!H16</f>
        <v>0</v>
      </c>
      <c r="I56" s="22">
        <f>'5.10. Sportfeladatok'!I16</f>
        <v>7500000</v>
      </c>
      <c r="J56" s="22">
        <f>'5.10. Sportfeladatok'!J16</f>
        <v>0</v>
      </c>
      <c r="K56" s="22">
        <f>'5.10. Sportfeladatok'!K16</f>
        <v>0</v>
      </c>
      <c r="L56" s="32">
        <f>'5.10. Sportfeladatok'!L16</f>
        <v>0</v>
      </c>
      <c r="M56" s="25">
        <f t="shared" si="3"/>
        <v>41125600</v>
      </c>
      <c r="N56" s="21">
        <f>'5.10. Sportfeladatok'!N16</f>
        <v>15246000</v>
      </c>
      <c r="O56" s="21">
        <f>'5.10. Sportfeladatok'!O16</f>
        <v>3279600</v>
      </c>
      <c r="P56" s="21">
        <f>'5.10. Sportfeladatok'!P16</f>
        <v>12600000</v>
      </c>
      <c r="Q56" s="21">
        <f>'5.10. Sportfeladatok'!Q16</f>
        <v>0</v>
      </c>
      <c r="R56" s="21">
        <f>'5.10. Sportfeladatok'!R16</f>
        <v>10000000</v>
      </c>
      <c r="S56" s="21">
        <f>'5.10. Sportfeladatok'!S16</f>
        <v>0</v>
      </c>
      <c r="T56" s="21">
        <f>'5.10. Sportfeladatok'!T16</f>
        <v>0</v>
      </c>
      <c r="U56" s="21">
        <f>'5.10. Sportfeladatok'!U16</f>
        <v>0</v>
      </c>
    </row>
    <row r="57" spans="1:21" s="34" customFormat="1" ht="18.75" thickBot="1">
      <c r="A57" s="269"/>
      <c r="B57" s="12" t="s">
        <v>99</v>
      </c>
      <c r="C57" s="30" t="s">
        <v>44</v>
      </c>
      <c r="D57" s="25">
        <f t="shared" si="18"/>
        <v>0</v>
      </c>
      <c r="E57" s="26">
        <f>'5.10. Sportfeladatok'!E22</f>
        <v>0</v>
      </c>
      <c r="F57" s="27">
        <f>'5.10. Sportfeladatok'!F22</f>
        <v>0</v>
      </c>
      <c r="G57" s="27">
        <f>'5.10. Sportfeladatok'!G22</f>
        <v>0</v>
      </c>
      <c r="H57" s="27">
        <f>'5.10. Sportfeladatok'!H22</f>
        <v>0</v>
      </c>
      <c r="I57" s="27">
        <f>'5.10. Sportfeladatok'!I22</f>
        <v>0</v>
      </c>
      <c r="J57" s="27">
        <f>'5.10. Sportfeladatok'!J22</f>
        <v>0</v>
      </c>
      <c r="K57" s="27">
        <f>'5.10. Sportfeladatok'!K22</f>
        <v>0</v>
      </c>
      <c r="L57" s="33">
        <f>'5.10. Sportfeladatok'!L22</f>
        <v>0</v>
      </c>
      <c r="M57" s="25">
        <f t="shared" si="3"/>
        <v>0</v>
      </c>
      <c r="N57" s="26">
        <f>'5.10. Sportfeladatok'!N22</f>
        <v>0</v>
      </c>
      <c r="O57" s="26">
        <f>'5.10. Sportfeladatok'!O22</f>
        <v>0</v>
      </c>
      <c r="P57" s="26">
        <f>'5.10. Sportfeladatok'!P22</f>
        <v>0</v>
      </c>
      <c r="Q57" s="26">
        <f>'5.10. Sportfeladatok'!Q22</f>
        <v>0</v>
      </c>
      <c r="R57" s="26">
        <f>'5.10. Sportfeladatok'!R22</f>
        <v>0</v>
      </c>
      <c r="S57" s="26">
        <f>'5.10. Sportfeladatok'!S22</f>
        <v>0</v>
      </c>
      <c r="T57" s="26">
        <f>'5.10. Sportfeladatok'!T22</f>
        <v>0</v>
      </c>
      <c r="U57" s="26">
        <f>'5.10. Sportfeladatok'!U22</f>
        <v>0</v>
      </c>
    </row>
    <row r="58" spans="1:21" s="34" customFormat="1" ht="18" customHeight="1">
      <c r="A58" s="10" t="s">
        <v>100</v>
      </c>
      <c r="B58" s="270" t="s">
        <v>101</v>
      </c>
      <c r="C58" s="270"/>
      <c r="D58" s="11">
        <f t="shared" si="18"/>
        <v>331000000</v>
      </c>
      <c r="E58" s="11">
        <f aca="true" t="shared" si="27" ref="E58:L58">SUM(E59:E60)</f>
        <v>0</v>
      </c>
      <c r="F58" s="11">
        <f t="shared" si="27"/>
        <v>0</v>
      </c>
      <c r="G58" s="11">
        <f t="shared" si="27"/>
        <v>0</v>
      </c>
      <c r="H58" s="11">
        <f t="shared" si="27"/>
        <v>331000000</v>
      </c>
      <c r="I58" s="11">
        <f t="shared" si="27"/>
        <v>0</v>
      </c>
      <c r="J58" s="11">
        <f t="shared" si="27"/>
        <v>0</v>
      </c>
      <c r="K58" s="11">
        <f t="shared" si="27"/>
        <v>0</v>
      </c>
      <c r="L58" s="11">
        <f t="shared" si="27"/>
        <v>0</v>
      </c>
      <c r="M58" s="11">
        <f>SUM(N58:U58)</f>
        <v>363333570</v>
      </c>
      <c r="N58" s="11">
        <f aca="true" t="shared" si="28" ref="N58:U58">SUM(N59:N60)</f>
        <v>0</v>
      </c>
      <c r="O58" s="11">
        <f t="shared" si="28"/>
        <v>0</v>
      </c>
      <c r="P58" s="11">
        <f t="shared" si="28"/>
        <v>92275</v>
      </c>
      <c r="Q58" s="11">
        <f t="shared" si="28"/>
        <v>363241295</v>
      </c>
      <c r="R58" s="11">
        <f t="shared" si="28"/>
        <v>0</v>
      </c>
      <c r="S58" s="11">
        <f t="shared" si="28"/>
        <v>0</v>
      </c>
      <c r="T58" s="11">
        <f t="shared" si="28"/>
        <v>0</v>
      </c>
      <c r="U58" s="11">
        <f t="shared" si="28"/>
        <v>0</v>
      </c>
    </row>
    <row r="59" spans="1:21" s="34" customFormat="1" ht="18.75" thickBot="1">
      <c r="A59" s="269"/>
      <c r="B59" s="12" t="s">
        <v>102</v>
      </c>
      <c r="C59" s="19" t="s">
        <v>40</v>
      </c>
      <c r="D59" s="25">
        <f t="shared" si="18"/>
        <v>176000000</v>
      </c>
      <c r="E59" s="15">
        <f>'5.11. Szoc'!F10</f>
        <v>0</v>
      </c>
      <c r="F59" s="16">
        <f>'5.11. Szoc'!G10</f>
        <v>0</v>
      </c>
      <c r="G59" s="16">
        <f>'5.11. Szoc'!H10</f>
        <v>0</v>
      </c>
      <c r="H59" s="16">
        <f>'5.11. Szoc'!I10</f>
        <v>176000000</v>
      </c>
      <c r="I59" s="16">
        <f>'5.11. Szoc'!J10</f>
        <v>0</v>
      </c>
      <c r="J59" s="16">
        <f>'5.11. Szoc'!K10</f>
        <v>0</v>
      </c>
      <c r="K59" s="16">
        <f>'5.11. Szoc'!L10</f>
        <v>0</v>
      </c>
      <c r="L59" s="31">
        <f>'5.11. Szoc'!M10</f>
        <v>0</v>
      </c>
      <c r="M59" s="25">
        <f t="shared" si="3"/>
        <v>172671818</v>
      </c>
      <c r="N59" s="15">
        <f>'5.11. Szoc'!O10</f>
        <v>0</v>
      </c>
      <c r="O59" s="15">
        <f>'5.11. Szoc'!P10</f>
        <v>0</v>
      </c>
      <c r="P59" s="15">
        <f>'5.11. Szoc'!Q10</f>
        <v>92275</v>
      </c>
      <c r="Q59" s="15">
        <f>'5.11. Szoc'!R10</f>
        <v>172579543</v>
      </c>
      <c r="R59" s="15">
        <f>'5.11. Szoc'!S10</f>
        <v>0</v>
      </c>
      <c r="S59" s="15">
        <f>'5.11. Szoc'!T10</f>
        <v>0</v>
      </c>
      <c r="T59" s="15">
        <f>'5.11. Szoc'!U10</f>
        <v>0</v>
      </c>
      <c r="U59" s="15">
        <f>'5.11. Szoc'!V10</f>
        <v>0</v>
      </c>
    </row>
    <row r="60" spans="1:21" s="34" customFormat="1" ht="18.75" thickBot="1">
      <c r="A60" s="269"/>
      <c r="B60" s="12" t="s">
        <v>103</v>
      </c>
      <c r="C60" s="19" t="s">
        <v>42</v>
      </c>
      <c r="D60" s="25">
        <f t="shared" si="18"/>
        <v>155000000</v>
      </c>
      <c r="E60" s="21">
        <f>'5.11. Szoc'!F23</f>
        <v>0</v>
      </c>
      <c r="F60" s="22">
        <f>'5.11. Szoc'!G23</f>
        <v>0</v>
      </c>
      <c r="G60" s="22">
        <f>'5.11. Szoc'!H23</f>
        <v>0</v>
      </c>
      <c r="H60" s="22">
        <f>'5.11. Szoc'!I23</f>
        <v>155000000</v>
      </c>
      <c r="I60" s="22">
        <f>'5.11. Szoc'!J23</f>
        <v>0</v>
      </c>
      <c r="J60" s="22">
        <f>'5.11. Szoc'!K23</f>
        <v>0</v>
      </c>
      <c r="K60" s="22">
        <f>'5.11. Szoc'!L23</f>
        <v>0</v>
      </c>
      <c r="L60" s="32">
        <f>'5.11. Szoc'!M23</f>
        <v>0</v>
      </c>
      <c r="M60" s="25">
        <f t="shared" si="3"/>
        <v>190661752</v>
      </c>
      <c r="N60" s="21">
        <f>'5.11. Szoc'!O23</f>
        <v>0</v>
      </c>
      <c r="O60" s="21">
        <f>'5.11. Szoc'!P23</f>
        <v>0</v>
      </c>
      <c r="P60" s="21">
        <f>'5.11. Szoc'!Q23</f>
        <v>0</v>
      </c>
      <c r="Q60" s="21">
        <f>'5.11. Szoc'!R23</f>
        <v>190661752</v>
      </c>
      <c r="R60" s="21">
        <f>'5.11. Szoc'!S23</f>
        <v>0</v>
      </c>
      <c r="S60" s="21">
        <f>'5.11. Szoc'!T23</f>
        <v>0</v>
      </c>
      <c r="T60" s="21">
        <f>'5.11. Szoc'!U23</f>
        <v>0</v>
      </c>
      <c r="U60" s="21">
        <f>'5.11. Szoc'!V23</f>
        <v>0</v>
      </c>
    </row>
    <row r="61" spans="1:21" s="34" customFormat="1" ht="18.75" thickBot="1">
      <c r="A61" s="269"/>
      <c r="B61" s="12" t="s">
        <v>104</v>
      </c>
      <c r="C61" s="30" t="s">
        <v>44</v>
      </c>
      <c r="D61" s="14">
        <f t="shared" si="18"/>
        <v>0</v>
      </c>
      <c r="E61" s="26">
        <f>'5.11. Szoc'!F27</f>
        <v>0</v>
      </c>
      <c r="F61" s="27">
        <f>'5.11. Szoc'!G27</f>
        <v>0</v>
      </c>
      <c r="G61" s="27">
        <f>'5.11. Szoc'!H27</f>
        <v>0</v>
      </c>
      <c r="H61" s="27">
        <f>'5.11. Szoc'!I27</f>
        <v>0</v>
      </c>
      <c r="I61" s="27">
        <f>'5.11. Szoc'!J27</f>
        <v>0</v>
      </c>
      <c r="J61" s="27">
        <f>'5.11. Szoc'!K27</f>
        <v>0</v>
      </c>
      <c r="K61" s="27">
        <f>'5.11. Szoc'!L27</f>
        <v>0</v>
      </c>
      <c r="L61" s="33">
        <f>'5.11. Szoc'!M27</f>
        <v>0</v>
      </c>
      <c r="M61" s="14">
        <f t="shared" si="3"/>
        <v>0</v>
      </c>
      <c r="N61" s="26">
        <f>'5.11. Szoc'!O27</f>
        <v>0</v>
      </c>
      <c r="O61" s="26">
        <f>'5.11. Szoc'!P27</f>
        <v>0</v>
      </c>
      <c r="P61" s="26">
        <f>'5.11. Szoc'!Q27</f>
        <v>0</v>
      </c>
      <c r="Q61" s="26">
        <f>'5.11. Szoc'!R27</f>
        <v>0</v>
      </c>
      <c r="R61" s="26">
        <f>'5.11. Szoc'!S27</f>
        <v>0</v>
      </c>
      <c r="S61" s="26">
        <f>'5.11. Szoc'!T27</f>
        <v>0</v>
      </c>
      <c r="T61" s="26">
        <f>'5.11. Szoc'!U27</f>
        <v>0</v>
      </c>
      <c r="U61" s="26">
        <f>'5.11. Szoc'!V27</f>
        <v>0</v>
      </c>
    </row>
    <row r="62" spans="1:21" s="34" customFormat="1" ht="18" customHeight="1">
      <c r="A62" s="10" t="s">
        <v>105</v>
      </c>
      <c r="B62" s="270" t="s">
        <v>106</v>
      </c>
      <c r="C62" s="270"/>
      <c r="D62" s="11">
        <f t="shared" si="18"/>
        <v>40000000</v>
      </c>
      <c r="E62" s="11">
        <f aca="true" t="shared" si="29" ref="E62:L62">SUM(E63:E65)</f>
        <v>0</v>
      </c>
      <c r="F62" s="11">
        <f t="shared" si="29"/>
        <v>0</v>
      </c>
      <c r="G62" s="11">
        <f t="shared" si="29"/>
        <v>0</v>
      </c>
      <c r="H62" s="11">
        <f t="shared" si="29"/>
        <v>0</v>
      </c>
      <c r="I62" s="11">
        <f t="shared" si="29"/>
        <v>40000000</v>
      </c>
      <c r="J62" s="11">
        <f t="shared" si="29"/>
        <v>0</v>
      </c>
      <c r="K62" s="11">
        <f t="shared" si="29"/>
        <v>0</v>
      </c>
      <c r="L62" s="11">
        <f t="shared" si="29"/>
        <v>0</v>
      </c>
      <c r="M62" s="11">
        <f t="shared" si="3"/>
        <v>26300000</v>
      </c>
      <c r="N62" s="11">
        <f aca="true" t="shared" si="30" ref="N62:U62">SUM(N63:N65)</f>
        <v>0</v>
      </c>
      <c r="O62" s="11">
        <f t="shared" si="30"/>
        <v>0</v>
      </c>
      <c r="P62" s="11">
        <f t="shared" si="30"/>
        <v>0</v>
      </c>
      <c r="Q62" s="11">
        <f t="shared" si="30"/>
        <v>0</v>
      </c>
      <c r="R62" s="11">
        <f t="shared" si="30"/>
        <v>25716921</v>
      </c>
      <c r="S62" s="11">
        <f t="shared" si="30"/>
        <v>0</v>
      </c>
      <c r="T62" s="11">
        <f t="shared" si="30"/>
        <v>0</v>
      </c>
      <c r="U62" s="11">
        <f t="shared" si="30"/>
        <v>583079</v>
      </c>
    </row>
    <row r="63" spans="1:21" s="34" customFormat="1" ht="18.75" thickBot="1">
      <c r="A63" s="269"/>
      <c r="B63" s="12" t="s">
        <v>107</v>
      </c>
      <c r="C63" s="19" t="s">
        <v>40</v>
      </c>
      <c r="D63" s="25">
        <f t="shared" si="18"/>
        <v>40000000</v>
      </c>
      <c r="E63" s="15">
        <v>0</v>
      </c>
      <c r="F63" s="16">
        <v>0</v>
      </c>
      <c r="G63" s="16">
        <v>0</v>
      </c>
      <c r="H63" s="16">
        <v>0</v>
      </c>
      <c r="I63" s="16">
        <v>40000000</v>
      </c>
      <c r="J63" s="16">
        <v>0</v>
      </c>
      <c r="K63" s="16">
        <v>0</v>
      </c>
      <c r="L63" s="17">
        <v>0</v>
      </c>
      <c r="M63" s="25">
        <f t="shared" si="3"/>
        <v>26300000</v>
      </c>
      <c r="N63" s="15">
        <v>0</v>
      </c>
      <c r="O63" s="16">
        <v>0</v>
      </c>
      <c r="P63" s="16">
        <v>0</v>
      </c>
      <c r="Q63" s="16">
        <v>0</v>
      </c>
      <c r="R63" s="16">
        <v>25716921</v>
      </c>
      <c r="S63" s="16">
        <v>0</v>
      </c>
      <c r="T63" s="16">
        <v>0</v>
      </c>
      <c r="U63" s="17">
        <v>583079</v>
      </c>
    </row>
    <row r="64" spans="1:21" s="34" customFormat="1" ht="18.75" thickBot="1">
      <c r="A64" s="269"/>
      <c r="B64" s="12" t="s">
        <v>108</v>
      </c>
      <c r="C64" s="19" t="s">
        <v>42</v>
      </c>
      <c r="D64" s="25">
        <f t="shared" si="18"/>
        <v>0</v>
      </c>
      <c r="E64" s="21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3">
        <v>0</v>
      </c>
      <c r="M64" s="25">
        <f t="shared" si="3"/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1:21" s="34" customFormat="1" ht="18.75" thickBot="1">
      <c r="A65" s="269"/>
      <c r="B65" s="12" t="s">
        <v>109</v>
      </c>
      <c r="C65" s="30" t="s">
        <v>44</v>
      </c>
      <c r="D65" s="25">
        <f t="shared" si="18"/>
        <v>0</v>
      </c>
      <c r="E65" s="26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8">
        <v>0</v>
      </c>
      <c r="M65" s="25">
        <f t="shared" si="3"/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</row>
    <row r="66" spans="1:21" s="34" customFormat="1" ht="18" customHeight="1">
      <c r="A66" s="10" t="s">
        <v>110</v>
      </c>
      <c r="B66" s="270" t="s">
        <v>111</v>
      </c>
      <c r="C66" s="270"/>
      <c r="D66" s="11">
        <f t="shared" si="18"/>
        <v>86423200</v>
      </c>
      <c r="E66" s="11">
        <f aca="true" t="shared" si="31" ref="E66:L66">SUM(E67:E69)</f>
        <v>22540000</v>
      </c>
      <c r="F66" s="11">
        <f t="shared" si="31"/>
        <v>4309200</v>
      </c>
      <c r="G66" s="11">
        <f t="shared" si="31"/>
        <v>23274000</v>
      </c>
      <c r="H66" s="11">
        <f t="shared" si="31"/>
        <v>0</v>
      </c>
      <c r="I66" s="11">
        <f t="shared" si="31"/>
        <v>36300000</v>
      </c>
      <c r="J66" s="11">
        <f t="shared" si="31"/>
        <v>0</v>
      </c>
      <c r="K66" s="11">
        <f t="shared" si="31"/>
        <v>0</v>
      </c>
      <c r="L66" s="11">
        <f t="shared" si="31"/>
        <v>0</v>
      </c>
      <c r="M66" s="11">
        <f>SUM(N66:U66)</f>
        <v>211509617</v>
      </c>
      <c r="N66" s="11">
        <f aca="true" t="shared" si="32" ref="N66:U66">SUM(N67:N69)</f>
        <v>3133093</v>
      </c>
      <c r="O66" s="11">
        <f t="shared" si="32"/>
        <v>4406452</v>
      </c>
      <c r="P66" s="11">
        <f t="shared" si="32"/>
        <v>60076752</v>
      </c>
      <c r="Q66" s="11">
        <f t="shared" si="32"/>
        <v>0</v>
      </c>
      <c r="R66" s="11">
        <f t="shared" si="32"/>
        <v>58658000</v>
      </c>
      <c r="S66" s="11">
        <f t="shared" si="32"/>
        <v>20320</v>
      </c>
      <c r="T66" s="11">
        <f t="shared" si="32"/>
        <v>0</v>
      </c>
      <c r="U66" s="11">
        <f t="shared" si="32"/>
        <v>85215000</v>
      </c>
    </row>
    <row r="67" spans="1:21" s="34" customFormat="1" ht="18.75" thickBot="1">
      <c r="A67" s="269"/>
      <c r="B67" s="12" t="s">
        <v>112</v>
      </c>
      <c r="C67" s="19" t="s">
        <v>40</v>
      </c>
      <c r="D67" s="25">
        <f t="shared" si="18"/>
        <v>86423200</v>
      </c>
      <c r="E67" s="15">
        <f>'5.12. Közművelődés'!F10</f>
        <v>22540000</v>
      </c>
      <c r="F67" s="16">
        <f>'5.12. Közművelődés'!G10</f>
        <v>4309200</v>
      </c>
      <c r="G67" s="16">
        <f>'5.12. Közművelődés'!H10</f>
        <v>23274000</v>
      </c>
      <c r="H67" s="16">
        <f>'5.12. Közművelődés'!I10</f>
        <v>0</v>
      </c>
      <c r="I67" s="16">
        <f>'5.12. Közművelődés'!J10</f>
        <v>36300000</v>
      </c>
      <c r="J67" s="16">
        <f>'5.12. Közművelődés'!K10</f>
        <v>0</v>
      </c>
      <c r="K67" s="16">
        <f>'5.12. Közművelődés'!L10</f>
        <v>0</v>
      </c>
      <c r="L67" s="31">
        <f>'5.12. Közművelődés'!M10</f>
        <v>0</v>
      </c>
      <c r="M67" s="25">
        <f t="shared" si="3"/>
        <v>211509617</v>
      </c>
      <c r="N67" s="15">
        <f>'5.12. Közművelődés'!O10</f>
        <v>3133093</v>
      </c>
      <c r="O67" s="15">
        <f>'5.12. Közművelődés'!P10</f>
        <v>4406452</v>
      </c>
      <c r="P67" s="15">
        <f>'5.12. Közművelődés'!Q10</f>
        <v>60076752</v>
      </c>
      <c r="Q67" s="15">
        <f>'5.12. Közművelődés'!R10</f>
        <v>0</v>
      </c>
      <c r="R67" s="15">
        <f>'5.12. Közművelődés'!S10</f>
        <v>58658000</v>
      </c>
      <c r="S67" s="15">
        <f>'5.12. Közművelődés'!T10</f>
        <v>20320</v>
      </c>
      <c r="T67" s="15">
        <f>'5.12. Közművelődés'!U10</f>
        <v>0</v>
      </c>
      <c r="U67" s="15">
        <f>'5.12. Közművelődés'!V10</f>
        <v>85215000</v>
      </c>
    </row>
    <row r="68" spans="1:21" s="34" customFormat="1" ht="18.75" thickBot="1">
      <c r="A68" s="269"/>
      <c r="B68" s="12" t="s">
        <v>113</v>
      </c>
      <c r="C68" s="19" t="s">
        <v>42</v>
      </c>
      <c r="D68" s="25">
        <f t="shared" si="18"/>
        <v>0</v>
      </c>
      <c r="E68" s="21">
        <f>'5.12. Közművelődés'!F44</f>
        <v>0</v>
      </c>
      <c r="F68" s="22">
        <f>'5.12. Közművelődés'!G44</f>
        <v>0</v>
      </c>
      <c r="G68" s="22">
        <f>'5.12. Közművelődés'!H44</f>
        <v>0</v>
      </c>
      <c r="H68" s="22">
        <f>'5.12. Közművelődés'!I44</f>
        <v>0</v>
      </c>
      <c r="I68" s="22">
        <f>'5.12. Közművelődés'!J44</f>
        <v>0</v>
      </c>
      <c r="J68" s="22">
        <f>'5.12. Közművelődés'!K44</f>
        <v>0</v>
      </c>
      <c r="K68" s="22">
        <f>'5.12. Közművelődés'!L44</f>
        <v>0</v>
      </c>
      <c r="L68" s="32">
        <f>'5.12. Közművelődés'!M44</f>
        <v>0</v>
      </c>
      <c r="M68" s="25">
        <f t="shared" si="3"/>
        <v>0</v>
      </c>
      <c r="N68" s="21">
        <f>'5.12. Közművelődés'!O44</f>
        <v>0</v>
      </c>
      <c r="O68" s="21">
        <f>'5.12. Közművelődés'!P44</f>
        <v>0</v>
      </c>
      <c r="P68" s="21">
        <f>'5.12. Közművelődés'!Q44</f>
        <v>0</v>
      </c>
      <c r="Q68" s="21">
        <f>'5.12. Közművelődés'!R44</f>
        <v>0</v>
      </c>
      <c r="R68" s="21">
        <f>'5.12. Közművelődés'!S44</f>
        <v>0</v>
      </c>
      <c r="S68" s="21">
        <f>'5.12. Közművelődés'!T44</f>
        <v>0</v>
      </c>
      <c r="T68" s="21">
        <f>'5.12. Közművelődés'!U44</f>
        <v>0</v>
      </c>
      <c r="U68" s="21">
        <f>'5.12. Közművelődés'!V44</f>
        <v>0</v>
      </c>
    </row>
    <row r="69" spans="1:21" s="34" customFormat="1" ht="18.75" thickBot="1">
      <c r="A69" s="269"/>
      <c r="B69" s="12" t="s">
        <v>114</v>
      </c>
      <c r="C69" s="30" t="s">
        <v>44</v>
      </c>
      <c r="D69" s="25">
        <f t="shared" si="18"/>
        <v>0</v>
      </c>
      <c r="E69" s="26">
        <f>'5.12. Közművelődés'!F45</f>
        <v>0</v>
      </c>
      <c r="F69" s="27">
        <f>'5.12. Közművelődés'!G45</f>
        <v>0</v>
      </c>
      <c r="G69" s="27">
        <f>'5.12. Közművelődés'!H45</f>
        <v>0</v>
      </c>
      <c r="H69" s="27">
        <f>'5.12. Közművelődés'!I45</f>
        <v>0</v>
      </c>
      <c r="I69" s="27">
        <f>'5.12. Közművelődés'!J45</f>
        <v>0</v>
      </c>
      <c r="J69" s="27">
        <f>'5.12. Közművelődés'!K45</f>
        <v>0</v>
      </c>
      <c r="K69" s="27">
        <f>'5.12. Közművelődés'!L45</f>
        <v>0</v>
      </c>
      <c r="L69" s="33">
        <f>'5.12. Közművelődés'!M45</f>
        <v>0</v>
      </c>
      <c r="M69" s="25">
        <f t="shared" si="3"/>
        <v>0</v>
      </c>
      <c r="N69" s="26">
        <f>'5.12. Közművelődés'!O45</f>
        <v>0</v>
      </c>
      <c r="O69" s="26">
        <f>'5.12. Közművelődés'!P45</f>
        <v>0</v>
      </c>
      <c r="P69" s="26">
        <f>'5.12. Közművelődés'!Q45</f>
        <v>0</v>
      </c>
      <c r="Q69" s="26">
        <f>'5.12. Közművelődés'!R45</f>
        <v>0</v>
      </c>
      <c r="R69" s="26">
        <f>'5.12. Közművelődés'!S45</f>
        <v>0</v>
      </c>
      <c r="S69" s="26">
        <f>'5.12. Közművelődés'!T45</f>
        <v>0</v>
      </c>
      <c r="T69" s="26">
        <f>'5.12. Közművelődés'!U45</f>
        <v>0</v>
      </c>
      <c r="U69" s="26">
        <f>'5.12. Közművelődés'!V45</f>
        <v>0</v>
      </c>
    </row>
    <row r="70" spans="1:21" s="34" customFormat="1" ht="18" customHeight="1">
      <c r="A70" s="10" t="s">
        <v>115</v>
      </c>
      <c r="B70" s="270" t="s">
        <v>116</v>
      </c>
      <c r="C70" s="270"/>
      <c r="D70" s="11">
        <f t="shared" si="18"/>
        <v>2951639231</v>
      </c>
      <c r="E70" s="11">
        <f aca="true" t="shared" si="33" ref="E70:L70">SUM(E71:E73)</f>
        <v>0</v>
      </c>
      <c r="F70" s="11">
        <f t="shared" si="33"/>
        <v>0</v>
      </c>
      <c r="G70" s="11">
        <f t="shared" si="33"/>
        <v>20970000</v>
      </c>
      <c r="H70" s="11">
        <f t="shared" si="33"/>
        <v>0</v>
      </c>
      <c r="I70" s="11">
        <f t="shared" si="33"/>
        <v>2823369231</v>
      </c>
      <c r="J70" s="11">
        <f t="shared" si="33"/>
        <v>0</v>
      </c>
      <c r="K70" s="11">
        <f t="shared" si="33"/>
        <v>0</v>
      </c>
      <c r="L70" s="11">
        <f t="shared" si="33"/>
        <v>107300000</v>
      </c>
      <c r="M70" s="11">
        <f>SUM(N70:U70)</f>
        <v>3246623860</v>
      </c>
      <c r="N70" s="11">
        <f aca="true" t="shared" si="34" ref="N70:U70">SUM(N71:N73)</f>
        <v>0</v>
      </c>
      <c r="O70" s="11">
        <f t="shared" si="34"/>
        <v>0</v>
      </c>
      <c r="P70" s="11">
        <f t="shared" si="34"/>
        <v>23054629</v>
      </c>
      <c r="Q70" s="11">
        <f t="shared" si="34"/>
        <v>0</v>
      </c>
      <c r="R70" s="11">
        <f t="shared" si="34"/>
        <v>3022069231</v>
      </c>
      <c r="S70" s="11">
        <f t="shared" si="34"/>
        <v>0</v>
      </c>
      <c r="T70" s="11">
        <f t="shared" si="34"/>
        <v>0</v>
      </c>
      <c r="U70" s="11">
        <f t="shared" si="34"/>
        <v>201500000</v>
      </c>
    </row>
    <row r="71" spans="1:21" s="34" customFormat="1" ht="18.75" thickBot="1">
      <c r="A71" s="269"/>
      <c r="B71" s="12" t="s">
        <v>117</v>
      </c>
      <c r="C71" s="19" t="s">
        <v>40</v>
      </c>
      <c r="D71" s="25">
        <f t="shared" si="18"/>
        <v>2303800000</v>
      </c>
      <c r="E71" s="15">
        <f>'5.13. Támogatások'!F10</f>
        <v>0</v>
      </c>
      <c r="F71" s="16">
        <f>'5.13. Támogatások'!G10</f>
        <v>0</v>
      </c>
      <c r="G71" s="16">
        <f>'5.13. Támogatások'!H10</f>
        <v>0</v>
      </c>
      <c r="H71" s="16">
        <f>'5.13. Támogatások'!I10</f>
        <v>0</v>
      </c>
      <c r="I71" s="16">
        <f>'5.13. Támogatások'!J10</f>
        <v>2196500000</v>
      </c>
      <c r="J71" s="16">
        <f>'5.13. Támogatások'!K10</f>
        <v>0</v>
      </c>
      <c r="K71" s="16">
        <f>'5.13. Támogatások'!L10</f>
        <v>0</v>
      </c>
      <c r="L71" s="31">
        <f>'5.13. Támogatások'!M10</f>
        <v>107300000</v>
      </c>
      <c r="M71" s="25">
        <f t="shared" si="3"/>
        <v>2466100000</v>
      </c>
      <c r="N71" s="15">
        <f>'5.13. Támogatások'!O10</f>
        <v>0</v>
      </c>
      <c r="O71" s="15">
        <f>'5.13. Támogatások'!P10</f>
        <v>0</v>
      </c>
      <c r="P71" s="15">
        <f>'5.13. Támogatások'!Q10</f>
        <v>0</v>
      </c>
      <c r="Q71" s="15">
        <f>'5.13. Támogatások'!R10</f>
        <v>0</v>
      </c>
      <c r="R71" s="15">
        <f>'5.13. Támogatások'!S10</f>
        <v>2306100000</v>
      </c>
      <c r="S71" s="15">
        <f>'5.13. Támogatások'!T10</f>
        <v>0</v>
      </c>
      <c r="T71" s="15">
        <f>'5.13. Támogatások'!U10</f>
        <v>0</v>
      </c>
      <c r="U71" s="15">
        <f>'5.13. Támogatások'!V10</f>
        <v>160000000</v>
      </c>
    </row>
    <row r="72" spans="1:21" s="34" customFormat="1" ht="18.75" thickBot="1">
      <c r="A72" s="269"/>
      <c r="B72" s="12" t="s">
        <v>118</v>
      </c>
      <c r="C72" s="19" t="s">
        <v>42</v>
      </c>
      <c r="D72" s="25">
        <f t="shared" si="18"/>
        <v>347839231</v>
      </c>
      <c r="E72" s="21">
        <f>'5.13. Támogatások'!F23</f>
        <v>0</v>
      </c>
      <c r="F72" s="22">
        <f>'5.13. Támogatások'!G23</f>
        <v>0</v>
      </c>
      <c r="G72" s="22">
        <f>'5.13. Támogatások'!H23</f>
        <v>20970000</v>
      </c>
      <c r="H72" s="22">
        <f>'5.13. Támogatások'!I23</f>
        <v>0</v>
      </c>
      <c r="I72" s="22">
        <f>'5.13. Támogatások'!J23</f>
        <v>326869231</v>
      </c>
      <c r="J72" s="22">
        <f>'5.13. Támogatások'!K23</f>
        <v>0</v>
      </c>
      <c r="K72" s="22">
        <f>'5.13. Támogatások'!L23</f>
        <v>0</v>
      </c>
      <c r="L72" s="32">
        <f>'5.13. Támogatások'!M23</f>
        <v>0</v>
      </c>
      <c r="M72" s="25">
        <f t="shared" si="3"/>
        <v>480523860</v>
      </c>
      <c r="N72" s="21">
        <f>'5.13. Támogatások'!O23</f>
        <v>0</v>
      </c>
      <c r="O72" s="21">
        <f>'5.13. Támogatások'!P23</f>
        <v>0</v>
      </c>
      <c r="P72" s="21">
        <f>'5.13. Támogatások'!Q23</f>
        <v>23054629</v>
      </c>
      <c r="Q72" s="21">
        <f>'5.13. Támogatások'!R23</f>
        <v>0</v>
      </c>
      <c r="R72" s="21">
        <f>'5.13. Támogatások'!S23</f>
        <v>415969231</v>
      </c>
      <c r="S72" s="21">
        <f>'5.13. Támogatások'!T23</f>
        <v>0</v>
      </c>
      <c r="T72" s="21">
        <f>'5.13. Támogatások'!U23</f>
        <v>0</v>
      </c>
      <c r="U72" s="21">
        <f>'5.13. Támogatások'!V23</f>
        <v>41500000</v>
      </c>
    </row>
    <row r="73" spans="1:21" s="34" customFormat="1" ht="18.75" thickBot="1">
      <c r="A73" s="269"/>
      <c r="B73" s="12" t="s">
        <v>119</v>
      </c>
      <c r="C73" s="30" t="s">
        <v>44</v>
      </c>
      <c r="D73" s="25">
        <f t="shared" si="18"/>
        <v>300000000</v>
      </c>
      <c r="E73" s="26">
        <f>'5.13. Támogatások'!F48</f>
        <v>0</v>
      </c>
      <c r="F73" s="27">
        <f>'5.13. Támogatások'!G48</f>
        <v>0</v>
      </c>
      <c r="G73" s="27">
        <f>'5.13. Támogatások'!H48</f>
        <v>0</v>
      </c>
      <c r="H73" s="27">
        <f>'5.13. Támogatások'!I48</f>
        <v>0</v>
      </c>
      <c r="I73" s="27">
        <f>'5.13. Támogatások'!J48</f>
        <v>300000000</v>
      </c>
      <c r="J73" s="27">
        <f>'5.13. Támogatások'!K48</f>
        <v>0</v>
      </c>
      <c r="K73" s="27">
        <f>'5.13. Támogatások'!L48</f>
        <v>0</v>
      </c>
      <c r="L73" s="33">
        <f>'5.13. Támogatások'!M48</f>
        <v>0</v>
      </c>
      <c r="M73" s="25">
        <f t="shared" si="3"/>
        <v>300000000</v>
      </c>
      <c r="N73" s="26">
        <f>'5.13. Támogatások'!O48</f>
        <v>0</v>
      </c>
      <c r="O73" s="26">
        <f>'5.13. Támogatások'!P48</f>
        <v>0</v>
      </c>
      <c r="P73" s="26">
        <f>'5.13. Támogatások'!Q48</f>
        <v>0</v>
      </c>
      <c r="Q73" s="26">
        <f>'5.13. Támogatások'!R48</f>
        <v>0</v>
      </c>
      <c r="R73" s="26">
        <f>'5.13. Támogatások'!S48</f>
        <v>300000000</v>
      </c>
      <c r="S73" s="26">
        <f>'5.13. Támogatások'!T48</f>
        <v>0</v>
      </c>
      <c r="T73" s="26">
        <f>'5.13. Támogatások'!U48</f>
        <v>0</v>
      </c>
      <c r="U73" s="26">
        <f>'5.13. Támogatások'!V48</f>
        <v>0</v>
      </c>
    </row>
    <row r="74" spans="1:21" s="34" customFormat="1" ht="18" customHeight="1">
      <c r="A74" s="10" t="s">
        <v>120</v>
      </c>
      <c r="B74" s="270" t="s">
        <v>121</v>
      </c>
      <c r="C74" s="270"/>
      <c r="D74" s="11">
        <f aca="true" t="shared" si="35" ref="D74:D105">SUM(E74:L74)</f>
        <v>42297528</v>
      </c>
      <c r="E74" s="11">
        <f aca="true" t="shared" si="36" ref="E74:L74">SUM(E75:E77)</f>
        <v>0</v>
      </c>
      <c r="F74" s="11">
        <f t="shared" si="36"/>
        <v>0</v>
      </c>
      <c r="G74" s="11">
        <f t="shared" si="36"/>
        <v>42297528</v>
      </c>
      <c r="H74" s="11">
        <f t="shared" si="36"/>
        <v>0</v>
      </c>
      <c r="I74" s="11">
        <f t="shared" si="36"/>
        <v>0</v>
      </c>
      <c r="J74" s="11">
        <f t="shared" si="36"/>
        <v>0</v>
      </c>
      <c r="K74" s="11">
        <f t="shared" si="36"/>
        <v>0</v>
      </c>
      <c r="L74" s="11">
        <f t="shared" si="36"/>
        <v>0</v>
      </c>
      <c r="M74" s="11">
        <f aca="true" t="shared" si="37" ref="M74:M121">SUM(N74:U74)</f>
        <v>81472859</v>
      </c>
      <c r="N74" s="11">
        <f aca="true" t="shared" si="38" ref="N74:U74">SUM(N75:N77)</f>
        <v>0</v>
      </c>
      <c r="O74" s="11">
        <f t="shared" si="38"/>
        <v>0</v>
      </c>
      <c r="P74" s="11">
        <f t="shared" si="38"/>
        <v>80902860</v>
      </c>
      <c r="Q74" s="11">
        <f t="shared" si="38"/>
        <v>0</v>
      </c>
      <c r="R74" s="11">
        <f t="shared" si="38"/>
        <v>0</v>
      </c>
      <c r="S74" s="11">
        <f t="shared" si="38"/>
        <v>569999</v>
      </c>
      <c r="T74" s="11">
        <f t="shared" si="38"/>
        <v>0</v>
      </c>
      <c r="U74" s="11">
        <f t="shared" si="38"/>
        <v>0</v>
      </c>
    </row>
    <row r="75" spans="1:21" s="34" customFormat="1" ht="18.75" thickBot="1">
      <c r="A75" s="269"/>
      <c r="B75" s="12" t="s">
        <v>122</v>
      </c>
      <c r="C75" s="19" t="s">
        <v>40</v>
      </c>
      <c r="D75" s="25">
        <f t="shared" si="35"/>
        <v>42297528</v>
      </c>
      <c r="E75" s="15">
        <v>0</v>
      </c>
      <c r="F75" s="16">
        <v>0</v>
      </c>
      <c r="G75" s="16">
        <v>42297528</v>
      </c>
      <c r="H75" s="16">
        <v>0</v>
      </c>
      <c r="I75" s="16">
        <v>0</v>
      </c>
      <c r="J75" s="16">
        <v>0</v>
      </c>
      <c r="K75" s="16">
        <v>0</v>
      </c>
      <c r="L75" s="17">
        <v>0</v>
      </c>
      <c r="M75" s="25">
        <f t="shared" si="37"/>
        <v>81472859</v>
      </c>
      <c r="N75" s="15">
        <v>0</v>
      </c>
      <c r="O75" s="16">
        <v>0</v>
      </c>
      <c r="P75" s="16">
        <f>42297528+867313+8797874+14091+3119880+1271532+147250+5575462+13033447+270652+5507831</f>
        <v>80902860</v>
      </c>
      <c r="Q75" s="16">
        <v>0</v>
      </c>
      <c r="R75" s="16">
        <v>0</v>
      </c>
      <c r="S75" s="16">
        <f>0+569999</f>
        <v>569999</v>
      </c>
      <c r="T75" s="16">
        <v>0</v>
      </c>
      <c r="U75" s="17">
        <v>0</v>
      </c>
    </row>
    <row r="76" spans="1:21" s="34" customFormat="1" ht="18.75" thickBot="1">
      <c r="A76" s="269"/>
      <c r="B76" s="12" t="s">
        <v>123</v>
      </c>
      <c r="C76" s="19" t="s">
        <v>42</v>
      </c>
      <c r="D76" s="25">
        <f t="shared" si="35"/>
        <v>0</v>
      </c>
      <c r="E76" s="21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3">
        <v>0</v>
      </c>
      <c r="M76" s="25">
        <f t="shared" si="37"/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</row>
    <row r="77" spans="1:21" s="34" customFormat="1" ht="18.75" thickBot="1">
      <c r="A77" s="269"/>
      <c r="B77" s="12" t="s">
        <v>124</v>
      </c>
      <c r="C77" s="30" t="s">
        <v>44</v>
      </c>
      <c r="D77" s="25">
        <f t="shared" si="35"/>
        <v>0</v>
      </c>
      <c r="E77" s="26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8">
        <v>0</v>
      </c>
      <c r="M77" s="25">
        <f t="shared" si="37"/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</row>
    <row r="78" spans="1:21" s="34" customFormat="1" ht="27.75" customHeight="1">
      <c r="A78" s="10" t="s">
        <v>125</v>
      </c>
      <c r="B78" s="270" t="s">
        <v>126</v>
      </c>
      <c r="C78" s="270"/>
      <c r="D78" s="11">
        <f t="shared" si="35"/>
        <v>33000000</v>
      </c>
      <c r="E78" s="11">
        <f aca="true" t="shared" si="39" ref="E78:L78">SUM(E79:E81)</f>
        <v>0</v>
      </c>
      <c r="F78" s="11">
        <f t="shared" si="39"/>
        <v>0</v>
      </c>
      <c r="G78" s="11">
        <f t="shared" si="39"/>
        <v>0</v>
      </c>
      <c r="H78" s="11">
        <f t="shared" si="39"/>
        <v>0</v>
      </c>
      <c r="I78" s="11">
        <f t="shared" si="39"/>
        <v>33000000</v>
      </c>
      <c r="J78" s="11">
        <f t="shared" si="39"/>
        <v>0</v>
      </c>
      <c r="K78" s="11">
        <f t="shared" si="39"/>
        <v>0</v>
      </c>
      <c r="L78" s="11">
        <f t="shared" si="39"/>
        <v>0</v>
      </c>
      <c r="M78" s="11">
        <f t="shared" si="37"/>
        <v>28182500</v>
      </c>
      <c r="N78" s="11">
        <f aca="true" t="shared" si="40" ref="N78:U78">SUM(N79:N81)</f>
        <v>0</v>
      </c>
      <c r="O78" s="11">
        <f t="shared" si="40"/>
        <v>0</v>
      </c>
      <c r="P78" s="11">
        <f t="shared" si="40"/>
        <v>0</v>
      </c>
      <c r="Q78" s="11">
        <f t="shared" si="40"/>
        <v>0</v>
      </c>
      <c r="R78" s="11">
        <f t="shared" si="40"/>
        <v>28182500</v>
      </c>
      <c r="S78" s="11">
        <f t="shared" si="40"/>
        <v>0</v>
      </c>
      <c r="T78" s="11">
        <f t="shared" si="40"/>
        <v>0</v>
      </c>
      <c r="U78" s="11">
        <f t="shared" si="40"/>
        <v>0</v>
      </c>
    </row>
    <row r="79" spans="1:23" s="34" customFormat="1" ht="18.75" thickBot="1">
      <c r="A79" s="269"/>
      <c r="B79" s="12" t="s">
        <v>127</v>
      </c>
      <c r="C79" s="19" t="s">
        <v>40</v>
      </c>
      <c r="D79" s="25">
        <f t="shared" si="35"/>
        <v>33000000</v>
      </c>
      <c r="E79" s="15">
        <v>0</v>
      </c>
      <c r="F79" s="16">
        <v>0</v>
      </c>
      <c r="G79" s="16">
        <v>0</v>
      </c>
      <c r="H79" s="16">
        <v>0</v>
      </c>
      <c r="I79" s="16">
        <v>33000000</v>
      </c>
      <c r="J79" s="16">
        <v>0</v>
      </c>
      <c r="K79" s="16">
        <v>0</v>
      </c>
      <c r="L79" s="17">
        <v>0</v>
      </c>
      <c r="M79" s="25">
        <f t="shared" si="37"/>
        <v>28182500</v>
      </c>
      <c r="N79" s="15">
        <v>0</v>
      </c>
      <c r="O79" s="16">
        <v>0</v>
      </c>
      <c r="P79" s="16">
        <v>0</v>
      </c>
      <c r="Q79" s="16">
        <v>0</v>
      </c>
      <c r="R79" s="16">
        <v>28182500</v>
      </c>
      <c r="S79" s="16">
        <v>0</v>
      </c>
      <c r="T79" s="16">
        <v>0</v>
      </c>
      <c r="U79" s="17">
        <v>0</v>
      </c>
      <c r="W79" s="184"/>
    </row>
    <row r="80" spans="1:21" s="34" customFormat="1" ht="18.75" thickBot="1">
      <c r="A80" s="269"/>
      <c r="B80" s="12" t="s">
        <v>128</v>
      </c>
      <c r="C80" s="19" t="s">
        <v>42</v>
      </c>
      <c r="D80" s="25">
        <f t="shared" si="35"/>
        <v>0</v>
      </c>
      <c r="E80" s="21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3">
        <v>0</v>
      </c>
      <c r="M80" s="25">
        <f t="shared" si="37"/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1:21" s="34" customFormat="1" ht="18.75" thickBot="1">
      <c r="A81" s="269"/>
      <c r="B81" s="12" t="s">
        <v>129</v>
      </c>
      <c r="C81" s="30" t="s">
        <v>44</v>
      </c>
      <c r="D81" s="25">
        <f t="shared" si="35"/>
        <v>0</v>
      </c>
      <c r="E81" s="26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8">
        <v>0</v>
      </c>
      <c r="M81" s="25">
        <f t="shared" si="37"/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</row>
    <row r="82" spans="1:21" s="34" customFormat="1" ht="18" customHeight="1">
      <c r="A82" s="10" t="s">
        <v>130</v>
      </c>
      <c r="B82" s="270" t="s">
        <v>131</v>
      </c>
      <c r="C82" s="270"/>
      <c r="D82" s="11">
        <f t="shared" si="35"/>
        <v>30000000</v>
      </c>
      <c r="E82" s="11">
        <f aca="true" t="shared" si="41" ref="E82:L82">SUM(E83:E85)</f>
        <v>0</v>
      </c>
      <c r="F82" s="11">
        <f t="shared" si="41"/>
        <v>0</v>
      </c>
      <c r="G82" s="11">
        <f t="shared" si="41"/>
        <v>0</v>
      </c>
      <c r="H82" s="11">
        <f t="shared" si="41"/>
        <v>0</v>
      </c>
      <c r="I82" s="11">
        <f t="shared" si="41"/>
        <v>30000000</v>
      </c>
      <c r="J82" s="11">
        <f t="shared" si="41"/>
        <v>0</v>
      </c>
      <c r="K82" s="11">
        <f t="shared" si="41"/>
        <v>0</v>
      </c>
      <c r="L82" s="11">
        <f t="shared" si="41"/>
        <v>0</v>
      </c>
      <c r="M82" s="11">
        <f t="shared" si="37"/>
        <v>50865408</v>
      </c>
      <c r="N82" s="11">
        <f aca="true" t="shared" si="42" ref="N82:U82">SUM(N83:N85)</f>
        <v>6097842</v>
      </c>
      <c r="O82" s="11">
        <f t="shared" si="42"/>
        <v>2550000</v>
      </c>
      <c r="P82" s="11">
        <f t="shared" si="42"/>
        <v>16576000</v>
      </c>
      <c r="Q82" s="11">
        <f t="shared" si="42"/>
        <v>0</v>
      </c>
      <c r="R82" s="11">
        <f t="shared" si="42"/>
        <v>4575408</v>
      </c>
      <c r="S82" s="11">
        <f t="shared" si="42"/>
        <v>21066158</v>
      </c>
      <c r="T82" s="11">
        <f t="shared" si="42"/>
        <v>0</v>
      </c>
      <c r="U82" s="11">
        <f t="shared" si="42"/>
        <v>0</v>
      </c>
    </row>
    <row r="83" spans="1:21" s="34" customFormat="1" ht="18.75" thickBot="1">
      <c r="A83" s="269"/>
      <c r="B83" s="12" t="s">
        <v>132</v>
      </c>
      <c r="C83" s="19" t="s">
        <v>40</v>
      </c>
      <c r="D83" s="25">
        <f t="shared" si="35"/>
        <v>30000000</v>
      </c>
      <c r="E83" s="15">
        <v>0</v>
      </c>
      <c r="F83" s="16">
        <v>0</v>
      </c>
      <c r="G83" s="16">
        <v>0</v>
      </c>
      <c r="H83" s="16">
        <v>0</v>
      </c>
      <c r="I83" s="16">
        <v>30000000</v>
      </c>
      <c r="J83" s="16">
        <v>0</v>
      </c>
      <c r="K83" s="16">
        <v>0</v>
      </c>
      <c r="L83" s="31">
        <v>0</v>
      </c>
      <c r="M83" s="25">
        <f t="shared" si="37"/>
        <v>50865408</v>
      </c>
      <c r="N83" s="15">
        <v>6097842</v>
      </c>
      <c r="O83" s="16">
        <v>2550000</v>
      </c>
      <c r="P83" s="16">
        <v>16576000</v>
      </c>
      <c r="Q83" s="16">
        <v>0</v>
      </c>
      <c r="R83" s="16">
        <v>4575408</v>
      </c>
      <c r="S83" s="16">
        <v>21066158</v>
      </c>
      <c r="T83" s="16">
        <v>0</v>
      </c>
      <c r="U83" s="31">
        <v>0</v>
      </c>
    </row>
    <row r="84" spans="1:21" s="34" customFormat="1" ht="18.75" thickBot="1">
      <c r="A84" s="269"/>
      <c r="B84" s="12" t="s">
        <v>133</v>
      </c>
      <c r="C84" s="19" t="s">
        <v>42</v>
      </c>
      <c r="D84" s="25">
        <f t="shared" si="35"/>
        <v>0</v>
      </c>
      <c r="E84" s="21">
        <v>0</v>
      </c>
      <c r="F84" s="22">
        <v>0</v>
      </c>
      <c r="G84" s="22">
        <f>'5.19. Céltartalék'!G29</f>
        <v>0</v>
      </c>
      <c r="H84" s="22">
        <v>0</v>
      </c>
      <c r="I84" s="22">
        <v>0</v>
      </c>
      <c r="J84" s="22">
        <v>0</v>
      </c>
      <c r="K84" s="22">
        <v>0</v>
      </c>
      <c r="L84" s="32">
        <v>0</v>
      </c>
      <c r="M84" s="25">
        <f t="shared" si="37"/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</row>
    <row r="85" spans="1:21" s="34" customFormat="1" ht="18.75" thickBot="1">
      <c r="A85" s="269"/>
      <c r="B85" s="12" t="s">
        <v>134</v>
      </c>
      <c r="C85" s="13" t="s">
        <v>44</v>
      </c>
      <c r="D85" s="25">
        <f t="shared" si="35"/>
        <v>0</v>
      </c>
      <c r="E85" s="26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33">
        <v>0</v>
      </c>
      <c r="M85" s="25">
        <f t="shared" si="37"/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</row>
    <row r="86" spans="1:21" s="34" customFormat="1" ht="18" customHeight="1">
      <c r="A86" s="10" t="s">
        <v>135</v>
      </c>
      <c r="B86" s="270" t="s">
        <v>136</v>
      </c>
      <c r="C86" s="270"/>
      <c r="D86" s="11">
        <f t="shared" si="35"/>
        <v>500000000</v>
      </c>
      <c r="E86" s="11">
        <f aca="true" t="shared" si="43" ref="E86:L86">SUM(E87:E89)</f>
        <v>0</v>
      </c>
      <c r="F86" s="11">
        <f t="shared" si="43"/>
        <v>0</v>
      </c>
      <c r="G86" s="11">
        <f t="shared" si="43"/>
        <v>0</v>
      </c>
      <c r="H86" s="11">
        <f t="shared" si="43"/>
        <v>0</v>
      </c>
      <c r="I86" s="11">
        <f t="shared" si="43"/>
        <v>500000000</v>
      </c>
      <c r="J86" s="11">
        <f t="shared" si="43"/>
        <v>0</v>
      </c>
      <c r="K86" s="11">
        <f t="shared" si="43"/>
        <v>0</v>
      </c>
      <c r="L86" s="11">
        <f t="shared" si="43"/>
        <v>0</v>
      </c>
      <c r="M86" s="11">
        <f t="shared" si="37"/>
        <v>416026666</v>
      </c>
      <c r="N86" s="11">
        <f aca="true" t="shared" si="44" ref="N86:U86">SUM(N87:N89)</f>
        <v>0</v>
      </c>
      <c r="O86" s="11">
        <f t="shared" si="44"/>
        <v>0</v>
      </c>
      <c r="P86" s="11">
        <f t="shared" si="44"/>
        <v>0</v>
      </c>
      <c r="Q86" s="11">
        <f t="shared" si="44"/>
        <v>0</v>
      </c>
      <c r="R86" s="11">
        <f t="shared" si="44"/>
        <v>10000000</v>
      </c>
      <c r="S86" s="11">
        <f t="shared" si="44"/>
        <v>0</v>
      </c>
      <c r="T86" s="11">
        <f t="shared" si="44"/>
        <v>0</v>
      </c>
      <c r="U86" s="11">
        <f t="shared" si="44"/>
        <v>406026666</v>
      </c>
    </row>
    <row r="87" spans="1:21" s="34" customFormat="1" ht="18.75" thickBot="1">
      <c r="A87" s="269"/>
      <c r="B87" s="12" t="s">
        <v>137</v>
      </c>
      <c r="C87" s="19" t="s">
        <v>40</v>
      </c>
      <c r="D87" s="25">
        <f t="shared" si="35"/>
        <v>500000000</v>
      </c>
      <c r="E87" s="15">
        <v>0</v>
      </c>
      <c r="F87" s="16">
        <v>0</v>
      </c>
      <c r="G87" s="16">
        <v>0</v>
      </c>
      <c r="H87" s="16">
        <v>0</v>
      </c>
      <c r="I87" s="16">
        <v>500000000</v>
      </c>
      <c r="J87" s="16">
        <v>0</v>
      </c>
      <c r="K87" s="16">
        <v>0</v>
      </c>
      <c r="L87" s="31">
        <v>0</v>
      </c>
      <c r="M87" s="25">
        <f>SUM(N87:U87)</f>
        <v>416026666</v>
      </c>
      <c r="N87" s="15">
        <v>0</v>
      </c>
      <c r="O87" s="16">
        <v>0</v>
      </c>
      <c r="P87" s="16">
        <v>0</v>
      </c>
      <c r="Q87" s="16">
        <v>0</v>
      </c>
      <c r="R87" s="16">
        <v>10000000</v>
      </c>
      <c r="S87" s="16">
        <v>0</v>
      </c>
      <c r="T87" s="16">
        <v>0</v>
      </c>
      <c r="U87" s="31">
        <v>406026666</v>
      </c>
    </row>
    <row r="88" spans="1:21" s="34" customFormat="1" ht="18.75" thickBot="1">
      <c r="A88" s="269"/>
      <c r="B88" s="12" t="s">
        <v>138</v>
      </c>
      <c r="C88" s="19" t="s">
        <v>42</v>
      </c>
      <c r="D88" s="25">
        <f t="shared" si="35"/>
        <v>0</v>
      </c>
      <c r="E88" s="21">
        <v>0</v>
      </c>
      <c r="F88" s="22">
        <v>0</v>
      </c>
      <c r="G88" s="22">
        <f>'5.19. Céltartalék'!G33</f>
        <v>0</v>
      </c>
      <c r="H88" s="22">
        <v>0</v>
      </c>
      <c r="I88" s="22">
        <v>0</v>
      </c>
      <c r="J88" s="22">
        <v>0</v>
      </c>
      <c r="K88" s="22">
        <v>0</v>
      </c>
      <c r="L88" s="32">
        <v>0</v>
      </c>
      <c r="M88" s="25">
        <f t="shared" si="37"/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</row>
    <row r="89" spans="1:21" s="34" customFormat="1" ht="18.75" thickBot="1">
      <c r="A89" s="269"/>
      <c r="B89" s="12" t="s">
        <v>139</v>
      </c>
      <c r="C89" s="13" t="s">
        <v>44</v>
      </c>
      <c r="D89" s="25">
        <f t="shared" si="35"/>
        <v>0</v>
      </c>
      <c r="E89" s="26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33">
        <v>0</v>
      </c>
      <c r="M89" s="25">
        <f t="shared" si="37"/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</row>
    <row r="90" spans="1:21" s="34" customFormat="1" ht="18" customHeight="1">
      <c r="A90" s="10" t="s">
        <v>140</v>
      </c>
      <c r="B90" s="270" t="s">
        <v>141</v>
      </c>
      <c r="C90" s="270"/>
      <c r="D90" s="11">
        <f t="shared" si="35"/>
        <v>1556231178</v>
      </c>
      <c r="E90" s="11">
        <f aca="true" t="shared" si="45" ref="E90:L90">SUM(E91:E93)</f>
        <v>25127500</v>
      </c>
      <c r="F90" s="11">
        <f t="shared" si="45"/>
        <v>6640000</v>
      </c>
      <c r="G90" s="11">
        <f t="shared" si="45"/>
        <v>819486490</v>
      </c>
      <c r="H90" s="11">
        <f t="shared" si="45"/>
        <v>0</v>
      </c>
      <c r="I90" s="11">
        <f t="shared" si="45"/>
        <v>704977188</v>
      </c>
      <c r="J90" s="11">
        <f t="shared" si="45"/>
        <v>0</v>
      </c>
      <c r="K90" s="11">
        <f t="shared" si="45"/>
        <v>0</v>
      </c>
      <c r="L90" s="11">
        <f t="shared" si="45"/>
        <v>0</v>
      </c>
      <c r="M90" s="11">
        <f>SUM(N90:U90)</f>
        <v>2319017022</v>
      </c>
      <c r="N90" s="11">
        <f aca="true" t="shared" si="46" ref="N90:U90">SUM(N91:N93)</f>
        <v>24266092</v>
      </c>
      <c r="O90" s="11">
        <f>SUM(O91:O93)</f>
        <v>6579452</v>
      </c>
      <c r="P90" s="11">
        <f>SUM(P91:P93)</f>
        <v>998245320</v>
      </c>
      <c r="Q90" s="11">
        <f t="shared" si="46"/>
        <v>0</v>
      </c>
      <c r="R90" s="11">
        <f t="shared" si="46"/>
        <v>1276913213</v>
      </c>
      <c r="S90" s="11">
        <f t="shared" si="46"/>
        <v>7498800</v>
      </c>
      <c r="T90" s="11">
        <f t="shared" si="46"/>
        <v>2514145</v>
      </c>
      <c r="U90" s="11">
        <f t="shared" si="46"/>
        <v>3000000</v>
      </c>
    </row>
    <row r="91" spans="1:21" s="34" customFormat="1" ht="18.75" thickBot="1">
      <c r="A91" s="269"/>
      <c r="B91" s="12" t="s">
        <v>142</v>
      </c>
      <c r="C91" s="19" t="s">
        <v>40</v>
      </c>
      <c r="D91" s="25">
        <f t="shared" si="35"/>
        <v>1543231178</v>
      </c>
      <c r="E91" s="15">
        <f>'5.14. Egyéb kiadások'!E10</f>
        <v>25127500</v>
      </c>
      <c r="F91" s="16">
        <f>'5.14. Egyéb kiadások'!F10</f>
        <v>6640000</v>
      </c>
      <c r="G91" s="16">
        <f>'5.14. Egyéb kiadások'!G10</f>
        <v>806486490</v>
      </c>
      <c r="H91" s="16">
        <f>'5.14. Egyéb kiadások'!H10</f>
        <v>0</v>
      </c>
      <c r="I91" s="16">
        <f>'5.14. Egyéb kiadások'!I10</f>
        <v>704977188</v>
      </c>
      <c r="J91" s="16">
        <f>'5.14. Egyéb kiadások'!J10</f>
        <v>0</v>
      </c>
      <c r="K91" s="16">
        <f>'5.14. Egyéb kiadások'!K10</f>
        <v>0</v>
      </c>
      <c r="L91" s="31">
        <f>'5.14. Egyéb kiadások'!L10</f>
        <v>0</v>
      </c>
      <c r="M91" s="25">
        <f t="shared" si="37"/>
        <v>2306009092</v>
      </c>
      <c r="N91" s="15">
        <f>'5.14. Egyéb kiadások'!N10</f>
        <v>24255052</v>
      </c>
      <c r="O91" s="15">
        <f>'5.14. Egyéb kiadások'!O10</f>
        <v>6574632</v>
      </c>
      <c r="P91" s="15">
        <f>'5.14. Egyéb kiadások'!P10</f>
        <v>985253250</v>
      </c>
      <c r="Q91" s="15">
        <f>'5.14. Egyéb kiadások'!Q10</f>
        <v>0</v>
      </c>
      <c r="R91" s="15">
        <f>'5.14. Egyéb kiadások'!R10</f>
        <v>1276913213</v>
      </c>
      <c r="S91" s="15">
        <f>'5.14. Egyéb kiadások'!S10</f>
        <v>7498800</v>
      </c>
      <c r="T91" s="15">
        <f>'5.14. Egyéb kiadások'!T10</f>
        <v>2514145</v>
      </c>
      <c r="U91" s="15">
        <f>'5.14. Egyéb kiadások'!U10</f>
        <v>3000000</v>
      </c>
    </row>
    <row r="92" spans="1:21" s="34" customFormat="1" ht="18.75" thickBot="1">
      <c r="A92" s="269"/>
      <c r="B92" s="12" t="s">
        <v>143</v>
      </c>
      <c r="C92" s="19" t="s">
        <v>42</v>
      </c>
      <c r="D92" s="25">
        <f t="shared" si="35"/>
        <v>0</v>
      </c>
      <c r="E92" s="21">
        <f>'5.14. Egyéb kiadások'!E35</f>
        <v>0</v>
      </c>
      <c r="F92" s="22">
        <f>'5.14. Egyéb kiadások'!F35</f>
        <v>0</v>
      </c>
      <c r="G92" s="22">
        <f>'5.14. Egyéb kiadások'!G35</f>
        <v>0</v>
      </c>
      <c r="H92" s="22">
        <f>'5.14. Egyéb kiadások'!H35</f>
        <v>0</v>
      </c>
      <c r="I92" s="22">
        <f>'5.14. Egyéb kiadások'!I35</f>
        <v>0</v>
      </c>
      <c r="J92" s="22">
        <f>'5.14. Egyéb kiadások'!J35</f>
        <v>0</v>
      </c>
      <c r="K92" s="22">
        <f>'5.14. Egyéb kiadások'!K35</f>
        <v>0</v>
      </c>
      <c r="L92" s="32">
        <f>'5.14. Egyéb kiadások'!L35</f>
        <v>0</v>
      </c>
      <c r="M92" s="25">
        <f t="shared" si="37"/>
        <v>0</v>
      </c>
      <c r="N92" s="21">
        <f>'5.14. Egyéb kiadások'!N35</f>
        <v>0</v>
      </c>
      <c r="O92" s="21">
        <f>'5.14. Egyéb kiadások'!O35</f>
        <v>0</v>
      </c>
      <c r="P92" s="21">
        <f>'5.14. Egyéb kiadások'!P35</f>
        <v>0</v>
      </c>
      <c r="Q92" s="21">
        <f>'5.14. Egyéb kiadások'!Q35</f>
        <v>0</v>
      </c>
      <c r="R92" s="21">
        <f>'5.14. Egyéb kiadások'!R35</f>
        <v>0</v>
      </c>
      <c r="S92" s="21">
        <f>'5.14. Egyéb kiadások'!S35</f>
        <v>0</v>
      </c>
      <c r="T92" s="21">
        <f>'5.14. Egyéb kiadások'!T35</f>
        <v>0</v>
      </c>
      <c r="U92" s="21">
        <f>'5.14. Egyéb kiadások'!U35</f>
        <v>0</v>
      </c>
    </row>
    <row r="93" spans="1:21" s="34" customFormat="1" ht="18.75" thickBot="1">
      <c r="A93" s="269"/>
      <c r="B93" s="12" t="s">
        <v>144</v>
      </c>
      <c r="C93" s="30" t="s">
        <v>44</v>
      </c>
      <c r="D93" s="25">
        <f t="shared" si="35"/>
        <v>13000000</v>
      </c>
      <c r="E93" s="26">
        <f>'5.14. Egyéb kiadások'!E36</f>
        <v>0</v>
      </c>
      <c r="F93" s="27">
        <f>'5.14. Egyéb kiadások'!F36</f>
        <v>0</v>
      </c>
      <c r="G93" s="27">
        <f>'5.14. Egyéb kiadások'!G36</f>
        <v>13000000</v>
      </c>
      <c r="H93" s="27">
        <f>'5.14. Egyéb kiadások'!H36</f>
        <v>0</v>
      </c>
      <c r="I93" s="27">
        <f>'5.14. Egyéb kiadások'!I36</f>
        <v>0</v>
      </c>
      <c r="J93" s="27">
        <f>'5.14. Egyéb kiadások'!J36</f>
        <v>0</v>
      </c>
      <c r="K93" s="27">
        <f>'5.14. Egyéb kiadások'!K36</f>
        <v>0</v>
      </c>
      <c r="L93" s="33">
        <f>'5.14. Egyéb kiadások'!L36</f>
        <v>0</v>
      </c>
      <c r="M93" s="25">
        <f t="shared" si="37"/>
        <v>13007930</v>
      </c>
      <c r="N93" s="26">
        <f>'5.14. Egyéb kiadások'!N36</f>
        <v>11040</v>
      </c>
      <c r="O93" s="26">
        <f>'5.14. Egyéb kiadások'!O36</f>
        <v>4820</v>
      </c>
      <c r="P93" s="26">
        <f>'5.14. Egyéb kiadások'!P36</f>
        <v>12992070</v>
      </c>
      <c r="Q93" s="26">
        <f>'5.14. Egyéb kiadások'!Q36</f>
        <v>0</v>
      </c>
      <c r="R93" s="26">
        <f>'5.14. Egyéb kiadások'!R36</f>
        <v>0</v>
      </c>
      <c r="S93" s="26">
        <f>'5.14. Egyéb kiadások'!S36</f>
        <v>0</v>
      </c>
      <c r="T93" s="26">
        <f>'5.14. Egyéb kiadások'!T36</f>
        <v>0</v>
      </c>
      <c r="U93" s="26">
        <f>'5.14. Egyéb kiadások'!U36</f>
        <v>0</v>
      </c>
    </row>
    <row r="94" spans="1:21" s="34" customFormat="1" ht="18" customHeight="1">
      <c r="A94" s="10" t="s">
        <v>145</v>
      </c>
      <c r="B94" s="270" t="s">
        <v>146</v>
      </c>
      <c r="C94" s="270"/>
      <c r="D94" s="11">
        <f t="shared" si="35"/>
        <v>380700000</v>
      </c>
      <c r="E94" s="11">
        <f aca="true" t="shared" si="47" ref="E94:L94">SUM(E95:E97)</f>
        <v>45000000</v>
      </c>
      <c r="F94" s="11">
        <f t="shared" si="47"/>
        <v>17000000</v>
      </c>
      <c r="G94" s="11">
        <f t="shared" si="47"/>
        <v>166200000</v>
      </c>
      <c r="H94" s="11">
        <f t="shared" si="47"/>
        <v>0</v>
      </c>
      <c r="I94" s="11">
        <f t="shared" si="47"/>
        <v>150000000</v>
      </c>
      <c r="J94" s="11">
        <f t="shared" si="47"/>
        <v>2500000</v>
      </c>
      <c r="K94" s="11">
        <f t="shared" si="47"/>
        <v>0</v>
      </c>
      <c r="L94" s="11">
        <f t="shared" si="47"/>
        <v>0</v>
      </c>
      <c r="M94" s="11">
        <f>SUM(N94:U94)</f>
        <v>426837921</v>
      </c>
      <c r="N94" s="11">
        <f aca="true" t="shared" si="48" ref="N94:U94">SUM(N95:N97)</f>
        <v>43417502</v>
      </c>
      <c r="O94" s="11">
        <f t="shared" si="48"/>
        <v>19527879</v>
      </c>
      <c r="P94" s="11">
        <f t="shared" si="48"/>
        <v>240590948</v>
      </c>
      <c r="Q94" s="11">
        <f t="shared" si="48"/>
        <v>0</v>
      </c>
      <c r="R94" s="11">
        <f t="shared" si="48"/>
        <v>113570000</v>
      </c>
      <c r="S94" s="11">
        <f t="shared" si="48"/>
        <v>9731592</v>
      </c>
      <c r="T94" s="11">
        <f t="shared" si="48"/>
        <v>0</v>
      </c>
      <c r="U94" s="11">
        <f t="shared" si="48"/>
        <v>0</v>
      </c>
    </row>
    <row r="95" spans="1:21" s="34" customFormat="1" ht="18.75" thickBot="1">
      <c r="A95" s="269"/>
      <c r="B95" s="12" t="s">
        <v>147</v>
      </c>
      <c r="C95" s="19" t="s">
        <v>40</v>
      </c>
      <c r="D95" s="25">
        <f t="shared" si="35"/>
        <v>0</v>
      </c>
      <c r="E95" s="15">
        <f>'5.15. Városmarketing'!E10</f>
        <v>0</v>
      </c>
      <c r="F95" s="16">
        <f>'5.15. Városmarketing'!F10</f>
        <v>0</v>
      </c>
      <c r="G95" s="16">
        <f>'5.15. Városmarketing'!G10</f>
        <v>0</v>
      </c>
      <c r="H95" s="16">
        <f>'5.15. Városmarketing'!H10</f>
        <v>0</v>
      </c>
      <c r="I95" s="16">
        <f>'5.15. Városmarketing'!I10</f>
        <v>0</v>
      </c>
      <c r="J95" s="16">
        <f>'5.15. Városmarketing'!J10</f>
        <v>0</v>
      </c>
      <c r="K95" s="16">
        <f>'5.15. Városmarketing'!K10</f>
        <v>0</v>
      </c>
      <c r="L95" s="31">
        <f>'5.15. Városmarketing'!L10</f>
        <v>0</v>
      </c>
      <c r="M95" s="25">
        <f t="shared" si="37"/>
        <v>0</v>
      </c>
      <c r="N95" s="15">
        <f>'5.15. Városmarketing'!N10</f>
        <v>0</v>
      </c>
      <c r="O95" s="15">
        <f>'5.15. Városmarketing'!O10</f>
        <v>0</v>
      </c>
      <c r="P95" s="15">
        <f>'5.15. Városmarketing'!P10</f>
        <v>0</v>
      </c>
      <c r="Q95" s="15">
        <f>'5.15. Városmarketing'!Q10</f>
        <v>0</v>
      </c>
      <c r="R95" s="15">
        <f>'5.15. Városmarketing'!R10</f>
        <v>0</v>
      </c>
      <c r="S95" s="15">
        <f>'5.15. Városmarketing'!S10</f>
        <v>0</v>
      </c>
      <c r="T95" s="15">
        <f>'5.15. Városmarketing'!T10</f>
        <v>0</v>
      </c>
      <c r="U95" s="15">
        <f>'5.15. Városmarketing'!U10</f>
        <v>0</v>
      </c>
    </row>
    <row r="96" spans="1:21" s="34" customFormat="1" ht="18.75" thickBot="1">
      <c r="A96" s="269"/>
      <c r="B96" s="12" t="s">
        <v>148</v>
      </c>
      <c r="C96" s="19" t="s">
        <v>42</v>
      </c>
      <c r="D96" s="25">
        <f t="shared" si="35"/>
        <v>380700000</v>
      </c>
      <c r="E96" s="21">
        <f>'5.15. Városmarketing'!E11</f>
        <v>45000000</v>
      </c>
      <c r="F96" s="22">
        <f>'5.15. Városmarketing'!F11</f>
        <v>17000000</v>
      </c>
      <c r="G96" s="22">
        <f>'5.15. Városmarketing'!G11</f>
        <v>166200000</v>
      </c>
      <c r="H96" s="22">
        <f>'5.15. Városmarketing'!H11</f>
        <v>0</v>
      </c>
      <c r="I96" s="22">
        <f>'5.15. Városmarketing'!I11</f>
        <v>150000000</v>
      </c>
      <c r="J96" s="22">
        <f>'5.15. Városmarketing'!J11</f>
        <v>2500000</v>
      </c>
      <c r="K96" s="22">
        <f>'5.15. Városmarketing'!K11</f>
        <v>0</v>
      </c>
      <c r="L96" s="32">
        <f>'5.15. Városmarketing'!L11</f>
        <v>0</v>
      </c>
      <c r="M96" s="25">
        <f t="shared" si="37"/>
        <v>426837921</v>
      </c>
      <c r="N96" s="21">
        <f>'5.15. Városmarketing'!N11</f>
        <v>43417502</v>
      </c>
      <c r="O96" s="21">
        <f>'5.15. Városmarketing'!O11</f>
        <v>19527879</v>
      </c>
      <c r="P96" s="21">
        <f>'5.15. Városmarketing'!P11</f>
        <v>240590948</v>
      </c>
      <c r="Q96" s="21">
        <f>'5.15. Városmarketing'!Q11</f>
        <v>0</v>
      </c>
      <c r="R96" s="21">
        <f>'5.15. Városmarketing'!R11</f>
        <v>113570000</v>
      </c>
      <c r="S96" s="21">
        <f>'5.15. Városmarketing'!S11</f>
        <v>9731592</v>
      </c>
      <c r="T96" s="21">
        <f>'5.15. Városmarketing'!T11</f>
        <v>0</v>
      </c>
      <c r="U96" s="21">
        <f>'5.15. Városmarketing'!U11</f>
        <v>0</v>
      </c>
    </row>
    <row r="97" spans="1:21" s="34" customFormat="1" ht="18.75" thickBot="1">
      <c r="A97" s="269"/>
      <c r="B97" s="12" t="s">
        <v>149</v>
      </c>
      <c r="C97" s="30" t="s">
        <v>44</v>
      </c>
      <c r="D97" s="25">
        <f t="shared" si="35"/>
        <v>0</v>
      </c>
      <c r="E97" s="26">
        <f>'5.15. Városmarketing'!E23</f>
        <v>0</v>
      </c>
      <c r="F97" s="27">
        <f>'5.15. Városmarketing'!F23</f>
        <v>0</v>
      </c>
      <c r="G97" s="27">
        <f>'5.15. Városmarketing'!G23</f>
        <v>0</v>
      </c>
      <c r="H97" s="27">
        <f>'5.15. Városmarketing'!H23</f>
        <v>0</v>
      </c>
      <c r="I97" s="27">
        <f>'5.15. Városmarketing'!I23</f>
        <v>0</v>
      </c>
      <c r="J97" s="27">
        <f>'5.15. Városmarketing'!J23</f>
        <v>0</v>
      </c>
      <c r="K97" s="27">
        <f>'5.15. Városmarketing'!K23</f>
        <v>0</v>
      </c>
      <c r="L97" s="33">
        <f>'5.15. Városmarketing'!L23</f>
        <v>0</v>
      </c>
      <c r="M97" s="25">
        <f t="shared" si="37"/>
        <v>0</v>
      </c>
      <c r="N97" s="26">
        <f>'5.15. Városmarketing'!N23</f>
        <v>0</v>
      </c>
      <c r="O97" s="26">
        <f>'5.15. Városmarketing'!O23</f>
        <v>0</v>
      </c>
      <c r="P97" s="26">
        <f>'5.15. Városmarketing'!P23</f>
        <v>0</v>
      </c>
      <c r="Q97" s="26">
        <f>'5.15. Városmarketing'!Q23</f>
        <v>0</v>
      </c>
      <c r="R97" s="26">
        <f>'5.15. Városmarketing'!R23</f>
        <v>0</v>
      </c>
      <c r="S97" s="26">
        <f>'5.15. Városmarketing'!S23</f>
        <v>0</v>
      </c>
      <c r="T97" s="26">
        <f>'5.15. Városmarketing'!T23</f>
        <v>0</v>
      </c>
      <c r="U97" s="26">
        <f>'5.15. Városmarketing'!U23</f>
        <v>0</v>
      </c>
    </row>
    <row r="98" spans="1:21" s="34" customFormat="1" ht="18" customHeight="1">
      <c r="A98" s="10" t="s">
        <v>150</v>
      </c>
      <c r="B98" s="270" t="s">
        <v>151</v>
      </c>
      <c r="C98" s="270"/>
      <c r="D98" s="11">
        <f t="shared" si="35"/>
        <v>372856499</v>
      </c>
      <c r="E98" s="11">
        <f aca="true" t="shared" si="49" ref="E98:L98">SUM(E99:E101)</f>
        <v>12509740</v>
      </c>
      <c r="F98" s="11">
        <f t="shared" si="49"/>
        <v>3039689</v>
      </c>
      <c r="G98" s="11">
        <f t="shared" si="49"/>
        <v>348073301</v>
      </c>
      <c r="H98" s="11">
        <f t="shared" si="49"/>
        <v>0</v>
      </c>
      <c r="I98" s="11">
        <f t="shared" si="49"/>
        <v>9233769</v>
      </c>
      <c r="J98" s="11">
        <f t="shared" si="49"/>
        <v>0</v>
      </c>
      <c r="K98" s="11">
        <f t="shared" si="49"/>
        <v>0</v>
      </c>
      <c r="L98" s="11">
        <f t="shared" si="49"/>
        <v>0</v>
      </c>
      <c r="M98" s="11">
        <f>SUM(N98:U98)</f>
        <v>452345850</v>
      </c>
      <c r="N98" s="11">
        <f aca="true" t="shared" si="50" ref="N98:U98">SUM(N99:N101)</f>
        <v>16291985</v>
      </c>
      <c r="O98" s="11">
        <f t="shared" si="50"/>
        <v>4369572</v>
      </c>
      <c r="P98" s="11">
        <f t="shared" si="50"/>
        <v>407508804</v>
      </c>
      <c r="Q98" s="11">
        <f t="shared" si="50"/>
        <v>0</v>
      </c>
      <c r="R98" s="11">
        <f t="shared" si="50"/>
        <v>14466239</v>
      </c>
      <c r="S98" s="11">
        <f t="shared" si="50"/>
        <v>9709250</v>
      </c>
      <c r="T98" s="11">
        <f t="shared" si="50"/>
        <v>0</v>
      </c>
      <c r="U98" s="11">
        <f t="shared" si="50"/>
        <v>0</v>
      </c>
    </row>
    <row r="99" spans="1:21" s="34" customFormat="1" ht="18.75" thickBot="1">
      <c r="A99" s="269"/>
      <c r="B99" s="12" t="s">
        <v>152</v>
      </c>
      <c r="C99" s="19" t="s">
        <v>40</v>
      </c>
      <c r="D99" s="25">
        <f t="shared" si="35"/>
        <v>372856499</v>
      </c>
      <c r="E99" s="15">
        <f>'5.16. Nemzetközi pályázatok'!E10</f>
        <v>12509740</v>
      </c>
      <c r="F99" s="16">
        <f>'5.16. Nemzetközi pályázatok'!F10</f>
        <v>3039689</v>
      </c>
      <c r="G99" s="16">
        <f>'5.16. Nemzetközi pályázatok'!G10</f>
        <v>348073301</v>
      </c>
      <c r="H99" s="16">
        <f>'5.16. Nemzetközi pályázatok'!H10</f>
        <v>0</v>
      </c>
      <c r="I99" s="16">
        <f>'5.16. Nemzetközi pályázatok'!I10</f>
        <v>9233769</v>
      </c>
      <c r="J99" s="16">
        <f>'5.16. Nemzetközi pályázatok'!J10</f>
        <v>0</v>
      </c>
      <c r="K99" s="16">
        <f>'5.16. Nemzetközi pályázatok'!K10</f>
        <v>0</v>
      </c>
      <c r="L99" s="31">
        <f>'5.16. Nemzetközi pályázatok'!L10</f>
        <v>0</v>
      </c>
      <c r="M99" s="25">
        <f t="shared" si="37"/>
        <v>452345850</v>
      </c>
      <c r="N99" s="15">
        <f>'5.16. Nemzetközi pályázatok'!N10</f>
        <v>16291985</v>
      </c>
      <c r="O99" s="15">
        <f>'5.16. Nemzetközi pályázatok'!O10</f>
        <v>4369572</v>
      </c>
      <c r="P99" s="15">
        <f>'5.16. Nemzetközi pályázatok'!P10</f>
        <v>407508804</v>
      </c>
      <c r="Q99" s="15">
        <f>'5.16. Nemzetközi pályázatok'!Q10</f>
        <v>0</v>
      </c>
      <c r="R99" s="15">
        <f>'5.16. Nemzetközi pályázatok'!R10</f>
        <v>14466239</v>
      </c>
      <c r="S99" s="15">
        <f>'5.16. Nemzetközi pályázatok'!S10</f>
        <v>9709250</v>
      </c>
      <c r="T99" s="15">
        <f>'5.16. Nemzetközi pályázatok'!T10</f>
        <v>0</v>
      </c>
      <c r="U99" s="15">
        <f>'5.16. Nemzetközi pályázatok'!U10</f>
        <v>0</v>
      </c>
    </row>
    <row r="100" spans="1:21" s="34" customFormat="1" ht="18.75" thickBot="1">
      <c r="A100" s="269"/>
      <c r="B100" s="12" t="s">
        <v>153</v>
      </c>
      <c r="C100" s="19" t="s">
        <v>42</v>
      </c>
      <c r="D100" s="25">
        <f t="shared" si="35"/>
        <v>0</v>
      </c>
      <c r="E100" s="21">
        <f>'5.16. Nemzetközi pályázatok'!D30</f>
        <v>0</v>
      </c>
      <c r="F100" s="22">
        <f>'5.16. Nemzetközi pályázatok'!E30</f>
        <v>0</v>
      </c>
      <c r="G100" s="22">
        <f>'5.16. Nemzetközi pályázatok'!F30</f>
        <v>0</v>
      </c>
      <c r="H100" s="22">
        <f>'5.16. Nemzetközi pályázatok'!G30</f>
        <v>0</v>
      </c>
      <c r="I100" s="22">
        <f>'5.16. Nemzetközi pályázatok'!H30</f>
        <v>0</v>
      </c>
      <c r="J100" s="22">
        <f>'5.16. Nemzetközi pályázatok'!I30</f>
        <v>0</v>
      </c>
      <c r="K100" s="22">
        <f>'5.16. Nemzetközi pályázatok'!J30</f>
        <v>0</v>
      </c>
      <c r="L100" s="32">
        <f>'5.16. Nemzetközi pályázatok'!K30</f>
        <v>0</v>
      </c>
      <c r="M100" s="25">
        <f t="shared" si="37"/>
        <v>0</v>
      </c>
      <c r="N100" s="21">
        <f>'5.16. Nemzetközi pályázatok'!N30</f>
        <v>0</v>
      </c>
      <c r="O100" s="21">
        <f>'5.16. Nemzetközi pályázatok'!O30</f>
        <v>0</v>
      </c>
      <c r="P100" s="21">
        <f>'5.16. Nemzetközi pályázatok'!P30</f>
        <v>0</v>
      </c>
      <c r="Q100" s="21">
        <f>'5.16. Nemzetközi pályázatok'!Q30</f>
        <v>0</v>
      </c>
      <c r="R100" s="21">
        <f>'5.16. Nemzetközi pályázatok'!R30</f>
        <v>0</v>
      </c>
      <c r="S100" s="21">
        <f>'5.16. Nemzetközi pályázatok'!S30</f>
        <v>0</v>
      </c>
      <c r="T100" s="21">
        <f>'5.16. Nemzetközi pályázatok'!T30</f>
        <v>0</v>
      </c>
      <c r="U100" s="21">
        <f>'5.16. Nemzetközi pályázatok'!U30</f>
        <v>0</v>
      </c>
    </row>
    <row r="101" spans="1:21" s="34" customFormat="1" ht="18.75" thickBot="1">
      <c r="A101" s="269"/>
      <c r="B101" s="12" t="s">
        <v>154</v>
      </c>
      <c r="C101" s="30" t="s">
        <v>44</v>
      </c>
      <c r="D101" s="25">
        <f t="shared" si="35"/>
        <v>0</v>
      </c>
      <c r="E101" s="26">
        <f>'5.16. Nemzetközi pályázatok'!E31</f>
        <v>0</v>
      </c>
      <c r="F101" s="27">
        <f>'5.16. Nemzetközi pályázatok'!F31</f>
        <v>0</v>
      </c>
      <c r="G101" s="27">
        <f>'5.16. Nemzetközi pályázatok'!G31</f>
        <v>0</v>
      </c>
      <c r="H101" s="27">
        <f>'5.16. Nemzetközi pályázatok'!H31</f>
        <v>0</v>
      </c>
      <c r="I101" s="27">
        <f>'5.16. Nemzetközi pályázatok'!I31</f>
        <v>0</v>
      </c>
      <c r="J101" s="27">
        <f>'5.16. Nemzetközi pályázatok'!J31</f>
        <v>0</v>
      </c>
      <c r="K101" s="27">
        <f>'5.16. Nemzetközi pályázatok'!K31</f>
        <v>0</v>
      </c>
      <c r="L101" s="33">
        <f>'5.16. Nemzetközi pályázatok'!L31</f>
        <v>0</v>
      </c>
      <c r="M101" s="25">
        <f t="shared" si="37"/>
        <v>0</v>
      </c>
      <c r="N101" s="26">
        <f>'5.16. Nemzetközi pályázatok'!N31</f>
        <v>0</v>
      </c>
      <c r="O101" s="26">
        <f>'5.16. Nemzetközi pályázatok'!O31</f>
        <v>0</v>
      </c>
      <c r="P101" s="26">
        <f>'5.16. Nemzetközi pályázatok'!P31</f>
        <v>0</v>
      </c>
      <c r="Q101" s="26">
        <f>'5.16. Nemzetközi pályázatok'!Q31</f>
        <v>0</v>
      </c>
      <c r="R101" s="26">
        <f>'5.16. Nemzetközi pályázatok'!R31</f>
        <v>0</v>
      </c>
      <c r="S101" s="26">
        <f>'5.16. Nemzetközi pályázatok'!S31</f>
        <v>0</v>
      </c>
      <c r="T101" s="26">
        <f>'5.16. Nemzetközi pályázatok'!T31</f>
        <v>0</v>
      </c>
      <c r="U101" s="26">
        <f>'5.16. Nemzetközi pályázatok'!U31</f>
        <v>0</v>
      </c>
    </row>
    <row r="102" spans="1:21" s="34" customFormat="1" ht="18" customHeight="1">
      <c r="A102" s="10" t="s">
        <v>155</v>
      </c>
      <c r="B102" s="270" t="s">
        <v>156</v>
      </c>
      <c r="C102" s="270"/>
      <c r="D102" s="11">
        <f t="shared" si="35"/>
        <v>3154192865</v>
      </c>
      <c r="E102" s="11">
        <f aca="true" t="shared" si="51" ref="E102:L102">SUM(E103:E105)</f>
        <v>0</v>
      </c>
      <c r="F102" s="11">
        <f t="shared" si="51"/>
        <v>0</v>
      </c>
      <c r="G102" s="11">
        <f t="shared" si="51"/>
        <v>452201354</v>
      </c>
      <c r="H102" s="11">
        <f t="shared" si="51"/>
        <v>0</v>
      </c>
      <c r="I102" s="11">
        <f t="shared" si="51"/>
        <v>0</v>
      </c>
      <c r="J102" s="11">
        <f t="shared" si="51"/>
        <v>2636561778</v>
      </c>
      <c r="K102" s="11">
        <f t="shared" si="51"/>
        <v>65429733</v>
      </c>
      <c r="L102" s="11">
        <f t="shared" si="51"/>
        <v>0</v>
      </c>
      <c r="M102" s="11">
        <f>SUM(N102:U102)</f>
        <v>10355564935</v>
      </c>
      <c r="N102" s="11">
        <f aca="true" t="shared" si="52" ref="N102:U102">SUM(N103:N105)</f>
        <v>70000</v>
      </c>
      <c r="O102" s="11">
        <f t="shared" si="52"/>
        <v>12285</v>
      </c>
      <c r="P102" s="11">
        <f t="shared" si="52"/>
        <v>1050840982</v>
      </c>
      <c r="Q102" s="11">
        <f t="shared" si="52"/>
        <v>0</v>
      </c>
      <c r="R102" s="11">
        <f t="shared" si="52"/>
        <v>0</v>
      </c>
      <c r="S102" s="11">
        <f t="shared" si="52"/>
        <v>9283061831</v>
      </c>
      <c r="T102" s="11">
        <f t="shared" si="52"/>
        <v>19079837</v>
      </c>
      <c r="U102" s="11">
        <f t="shared" si="52"/>
        <v>2500000</v>
      </c>
    </row>
    <row r="103" spans="1:21" s="34" customFormat="1" ht="18.75" thickBot="1">
      <c r="A103" s="269"/>
      <c r="B103" s="12" t="s">
        <v>157</v>
      </c>
      <c r="C103" s="19" t="s">
        <v>40</v>
      </c>
      <c r="D103" s="25">
        <f t="shared" si="35"/>
        <v>3154192865</v>
      </c>
      <c r="E103" s="15">
        <f>'5.17. Vagyon'!E10</f>
        <v>0</v>
      </c>
      <c r="F103" s="16">
        <f>'5.17. Vagyon'!F10</f>
        <v>0</v>
      </c>
      <c r="G103" s="16">
        <f>'5.17. Vagyon'!G10</f>
        <v>452201354</v>
      </c>
      <c r="H103" s="16">
        <f>'5.17. Vagyon'!H10</f>
        <v>0</v>
      </c>
      <c r="I103" s="16">
        <f>'5.17. Vagyon'!I10</f>
        <v>0</v>
      </c>
      <c r="J103" s="16">
        <f>'5.17. Vagyon'!J10</f>
        <v>2636561778</v>
      </c>
      <c r="K103" s="16">
        <f>'5.17. Vagyon'!K10</f>
        <v>65429733</v>
      </c>
      <c r="L103" s="31">
        <f>'5.17. Vagyon'!L10</f>
        <v>0</v>
      </c>
      <c r="M103" s="25">
        <f t="shared" si="37"/>
        <v>10355564935</v>
      </c>
      <c r="N103" s="15">
        <f>'5.17. Vagyon'!N10</f>
        <v>70000</v>
      </c>
      <c r="O103" s="15">
        <f>'5.17. Vagyon'!O10</f>
        <v>12285</v>
      </c>
      <c r="P103" s="15">
        <f>'5.17. Vagyon'!P10</f>
        <v>1050840982</v>
      </c>
      <c r="Q103" s="15">
        <f>'5.17. Vagyon'!Q10</f>
        <v>0</v>
      </c>
      <c r="R103" s="15">
        <f>'5.17. Vagyon'!R10</f>
        <v>0</v>
      </c>
      <c r="S103" s="15">
        <f>'5.17. Vagyon'!S10</f>
        <v>9283061831</v>
      </c>
      <c r="T103" s="15">
        <f>'5.17. Vagyon'!T10</f>
        <v>19079837</v>
      </c>
      <c r="U103" s="15">
        <f>'5.17. Vagyon'!U10</f>
        <v>2500000</v>
      </c>
    </row>
    <row r="104" spans="1:21" s="34" customFormat="1" ht="18.75" thickBot="1">
      <c r="A104" s="269"/>
      <c r="B104" s="12" t="s">
        <v>158</v>
      </c>
      <c r="C104" s="19" t="s">
        <v>42</v>
      </c>
      <c r="D104" s="25">
        <f t="shared" si="35"/>
        <v>0</v>
      </c>
      <c r="E104" s="21">
        <f>'5.17. Vagyon'!E30</f>
        <v>0</v>
      </c>
      <c r="F104" s="22">
        <f>'5.17. Vagyon'!F30</f>
        <v>0</v>
      </c>
      <c r="G104" s="22">
        <f>'5.17. Vagyon'!G30</f>
        <v>0</v>
      </c>
      <c r="H104" s="22">
        <f>'5.17. Vagyon'!H30</f>
        <v>0</v>
      </c>
      <c r="I104" s="22">
        <f>'5.17. Vagyon'!I30</f>
        <v>0</v>
      </c>
      <c r="J104" s="22">
        <f>'5.17. Vagyon'!J30</f>
        <v>0</v>
      </c>
      <c r="K104" s="22">
        <f>'5.17. Vagyon'!K30</f>
        <v>0</v>
      </c>
      <c r="L104" s="32">
        <f>'5.17. Vagyon'!L30</f>
        <v>0</v>
      </c>
      <c r="M104" s="25">
        <f t="shared" si="37"/>
        <v>0</v>
      </c>
      <c r="N104" s="21">
        <f>'5.17. Vagyon'!N30</f>
        <v>0</v>
      </c>
      <c r="O104" s="21">
        <f>'5.17. Vagyon'!O30</f>
        <v>0</v>
      </c>
      <c r="P104" s="21">
        <f>'5.17. Vagyon'!P30</f>
        <v>0</v>
      </c>
      <c r="Q104" s="21">
        <f>'5.17. Vagyon'!Q30</f>
        <v>0</v>
      </c>
      <c r="R104" s="21">
        <f>'5.17. Vagyon'!R30</f>
        <v>0</v>
      </c>
      <c r="S104" s="21">
        <f>'5.17. Vagyon'!S30</f>
        <v>0</v>
      </c>
      <c r="T104" s="21">
        <f>'5.17. Vagyon'!T30</f>
        <v>0</v>
      </c>
      <c r="U104" s="21">
        <f>'5.17. Vagyon'!U30</f>
        <v>0</v>
      </c>
    </row>
    <row r="105" spans="1:21" s="34" customFormat="1" ht="18.75" thickBot="1">
      <c r="A105" s="269"/>
      <c r="B105" s="12" t="s">
        <v>159</v>
      </c>
      <c r="C105" s="30" t="s">
        <v>44</v>
      </c>
      <c r="D105" s="25">
        <f t="shared" si="35"/>
        <v>0</v>
      </c>
      <c r="E105" s="26">
        <f>'5.17. Vagyon'!E31</f>
        <v>0</v>
      </c>
      <c r="F105" s="27">
        <f>'5.17. Vagyon'!F31</f>
        <v>0</v>
      </c>
      <c r="G105" s="27">
        <f>'5.17. Vagyon'!G31</f>
        <v>0</v>
      </c>
      <c r="H105" s="27">
        <f>'5.17. Vagyon'!H31</f>
        <v>0</v>
      </c>
      <c r="I105" s="27">
        <f>'5.17. Vagyon'!I31</f>
        <v>0</v>
      </c>
      <c r="J105" s="27">
        <f>'5.17. Vagyon'!J31</f>
        <v>0</v>
      </c>
      <c r="K105" s="27">
        <f>'5.17. Vagyon'!K31</f>
        <v>0</v>
      </c>
      <c r="L105" s="33">
        <f>'5.17. Vagyon'!L31</f>
        <v>0</v>
      </c>
      <c r="M105" s="25">
        <f t="shared" si="37"/>
        <v>0</v>
      </c>
      <c r="N105" s="26">
        <f>'5.17. Vagyon'!N31</f>
        <v>0</v>
      </c>
      <c r="O105" s="26">
        <f>'5.17. Vagyon'!O31</f>
        <v>0</v>
      </c>
      <c r="P105" s="26">
        <f>'5.17. Vagyon'!P31</f>
        <v>0</v>
      </c>
      <c r="Q105" s="26">
        <f>'5.17. Vagyon'!Q31</f>
        <v>0</v>
      </c>
      <c r="R105" s="26">
        <f>'5.17. Vagyon'!R31</f>
        <v>0</v>
      </c>
      <c r="S105" s="26">
        <f>'5.17. Vagyon'!S31</f>
        <v>0</v>
      </c>
      <c r="T105" s="26">
        <f>'5.17. Vagyon'!T31</f>
        <v>0</v>
      </c>
      <c r="U105" s="26">
        <f>'5.17. Vagyon'!U31</f>
        <v>0</v>
      </c>
    </row>
    <row r="106" spans="1:21" s="34" customFormat="1" ht="30.75" customHeight="1">
      <c r="A106" s="10" t="s">
        <v>160</v>
      </c>
      <c r="B106" s="270" t="s">
        <v>161</v>
      </c>
      <c r="C106" s="270"/>
      <c r="D106" s="11">
        <f aca="true" t="shared" si="53" ref="D106:D121">SUM(E106:L106)</f>
        <v>11000000</v>
      </c>
      <c r="E106" s="11">
        <f aca="true" t="shared" si="54" ref="E106:L106">SUM(E107:E109)</f>
        <v>0</v>
      </c>
      <c r="F106" s="11">
        <f t="shared" si="54"/>
        <v>0</v>
      </c>
      <c r="G106" s="11">
        <f t="shared" si="54"/>
        <v>0</v>
      </c>
      <c r="H106" s="11">
        <f t="shared" si="54"/>
        <v>0</v>
      </c>
      <c r="I106" s="11">
        <f t="shared" si="54"/>
        <v>11000000</v>
      </c>
      <c r="J106" s="11">
        <f t="shared" si="54"/>
        <v>0</v>
      </c>
      <c r="K106" s="11">
        <f t="shared" si="54"/>
        <v>0</v>
      </c>
      <c r="L106" s="11">
        <f t="shared" si="54"/>
        <v>0</v>
      </c>
      <c r="M106" s="11">
        <f t="shared" si="37"/>
        <v>11000000</v>
      </c>
      <c r="N106" s="11">
        <f aca="true" t="shared" si="55" ref="N106:U106">SUM(N107:N109)</f>
        <v>0</v>
      </c>
      <c r="O106" s="11">
        <f t="shared" si="55"/>
        <v>0</v>
      </c>
      <c r="P106" s="11">
        <f t="shared" si="55"/>
        <v>0</v>
      </c>
      <c r="Q106" s="11">
        <f t="shared" si="55"/>
        <v>0</v>
      </c>
      <c r="R106" s="11">
        <f t="shared" si="55"/>
        <v>11000000</v>
      </c>
      <c r="S106" s="11">
        <f t="shared" si="55"/>
        <v>0</v>
      </c>
      <c r="T106" s="11">
        <f t="shared" si="55"/>
        <v>0</v>
      </c>
      <c r="U106" s="11">
        <f t="shared" si="55"/>
        <v>0</v>
      </c>
    </row>
    <row r="107" spans="1:21" s="34" customFormat="1" ht="18.75" thickBot="1">
      <c r="A107" s="271"/>
      <c r="B107" s="12" t="s">
        <v>162</v>
      </c>
      <c r="C107" s="19" t="s">
        <v>40</v>
      </c>
      <c r="D107" s="25">
        <f t="shared" si="53"/>
        <v>0</v>
      </c>
      <c r="E107" s="15">
        <f>'5.18. Nemzetiség'!E10</f>
        <v>0</v>
      </c>
      <c r="F107" s="16">
        <f>'5.18. Nemzetiség'!F10</f>
        <v>0</v>
      </c>
      <c r="G107" s="16">
        <f>'5.18. Nemzetiség'!G10</f>
        <v>0</v>
      </c>
      <c r="H107" s="16">
        <f>'5.18. Nemzetiség'!H10</f>
        <v>0</v>
      </c>
      <c r="I107" s="16">
        <f>'5.18. Nemzetiség'!I10</f>
        <v>0</v>
      </c>
      <c r="J107" s="16">
        <f>'5.18. Nemzetiség'!J10</f>
        <v>0</v>
      </c>
      <c r="K107" s="16">
        <f>'5.18. Nemzetiség'!K10</f>
        <v>0</v>
      </c>
      <c r="L107" s="31">
        <f>'5.18. Nemzetiség'!L10</f>
        <v>0</v>
      </c>
      <c r="M107" s="25">
        <f t="shared" si="37"/>
        <v>0</v>
      </c>
      <c r="N107" s="15">
        <f>'5.18. Nemzetiség'!N10</f>
        <v>0</v>
      </c>
      <c r="O107" s="15">
        <f>'5.18. Nemzetiség'!O10</f>
        <v>0</v>
      </c>
      <c r="P107" s="15">
        <f>'5.18. Nemzetiség'!P10</f>
        <v>0</v>
      </c>
      <c r="Q107" s="15">
        <f>'5.18. Nemzetiség'!Q10</f>
        <v>0</v>
      </c>
      <c r="R107" s="15">
        <f>'5.18. Nemzetiség'!R10</f>
        <v>0</v>
      </c>
      <c r="S107" s="15">
        <f>'5.18. Nemzetiség'!S10</f>
        <v>0</v>
      </c>
      <c r="T107" s="15">
        <f>'5.18. Nemzetiség'!T10</f>
        <v>0</v>
      </c>
      <c r="U107" s="15">
        <f>'5.18. Nemzetiség'!U10</f>
        <v>0</v>
      </c>
    </row>
    <row r="108" spans="1:21" s="34" customFormat="1" ht="18.75" thickBot="1">
      <c r="A108" s="271"/>
      <c r="B108" s="12" t="s">
        <v>163</v>
      </c>
      <c r="C108" s="19" t="s">
        <v>42</v>
      </c>
      <c r="D108" s="25">
        <f t="shared" si="53"/>
        <v>11000000</v>
      </c>
      <c r="E108" s="21">
        <f>'5.18. Nemzetiség'!E11</f>
        <v>0</v>
      </c>
      <c r="F108" s="22">
        <f>'5.18. Nemzetiség'!F11</f>
        <v>0</v>
      </c>
      <c r="G108" s="22">
        <f>'5.18. Nemzetiség'!G11</f>
        <v>0</v>
      </c>
      <c r="H108" s="22">
        <f>'5.18. Nemzetiség'!H11</f>
        <v>0</v>
      </c>
      <c r="I108" s="22">
        <f>'5.18. Nemzetiség'!I11</f>
        <v>11000000</v>
      </c>
      <c r="J108" s="22">
        <f>'5.18. Nemzetiség'!J11</f>
        <v>0</v>
      </c>
      <c r="K108" s="22">
        <f>'5.18. Nemzetiség'!K11</f>
        <v>0</v>
      </c>
      <c r="L108" s="32">
        <f>'5.18. Nemzetiség'!L11</f>
        <v>0</v>
      </c>
      <c r="M108" s="25">
        <f t="shared" si="37"/>
        <v>11000000</v>
      </c>
      <c r="N108" s="21">
        <v>0</v>
      </c>
      <c r="O108" s="22">
        <v>0</v>
      </c>
      <c r="P108" s="22">
        <v>0</v>
      </c>
      <c r="Q108" s="22">
        <v>0</v>
      </c>
      <c r="R108" s="22">
        <v>11000000</v>
      </c>
      <c r="S108" s="22">
        <v>0</v>
      </c>
      <c r="T108" s="22">
        <v>0</v>
      </c>
      <c r="U108" s="32">
        <v>0</v>
      </c>
    </row>
    <row r="109" spans="1:21" s="34" customFormat="1" ht="18.75" thickBot="1">
      <c r="A109" s="271"/>
      <c r="B109" s="12" t="s">
        <v>164</v>
      </c>
      <c r="C109" s="30" t="s">
        <v>44</v>
      </c>
      <c r="D109" s="25">
        <f t="shared" si="53"/>
        <v>0</v>
      </c>
      <c r="E109" s="26">
        <f>'5.18. Nemzetiség'!E19</f>
        <v>0</v>
      </c>
      <c r="F109" s="27">
        <f>'5.18. Nemzetiség'!F19</f>
        <v>0</v>
      </c>
      <c r="G109" s="27">
        <f>'5.18. Nemzetiség'!G19</f>
        <v>0</v>
      </c>
      <c r="H109" s="27">
        <f>'5.18. Nemzetiség'!H19</f>
        <v>0</v>
      </c>
      <c r="I109" s="27">
        <f>'5.18. Nemzetiség'!I19</f>
        <v>0</v>
      </c>
      <c r="J109" s="27">
        <f>'5.18. Nemzetiség'!J19</f>
        <v>0</v>
      </c>
      <c r="K109" s="27">
        <f>'5.18. Nemzetiség'!K19</f>
        <v>0</v>
      </c>
      <c r="L109" s="33">
        <f>'5.18. Nemzetiség'!L19</f>
        <v>0</v>
      </c>
      <c r="M109" s="25">
        <f t="shared" si="37"/>
        <v>0</v>
      </c>
      <c r="N109" s="26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33">
        <v>0</v>
      </c>
    </row>
    <row r="110" spans="1:21" s="34" customFormat="1" ht="18" customHeight="1">
      <c r="A110" s="10" t="s">
        <v>165</v>
      </c>
      <c r="B110" s="270" t="s">
        <v>166</v>
      </c>
      <c r="C110" s="270"/>
      <c r="D110" s="11">
        <f t="shared" si="53"/>
        <v>40000000</v>
      </c>
      <c r="E110" s="11">
        <f aca="true" t="shared" si="56" ref="E110:L110">SUM(E111:E113)</f>
        <v>0</v>
      </c>
      <c r="F110" s="11">
        <f t="shared" si="56"/>
        <v>0</v>
      </c>
      <c r="G110" s="11">
        <f t="shared" si="56"/>
        <v>0</v>
      </c>
      <c r="H110" s="11">
        <f t="shared" si="56"/>
        <v>0</v>
      </c>
      <c r="I110" s="11">
        <f t="shared" si="56"/>
        <v>40000000</v>
      </c>
      <c r="J110" s="11">
        <f t="shared" si="56"/>
        <v>0</v>
      </c>
      <c r="K110" s="11">
        <f t="shared" si="56"/>
        <v>0</v>
      </c>
      <c r="L110" s="11">
        <f t="shared" si="56"/>
        <v>0</v>
      </c>
      <c r="M110" s="11">
        <f t="shared" si="37"/>
        <v>1370922438</v>
      </c>
      <c r="N110" s="11">
        <f aca="true" t="shared" si="57" ref="N110:U110">SUM(N111:N113)</f>
        <v>0</v>
      </c>
      <c r="O110" s="11">
        <f t="shared" si="57"/>
        <v>0</v>
      </c>
      <c r="P110" s="11">
        <f t="shared" si="57"/>
        <v>0</v>
      </c>
      <c r="Q110" s="11">
        <f t="shared" si="57"/>
        <v>0</v>
      </c>
      <c r="R110" s="11">
        <f>SUM(R111:R113)</f>
        <v>1370922438</v>
      </c>
      <c r="S110" s="11">
        <f t="shared" si="57"/>
        <v>0</v>
      </c>
      <c r="T110" s="11">
        <f t="shared" si="57"/>
        <v>0</v>
      </c>
      <c r="U110" s="11">
        <f t="shared" si="57"/>
        <v>0</v>
      </c>
    </row>
    <row r="111" spans="1:21" s="34" customFormat="1" ht="18.75" thickBot="1">
      <c r="A111" s="269"/>
      <c r="B111" s="12" t="s">
        <v>167</v>
      </c>
      <c r="C111" s="19" t="s">
        <v>40</v>
      </c>
      <c r="D111" s="25">
        <f t="shared" si="53"/>
        <v>40000000</v>
      </c>
      <c r="E111" s="15">
        <v>0</v>
      </c>
      <c r="F111" s="16">
        <v>0</v>
      </c>
      <c r="G111" s="16">
        <v>0</v>
      </c>
      <c r="H111" s="16">
        <v>0</v>
      </c>
      <c r="I111" s="16">
        <v>40000000</v>
      </c>
      <c r="J111" s="16">
        <v>0</v>
      </c>
      <c r="K111" s="16">
        <v>0</v>
      </c>
      <c r="L111" s="17">
        <v>0</v>
      </c>
      <c r="M111" s="25">
        <f t="shared" si="37"/>
        <v>1370922438</v>
      </c>
      <c r="N111" s="15">
        <v>0</v>
      </c>
      <c r="O111" s="16">
        <v>0</v>
      </c>
      <c r="P111" s="16">
        <v>0</v>
      </c>
      <c r="Q111" s="16">
        <v>0</v>
      </c>
      <c r="R111" s="16">
        <v>1370922438</v>
      </c>
      <c r="S111" s="16">
        <v>0</v>
      </c>
      <c r="T111" s="16">
        <v>0</v>
      </c>
      <c r="U111" s="17">
        <v>0</v>
      </c>
    </row>
    <row r="112" spans="1:21" s="34" customFormat="1" ht="18.75" thickBot="1">
      <c r="A112" s="269"/>
      <c r="B112" s="12" t="s">
        <v>168</v>
      </c>
      <c r="C112" s="19" t="s">
        <v>42</v>
      </c>
      <c r="D112" s="25">
        <f t="shared" si="53"/>
        <v>0</v>
      </c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3">
        <v>0</v>
      </c>
      <c r="M112" s="25">
        <f t="shared" si="37"/>
        <v>0</v>
      </c>
      <c r="N112" s="21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3">
        <v>0</v>
      </c>
    </row>
    <row r="113" spans="1:21" s="34" customFormat="1" ht="18.75" thickBot="1">
      <c r="A113" s="269"/>
      <c r="B113" s="12" t="s">
        <v>169</v>
      </c>
      <c r="C113" s="30" t="s">
        <v>44</v>
      </c>
      <c r="D113" s="25">
        <f t="shared" si="53"/>
        <v>0</v>
      </c>
      <c r="E113" s="26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8">
        <v>0</v>
      </c>
      <c r="M113" s="25">
        <f t="shared" si="37"/>
        <v>0</v>
      </c>
      <c r="N113" s="26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8">
        <v>0</v>
      </c>
    </row>
    <row r="114" spans="1:21" s="34" customFormat="1" ht="18" customHeight="1">
      <c r="A114" s="10" t="s">
        <v>170</v>
      </c>
      <c r="B114" s="270" t="s">
        <v>171</v>
      </c>
      <c r="C114" s="270"/>
      <c r="D114" s="11">
        <f t="shared" si="53"/>
        <v>169439866</v>
      </c>
      <c r="E114" s="11">
        <f aca="true" t="shared" si="58" ref="E114:L114">SUM(E115:E117)</f>
        <v>0</v>
      </c>
      <c r="F114" s="11">
        <f t="shared" si="58"/>
        <v>0</v>
      </c>
      <c r="G114" s="11">
        <f t="shared" si="58"/>
        <v>0</v>
      </c>
      <c r="H114" s="11">
        <f t="shared" si="58"/>
        <v>0</v>
      </c>
      <c r="I114" s="11">
        <f t="shared" si="58"/>
        <v>169439866</v>
      </c>
      <c r="J114" s="11">
        <f t="shared" si="58"/>
        <v>0</v>
      </c>
      <c r="K114" s="11">
        <f t="shared" si="58"/>
        <v>0</v>
      </c>
      <c r="L114" s="11">
        <f t="shared" si="58"/>
        <v>0</v>
      </c>
      <c r="M114" s="11">
        <f t="shared" si="37"/>
        <v>43320663</v>
      </c>
      <c r="N114" s="11">
        <f aca="true" t="shared" si="59" ref="N114:U114">SUM(N115:N117)</f>
        <v>0</v>
      </c>
      <c r="O114" s="11">
        <f t="shared" si="59"/>
        <v>0</v>
      </c>
      <c r="P114" s="11">
        <f t="shared" si="59"/>
        <v>0</v>
      </c>
      <c r="Q114" s="11">
        <f t="shared" si="59"/>
        <v>0</v>
      </c>
      <c r="R114" s="11">
        <f>SUM(R115:R117)</f>
        <v>43320663</v>
      </c>
      <c r="S114" s="11">
        <f t="shared" si="59"/>
        <v>0</v>
      </c>
      <c r="T114" s="11">
        <f t="shared" si="59"/>
        <v>0</v>
      </c>
      <c r="U114" s="11">
        <f t="shared" si="59"/>
        <v>0</v>
      </c>
    </row>
    <row r="115" spans="1:21" s="34" customFormat="1" ht="18.75" thickBot="1">
      <c r="A115" s="269"/>
      <c r="B115" s="12" t="s">
        <v>172</v>
      </c>
      <c r="C115" s="19" t="s">
        <v>40</v>
      </c>
      <c r="D115" s="25">
        <f t="shared" si="53"/>
        <v>169439866</v>
      </c>
      <c r="E115" s="15">
        <f>'5.19. Céltartalék'!E10</f>
        <v>0</v>
      </c>
      <c r="F115" s="16">
        <f>'5.19. Céltartalék'!F10</f>
        <v>0</v>
      </c>
      <c r="G115" s="16">
        <f>'5.19. Céltartalék'!G10</f>
        <v>0</v>
      </c>
      <c r="H115" s="16">
        <f>'5.19. Céltartalék'!H10</f>
        <v>0</v>
      </c>
      <c r="I115" s="16">
        <f>'5.19. Céltartalék'!I10</f>
        <v>169439866</v>
      </c>
      <c r="J115" s="16">
        <f>'5.19. Céltartalék'!J10</f>
        <v>0</v>
      </c>
      <c r="K115" s="16">
        <f>'5.19. Céltartalék'!K10</f>
        <v>0</v>
      </c>
      <c r="L115" s="31">
        <f>'5.19. Céltartalék'!L10</f>
        <v>0</v>
      </c>
      <c r="M115" s="25">
        <f t="shared" si="37"/>
        <v>43320663</v>
      </c>
      <c r="N115" s="15">
        <f>'5.19. Céltartalék'!N10</f>
        <v>0</v>
      </c>
      <c r="O115" s="15">
        <f>'5.19. Céltartalék'!O10</f>
        <v>0</v>
      </c>
      <c r="P115" s="15">
        <f>'5.19. Céltartalék'!P10</f>
        <v>0</v>
      </c>
      <c r="Q115" s="15">
        <f>'5.19. Céltartalék'!Q10</f>
        <v>0</v>
      </c>
      <c r="R115" s="15">
        <f>'5.19. Céltartalék'!R10</f>
        <v>43320663</v>
      </c>
      <c r="S115" s="15">
        <f>'5.19. Céltartalék'!S10</f>
        <v>0</v>
      </c>
      <c r="T115" s="15">
        <f>'5.19. Céltartalék'!T10</f>
        <v>0</v>
      </c>
      <c r="U115" s="15">
        <f>'5.19. Céltartalék'!U10</f>
        <v>0</v>
      </c>
    </row>
    <row r="116" spans="1:21" s="34" customFormat="1" ht="18.75" thickBot="1">
      <c r="A116" s="269"/>
      <c r="B116" s="12" t="s">
        <v>173</v>
      </c>
      <c r="C116" s="19" t="s">
        <v>42</v>
      </c>
      <c r="D116" s="25">
        <f t="shared" si="53"/>
        <v>0</v>
      </c>
      <c r="E116" s="21">
        <f>'5.19. Céltartalék'!E21</f>
        <v>0</v>
      </c>
      <c r="F116" s="22">
        <f>'5.19. Céltartalék'!F21</f>
        <v>0</v>
      </c>
      <c r="G116" s="22">
        <f>'5.19. Céltartalék'!G21</f>
        <v>0</v>
      </c>
      <c r="H116" s="22">
        <f>'5.19. Céltartalék'!H21</f>
        <v>0</v>
      </c>
      <c r="I116" s="22">
        <f>'5.19. Céltartalék'!I21</f>
        <v>0</v>
      </c>
      <c r="J116" s="22">
        <f>'5.19. Céltartalék'!J21</f>
        <v>0</v>
      </c>
      <c r="K116" s="22">
        <f>'5.19. Céltartalék'!K21</f>
        <v>0</v>
      </c>
      <c r="L116" s="32">
        <f>'5.19. Céltartalék'!L21</f>
        <v>0</v>
      </c>
      <c r="M116" s="25">
        <f t="shared" si="37"/>
        <v>0</v>
      </c>
      <c r="N116" s="21">
        <f>'5.19. Céltartalék'!N21</f>
        <v>0</v>
      </c>
      <c r="O116" s="21">
        <f>'5.19. Céltartalék'!O21</f>
        <v>0</v>
      </c>
      <c r="P116" s="21">
        <f>'5.19. Céltartalék'!P21</f>
        <v>0</v>
      </c>
      <c r="Q116" s="21">
        <f>'5.19. Céltartalék'!Q21</f>
        <v>0</v>
      </c>
      <c r="R116" s="21">
        <f>'5.19. Céltartalék'!R21</f>
        <v>0</v>
      </c>
      <c r="S116" s="21">
        <f>'5.19. Céltartalék'!S21</f>
        <v>0</v>
      </c>
      <c r="T116" s="21">
        <f>'5.19. Céltartalék'!T21</f>
        <v>0</v>
      </c>
      <c r="U116" s="21">
        <f>'5.19. Céltartalék'!U21</f>
        <v>0</v>
      </c>
    </row>
    <row r="117" spans="1:21" s="34" customFormat="1" ht="18.75" thickBot="1">
      <c r="A117" s="269"/>
      <c r="B117" s="12" t="s">
        <v>174</v>
      </c>
      <c r="C117" s="30" t="s">
        <v>44</v>
      </c>
      <c r="D117" s="25">
        <f t="shared" si="53"/>
        <v>0</v>
      </c>
      <c r="E117" s="26">
        <f>'5.19. Céltartalék'!E22</f>
        <v>0</v>
      </c>
      <c r="F117" s="27">
        <f>'5.19. Céltartalék'!F22</f>
        <v>0</v>
      </c>
      <c r="G117" s="27">
        <f>'5.19. Céltartalék'!G22</f>
        <v>0</v>
      </c>
      <c r="H117" s="27">
        <f>'5.19. Céltartalék'!H22</f>
        <v>0</v>
      </c>
      <c r="I117" s="27">
        <f>'5.19. Céltartalék'!I22</f>
        <v>0</v>
      </c>
      <c r="J117" s="27">
        <f>'5.19. Céltartalék'!J22</f>
        <v>0</v>
      </c>
      <c r="K117" s="27">
        <f>'5.19. Céltartalék'!K22</f>
        <v>0</v>
      </c>
      <c r="L117" s="33">
        <f>'5.19. Céltartalék'!L22</f>
        <v>0</v>
      </c>
      <c r="M117" s="25">
        <f t="shared" si="37"/>
        <v>0</v>
      </c>
      <c r="N117" s="26">
        <f>'5.19. Céltartalék'!N22</f>
        <v>0</v>
      </c>
      <c r="O117" s="26">
        <f>'5.19. Céltartalék'!O22</f>
        <v>0</v>
      </c>
      <c r="P117" s="26">
        <f>'5.19. Céltartalék'!P22</f>
        <v>0</v>
      </c>
      <c r="Q117" s="26">
        <f>'5.19. Céltartalék'!Q22</f>
        <v>0</v>
      </c>
      <c r="R117" s="26">
        <f>'5.19. Céltartalék'!R22</f>
        <v>0</v>
      </c>
      <c r="S117" s="26">
        <f>'5.19. Céltartalék'!S22</f>
        <v>0</v>
      </c>
      <c r="T117" s="26">
        <f>'5.19. Céltartalék'!T22</f>
        <v>0</v>
      </c>
      <c r="U117" s="26">
        <f>'5.19. Céltartalék'!U22</f>
        <v>0</v>
      </c>
    </row>
    <row r="118" spans="1:21" ht="18" customHeight="1">
      <c r="A118" s="272" t="s">
        <v>175</v>
      </c>
      <c r="B118" s="272"/>
      <c r="C118" s="272"/>
      <c r="D118" s="11">
        <f t="shared" si="53"/>
        <v>48263016791</v>
      </c>
      <c r="E118" s="11">
        <f aca="true" t="shared" si="60" ref="E118:L118">SUM(E119:E121)</f>
        <v>325763892</v>
      </c>
      <c r="F118" s="11">
        <f t="shared" si="60"/>
        <v>88738871</v>
      </c>
      <c r="G118" s="11">
        <f t="shared" si="60"/>
        <v>5907036490</v>
      </c>
      <c r="H118" s="11">
        <f t="shared" si="60"/>
        <v>332086156</v>
      </c>
      <c r="I118" s="11">
        <f t="shared" si="60"/>
        <v>4795720054</v>
      </c>
      <c r="J118" s="11">
        <f t="shared" si="60"/>
        <v>31866065620</v>
      </c>
      <c r="K118" s="11">
        <f t="shared" si="60"/>
        <v>4819305708</v>
      </c>
      <c r="L118" s="11">
        <f t="shared" si="60"/>
        <v>128300000</v>
      </c>
      <c r="M118" s="11">
        <f>SUM(N118:U118)</f>
        <v>79424285317</v>
      </c>
      <c r="N118" s="11">
        <f aca="true" t="shared" si="61" ref="N118:U118">SUM(N119:N121)</f>
        <v>302176425</v>
      </c>
      <c r="O118" s="11">
        <f t="shared" si="61"/>
        <v>82625596</v>
      </c>
      <c r="P118" s="11">
        <f t="shared" si="61"/>
        <v>10699355849</v>
      </c>
      <c r="Q118" s="11">
        <f t="shared" si="61"/>
        <v>364177451</v>
      </c>
      <c r="R118" s="11">
        <f>SUM(R119:R121)</f>
        <v>6337463671</v>
      </c>
      <c r="S118" s="11">
        <f t="shared" si="61"/>
        <v>51125239074</v>
      </c>
      <c r="T118" s="11">
        <f t="shared" si="61"/>
        <v>8718753761</v>
      </c>
      <c r="U118" s="11">
        <f t="shared" si="61"/>
        <v>1794493490</v>
      </c>
    </row>
    <row r="119" spans="1:21" ht="18" customHeight="1">
      <c r="A119" s="268" t="s">
        <v>176</v>
      </c>
      <c r="B119" s="268"/>
      <c r="C119" s="268"/>
      <c r="D119" s="25">
        <f t="shared" si="53"/>
        <v>12693558062</v>
      </c>
      <c r="E119" s="35">
        <f>E11+E15+E19+E27+E31+E35+E39+E43+E47+E51+E55+E59+E63+E67+E71+E75+E79+E83+E87+E91+E95+E99+E103+E107+E111+E115+E23</f>
        <v>240471892</v>
      </c>
      <c r="F119" s="35">
        <f aca="true" t="shared" si="62" ref="E119:L121">F11+F15+F19+F27+F31+F35+F39+F43+F47+F51+F55+F59+F63+F67+F71+F75+F79+F83+F87+F91+F95+F99+F103+F107+F111+F115+F23</f>
        <v>47530871</v>
      </c>
      <c r="G119" s="35">
        <f t="shared" si="62"/>
        <v>5059465895</v>
      </c>
      <c r="H119" s="35">
        <f t="shared" si="62"/>
        <v>177086156</v>
      </c>
      <c r="I119" s="35">
        <f t="shared" si="62"/>
        <v>3945850823</v>
      </c>
      <c r="J119" s="35">
        <f t="shared" si="62"/>
        <v>2671561778</v>
      </c>
      <c r="K119" s="35">
        <f t="shared" si="62"/>
        <v>423290647</v>
      </c>
      <c r="L119" s="35">
        <f t="shared" si="62"/>
        <v>128300000</v>
      </c>
      <c r="M119" s="25">
        <f t="shared" si="37"/>
        <v>22990389719</v>
      </c>
      <c r="N119" s="35">
        <f>N11+N15+N19+N27+N31+N35+N39+N43+N47+N51+N55+N59+N63+N67+N71+N75+N79+N83+N87+N91+N95+N99+N103+N107+N111+N115+N23</f>
        <v>235115309</v>
      </c>
      <c r="O119" s="35">
        <f aca="true" t="shared" si="63" ref="O119:U119">O11+O15+O19+O27+O31+O35+O39+O43+O47+O51+O55+O59+O63+O67+O71+O75+O79+O83+O87+O91+O95+O99+O103+O107+O111+O115+O23</f>
        <v>52726744</v>
      </c>
      <c r="P119" s="35">
        <f t="shared" si="63"/>
        <v>6629904889</v>
      </c>
      <c r="Q119" s="35">
        <f t="shared" si="63"/>
        <v>173515699</v>
      </c>
      <c r="R119" s="35">
        <f>R11+R15+R19+R27+R31+R35+R39+R43+R47+R51+R55+R59+R63+R67+R71+R75+R79+R83+R87+R91+R95+R99+R103+R107+R111+R115+R23</f>
        <v>5345670205</v>
      </c>
      <c r="S119" s="35">
        <f t="shared" si="63"/>
        <v>9362206454</v>
      </c>
      <c r="T119" s="35">
        <f t="shared" si="63"/>
        <v>510625674</v>
      </c>
      <c r="U119" s="35">
        <f t="shared" si="63"/>
        <v>680624745</v>
      </c>
    </row>
    <row r="120" spans="1:21" ht="18" customHeight="1">
      <c r="A120" s="268" t="s">
        <v>177</v>
      </c>
      <c r="B120" s="268"/>
      <c r="C120" s="268"/>
      <c r="D120" s="25">
        <f t="shared" si="53"/>
        <v>35256458729</v>
      </c>
      <c r="E120" s="35">
        <f t="shared" si="62"/>
        <v>85292000</v>
      </c>
      <c r="F120" s="35">
        <f t="shared" si="62"/>
        <v>41208000</v>
      </c>
      <c r="G120" s="35">
        <f t="shared" si="62"/>
        <v>834570595</v>
      </c>
      <c r="H120" s="35">
        <f t="shared" si="62"/>
        <v>155000000</v>
      </c>
      <c r="I120" s="35">
        <f t="shared" si="62"/>
        <v>549869231</v>
      </c>
      <c r="J120" s="35">
        <f t="shared" si="62"/>
        <v>29194503842</v>
      </c>
      <c r="K120" s="35">
        <f t="shared" si="62"/>
        <v>4396015061</v>
      </c>
      <c r="L120" s="35">
        <f t="shared" si="62"/>
        <v>0</v>
      </c>
      <c r="M120" s="25">
        <f t="shared" si="37"/>
        <v>56120887668</v>
      </c>
      <c r="N120" s="35">
        <f aca="true" t="shared" si="64" ref="N120:U121">N12+N16+N20+N28+N32+N36+N40+N44+N48+N52+N56+N60+N64+N68+N72+N76+N80+N84+N88+N92+N96+N100+N104+N108+N112+N116+N24</f>
        <v>67050076</v>
      </c>
      <c r="O120" s="35">
        <f t="shared" si="64"/>
        <v>29894032</v>
      </c>
      <c r="P120" s="35">
        <f t="shared" si="64"/>
        <v>4056458890</v>
      </c>
      <c r="Q120" s="35">
        <f t="shared" si="64"/>
        <v>190661752</v>
      </c>
      <c r="R120" s="35">
        <f t="shared" si="64"/>
        <v>691793466</v>
      </c>
      <c r="S120" s="35">
        <f t="shared" si="64"/>
        <v>41763032620</v>
      </c>
      <c r="T120" s="35">
        <f t="shared" si="64"/>
        <v>8208128087</v>
      </c>
      <c r="U120" s="35">
        <f t="shared" si="64"/>
        <v>1113868745</v>
      </c>
    </row>
    <row r="121" spans="1:21" ht="18" customHeight="1">
      <c r="A121" s="268" t="s">
        <v>178</v>
      </c>
      <c r="B121" s="268"/>
      <c r="C121" s="268"/>
      <c r="D121" s="25">
        <f t="shared" si="53"/>
        <v>313000000</v>
      </c>
      <c r="E121" s="35">
        <f t="shared" si="62"/>
        <v>0</v>
      </c>
      <c r="F121" s="35">
        <f t="shared" si="62"/>
        <v>0</v>
      </c>
      <c r="G121" s="35">
        <f t="shared" si="62"/>
        <v>13000000</v>
      </c>
      <c r="H121" s="35">
        <f t="shared" si="62"/>
        <v>0</v>
      </c>
      <c r="I121" s="35">
        <f t="shared" si="62"/>
        <v>300000000</v>
      </c>
      <c r="J121" s="35">
        <f t="shared" si="62"/>
        <v>0</v>
      </c>
      <c r="K121" s="35">
        <f t="shared" si="62"/>
        <v>0</v>
      </c>
      <c r="L121" s="35">
        <f t="shared" si="62"/>
        <v>0</v>
      </c>
      <c r="M121" s="25">
        <f t="shared" si="37"/>
        <v>313007930</v>
      </c>
      <c r="N121" s="35">
        <f t="shared" si="64"/>
        <v>11040</v>
      </c>
      <c r="O121" s="35">
        <f t="shared" si="64"/>
        <v>4820</v>
      </c>
      <c r="P121" s="35">
        <f t="shared" si="64"/>
        <v>12992070</v>
      </c>
      <c r="Q121" s="35">
        <f t="shared" si="64"/>
        <v>0</v>
      </c>
      <c r="R121" s="35">
        <f t="shared" si="64"/>
        <v>300000000</v>
      </c>
      <c r="S121" s="35">
        <f t="shared" si="64"/>
        <v>0</v>
      </c>
      <c r="T121" s="35">
        <f t="shared" si="64"/>
        <v>0</v>
      </c>
      <c r="U121" s="35">
        <f t="shared" si="64"/>
        <v>0</v>
      </c>
    </row>
    <row r="122" spans="4:21" ht="21" customHeight="1">
      <c r="D122" s="36">
        <f>SUM(D10:D117)/2</f>
        <v>48263016791</v>
      </c>
      <c r="M122" s="260">
        <f>SUM(N122:U122)</f>
        <v>79424285317</v>
      </c>
      <c r="N122" s="16">
        <v>302176425</v>
      </c>
      <c r="O122" s="16">
        <v>82625596</v>
      </c>
      <c r="P122" s="16">
        <v>10699355849</v>
      </c>
      <c r="Q122" s="16">
        <v>364177451</v>
      </c>
      <c r="R122" s="16">
        <v>6337463671</v>
      </c>
      <c r="S122" s="16">
        <v>51125239074</v>
      </c>
      <c r="T122" s="16">
        <v>8718753761</v>
      </c>
      <c r="U122" s="16">
        <v>1794493490</v>
      </c>
    </row>
    <row r="123" spans="13:21" ht="18">
      <c r="M123" s="16">
        <f>M122-M118</f>
        <v>0</v>
      </c>
      <c r="N123" s="16">
        <f>N122-N118</f>
        <v>0</v>
      </c>
      <c r="O123" s="16">
        <f aca="true" t="shared" si="65" ref="O123:U123">O122-O118</f>
        <v>0</v>
      </c>
      <c r="P123" s="16">
        <f t="shared" si="65"/>
        <v>0</v>
      </c>
      <c r="Q123" s="16">
        <f t="shared" si="65"/>
        <v>0</v>
      </c>
      <c r="R123" s="16">
        <f t="shared" si="65"/>
        <v>0</v>
      </c>
      <c r="S123" s="16">
        <f t="shared" si="65"/>
        <v>0</v>
      </c>
      <c r="T123" s="16">
        <f t="shared" si="65"/>
        <v>0</v>
      </c>
      <c r="U123" s="16">
        <f t="shared" si="65"/>
        <v>0</v>
      </c>
    </row>
    <row r="124" spans="16:21" s="176" customFormat="1" ht="30.75" customHeight="1">
      <c r="P124" s="16"/>
      <c r="Q124" s="16"/>
      <c r="R124" s="16"/>
      <c r="S124" s="16"/>
      <c r="T124" s="16"/>
      <c r="U124" s="16"/>
    </row>
    <row r="125" s="176" customFormat="1" ht="23.25" customHeight="1"/>
    <row r="126" ht="12.75">
      <c r="M126" s="155"/>
    </row>
    <row r="129" ht="12.75">
      <c r="M129" s="155"/>
    </row>
  </sheetData>
  <sheetProtection selectLockedCells="1" selectUnlockedCells="1"/>
  <mergeCells count="72">
    <mergeCell ref="J8:L8"/>
    <mergeCell ref="B10:C10"/>
    <mergeCell ref="A11:A13"/>
    <mergeCell ref="A7:A9"/>
    <mergeCell ref="B7:B9"/>
    <mergeCell ref="C7:C9"/>
    <mergeCell ref="B14:C14"/>
    <mergeCell ref="A15:A17"/>
    <mergeCell ref="B18:C18"/>
    <mergeCell ref="A19:A21"/>
    <mergeCell ref="B22:C22"/>
    <mergeCell ref="A23:A25"/>
    <mergeCell ref="B26:C26"/>
    <mergeCell ref="A27:A29"/>
    <mergeCell ref="B30:C30"/>
    <mergeCell ref="A31:A33"/>
    <mergeCell ref="B34:C34"/>
    <mergeCell ref="A35:A37"/>
    <mergeCell ref="B38:C38"/>
    <mergeCell ref="A39:A41"/>
    <mergeCell ref="B42:C42"/>
    <mergeCell ref="A43:A45"/>
    <mergeCell ref="B46:C46"/>
    <mergeCell ref="A47:A49"/>
    <mergeCell ref="B50:C50"/>
    <mergeCell ref="A51:A53"/>
    <mergeCell ref="B54:C54"/>
    <mergeCell ref="A55:A57"/>
    <mergeCell ref="B58:C58"/>
    <mergeCell ref="A59:A61"/>
    <mergeCell ref="B62:C62"/>
    <mergeCell ref="A63:A65"/>
    <mergeCell ref="B66:C66"/>
    <mergeCell ref="A67:A69"/>
    <mergeCell ref="B70:C70"/>
    <mergeCell ref="A71:A73"/>
    <mergeCell ref="B74:C74"/>
    <mergeCell ref="A75:A77"/>
    <mergeCell ref="B78:C78"/>
    <mergeCell ref="A79:A81"/>
    <mergeCell ref="B82:C82"/>
    <mergeCell ref="A83:A85"/>
    <mergeCell ref="B86:C86"/>
    <mergeCell ref="A87:A89"/>
    <mergeCell ref="B90:C90"/>
    <mergeCell ref="A118:C118"/>
    <mergeCell ref="A91:A93"/>
    <mergeCell ref="B94:C94"/>
    <mergeCell ref="A95:A97"/>
    <mergeCell ref="B98:C98"/>
    <mergeCell ref="A99:A101"/>
    <mergeCell ref="B102:C102"/>
    <mergeCell ref="A119:C119"/>
    <mergeCell ref="A103:A105"/>
    <mergeCell ref="B106:C106"/>
    <mergeCell ref="A107:A109"/>
    <mergeCell ref="A120:C120"/>
    <mergeCell ref="A121:C121"/>
    <mergeCell ref="B110:C110"/>
    <mergeCell ref="A111:A113"/>
    <mergeCell ref="B114:C114"/>
    <mergeCell ref="A115:A117"/>
    <mergeCell ref="A1:U1"/>
    <mergeCell ref="A2:U2"/>
    <mergeCell ref="A3:U3"/>
    <mergeCell ref="D7:D9"/>
    <mergeCell ref="E7:L7"/>
    <mergeCell ref="E8:I8"/>
    <mergeCell ref="M7:M9"/>
    <mergeCell ref="N7:U7"/>
    <mergeCell ref="N8:R8"/>
    <mergeCell ref="S8:U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2" r:id="rId1"/>
  <rowBreaks count="1" manualBreakCount="1">
    <brk id="7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6"/>
  <sheetViews>
    <sheetView view="pageBreakPreview" zoomScale="60" zoomScaleNormal="80" zoomScalePageLayoutView="0" workbookViewId="0" topLeftCell="A1">
      <selection activeCell="A1" sqref="A1:U1"/>
    </sheetView>
  </sheetViews>
  <sheetFormatPr defaultColWidth="18.140625" defaultRowHeight="12.75"/>
  <cols>
    <col min="1" max="1" width="8.57421875" style="0" customWidth="1"/>
    <col min="2" max="2" width="7.7109375" style="0" customWidth="1"/>
    <col min="3" max="3" width="44.7109375" style="0" customWidth="1"/>
  </cols>
  <sheetData>
    <row r="1" spans="1:21" ht="18">
      <c r="A1" s="262" t="s">
        <v>1259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8">
      <c r="A2" s="263" t="s">
        <v>1056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ht="18">
      <c r="A3" s="358" t="s">
        <v>892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</row>
    <row r="4" spans="1:21" ht="18">
      <c r="A4" s="359" t="s">
        <v>893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44" t="s">
        <v>1</v>
      </c>
    </row>
    <row r="6" spans="1:21" ht="18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3" t="s">
        <v>24</v>
      </c>
      <c r="B7" s="273" t="s">
        <v>185</v>
      </c>
      <c r="C7" s="274" t="s">
        <v>25</v>
      </c>
      <c r="D7" s="274" t="s">
        <v>853</v>
      </c>
      <c r="E7" s="325" t="s">
        <v>26</v>
      </c>
      <c r="F7" s="325"/>
      <c r="G7" s="325"/>
      <c r="H7" s="325"/>
      <c r="I7" s="325"/>
      <c r="J7" s="325"/>
      <c r="K7" s="325"/>
      <c r="L7" s="325"/>
      <c r="M7" s="274" t="s">
        <v>1049</v>
      </c>
      <c r="N7" s="325" t="s">
        <v>1047</v>
      </c>
      <c r="O7" s="325"/>
      <c r="P7" s="325"/>
      <c r="Q7" s="325"/>
      <c r="R7" s="325"/>
      <c r="S7" s="325"/>
      <c r="T7" s="325"/>
      <c r="U7" s="325"/>
    </row>
    <row r="8" spans="1:21" ht="12.75">
      <c r="A8" s="273"/>
      <c r="B8" s="273"/>
      <c r="C8" s="274"/>
      <c r="D8" s="274"/>
      <c r="E8" s="267" t="s">
        <v>27</v>
      </c>
      <c r="F8" s="267"/>
      <c r="G8" s="267"/>
      <c r="H8" s="267"/>
      <c r="I8" s="267"/>
      <c r="J8" s="267" t="s">
        <v>28</v>
      </c>
      <c r="K8" s="267"/>
      <c r="L8" s="267"/>
      <c r="M8" s="274"/>
      <c r="N8" s="267" t="s">
        <v>27</v>
      </c>
      <c r="O8" s="267"/>
      <c r="P8" s="267"/>
      <c r="Q8" s="267"/>
      <c r="R8" s="267"/>
      <c r="S8" s="267" t="s">
        <v>28</v>
      </c>
      <c r="T8" s="267"/>
      <c r="U8" s="267"/>
    </row>
    <row r="9" spans="1:21" ht="63.75">
      <c r="A9" s="273"/>
      <c r="B9" s="273"/>
      <c r="C9" s="274"/>
      <c r="D9" s="27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s="156" customFormat="1" ht="18">
      <c r="A10" s="142" t="s">
        <v>72</v>
      </c>
      <c r="B10" s="142"/>
      <c r="C10" s="143" t="s">
        <v>40</v>
      </c>
      <c r="D10" s="25">
        <f aca="true" t="shared" si="0" ref="D10:D20">SUM(E10:L10)</f>
        <v>9229000</v>
      </c>
      <c r="E10" s="144">
        <f aca="true" t="shared" si="1" ref="E10:L10">SUM(E11:E11)</f>
        <v>7551000</v>
      </c>
      <c r="F10" s="144">
        <f t="shared" si="1"/>
        <v>1678000</v>
      </c>
      <c r="G10" s="144">
        <f t="shared" si="1"/>
        <v>0</v>
      </c>
      <c r="H10" s="144">
        <f t="shared" si="1"/>
        <v>0</v>
      </c>
      <c r="I10" s="144">
        <f t="shared" si="1"/>
        <v>0</v>
      </c>
      <c r="J10" s="144">
        <f t="shared" si="1"/>
        <v>0</v>
      </c>
      <c r="K10" s="144">
        <f t="shared" si="1"/>
        <v>0</v>
      </c>
      <c r="L10" s="144">
        <f t="shared" si="1"/>
        <v>0</v>
      </c>
      <c r="M10" s="25">
        <f aca="true" t="shared" si="2" ref="M10:M20">SUM(N10:U10)</f>
        <v>137020662</v>
      </c>
      <c r="N10" s="144">
        <f>SUM(N11)</f>
        <v>12223685</v>
      </c>
      <c r="O10" s="144">
        <f aca="true" t="shared" si="3" ref="O10:U10">SUM(O11)</f>
        <v>2856977</v>
      </c>
      <c r="P10" s="144">
        <f t="shared" si="3"/>
        <v>121940000</v>
      </c>
      <c r="Q10" s="144">
        <f t="shared" si="3"/>
        <v>0</v>
      </c>
      <c r="R10" s="144">
        <f t="shared" si="3"/>
        <v>0</v>
      </c>
      <c r="S10" s="144">
        <f t="shared" si="3"/>
        <v>0</v>
      </c>
      <c r="T10" s="144">
        <f t="shared" si="3"/>
        <v>0</v>
      </c>
      <c r="U10" s="144">
        <f t="shared" si="3"/>
        <v>0</v>
      </c>
    </row>
    <row r="11" spans="1:21" ht="49.5" customHeight="1">
      <c r="A11" s="12"/>
      <c r="B11" s="12" t="s">
        <v>894</v>
      </c>
      <c r="C11" s="19" t="s">
        <v>955</v>
      </c>
      <c r="D11" s="111">
        <f t="shared" si="0"/>
        <v>9229000</v>
      </c>
      <c r="E11" s="112">
        <v>7551000</v>
      </c>
      <c r="F11" s="112">
        <v>1678000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1">
        <f t="shared" si="2"/>
        <v>137020662</v>
      </c>
      <c r="N11" s="15">
        <f>7551000+4672685</f>
        <v>12223685</v>
      </c>
      <c r="O11" s="16">
        <v>2856977</v>
      </c>
      <c r="P11" s="16">
        <v>121940000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</row>
    <row r="12" spans="1:21" s="156" customFormat="1" ht="18">
      <c r="A12" s="142" t="s">
        <v>73</v>
      </c>
      <c r="B12" s="142"/>
      <c r="C12" s="143" t="s">
        <v>42</v>
      </c>
      <c r="D12" s="25">
        <f t="shared" si="0"/>
        <v>145450000</v>
      </c>
      <c r="E12" s="144">
        <f>SUM(E13:E18)</f>
        <v>30000000</v>
      </c>
      <c r="F12" s="144">
        <f aca="true" t="shared" si="4" ref="F12:L12">SUM(F13:F18)</f>
        <v>15000000</v>
      </c>
      <c r="G12" s="144">
        <f t="shared" si="4"/>
        <v>100450000</v>
      </c>
      <c r="H12" s="144">
        <f t="shared" si="4"/>
        <v>0</v>
      </c>
      <c r="I12" s="144">
        <f t="shared" si="4"/>
        <v>0</v>
      </c>
      <c r="J12" s="144">
        <f t="shared" si="4"/>
        <v>0</v>
      </c>
      <c r="K12" s="144">
        <f t="shared" si="4"/>
        <v>0</v>
      </c>
      <c r="L12" s="144">
        <f t="shared" si="4"/>
        <v>0</v>
      </c>
      <c r="M12" s="25">
        <f t="shared" si="2"/>
        <v>73128100</v>
      </c>
      <c r="N12" s="144">
        <f>SUM(N13:N18)</f>
        <v>8235000</v>
      </c>
      <c r="O12" s="144">
        <f aca="true" t="shared" si="5" ref="O12:T12">SUM(O13:O18)</f>
        <v>7000000</v>
      </c>
      <c r="P12" s="144">
        <f t="shared" si="5"/>
        <v>57893100</v>
      </c>
      <c r="Q12" s="144">
        <f t="shared" si="5"/>
        <v>0</v>
      </c>
      <c r="R12" s="144">
        <f t="shared" si="5"/>
        <v>0</v>
      </c>
      <c r="S12" s="144">
        <f t="shared" si="5"/>
        <v>0</v>
      </c>
      <c r="T12" s="144">
        <f t="shared" si="5"/>
        <v>0</v>
      </c>
      <c r="U12" s="144">
        <f>SUM(U13:U18)</f>
        <v>0</v>
      </c>
    </row>
    <row r="13" spans="1:21" ht="48" customHeight="1">
      <c r="A13" s="12"/>
      <c r="B13" s="12" t="s">
        <v>895</v>
      </c>
      <c r="C13" s="19" t="s">
        <v>960</v>
      </c>
      <c r="D13" s="111">
        <f t="shared" si="0"/>
        <v>73450000</v>
      </c>
      <c r="E13" s="112">
        <v>0</v>
      </c>
      <c r="F13" s="112">
        <v>0</v>
      </c>
      <c r="G13" s="112">
        <v>73450000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1">
        <f t="shared" si="2"/>
        <v>33943700</v>
      </c>
      <c r="N13" s="112">
        <v>0</v>
      </c>
      <c r="O13" s="112">
        <v>0</v>
      </c>
      <c r="P13" s="112">
        <v>33943700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</row>
    <row r="14" spans="1:21" ht="30">
      <c r="A14" s="12"/>
      <c r="B14" s="12" t="s">
        <v>896</v>
      </c>
      <c r="C14" s="157" t="s">
        <v>897</v>
      </c>
      <c r="D14" s="111">
        <f t="shared" si="0"/>
        <v>15000000</v>
      </c>
      <c r="E14" s="112">
        <v>10000000</v>
      </c>
      <c r="F14" s="112">
        <v>5000000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1">
        <f t="shared" si="2"/>
        <v>17184400</v>
      </c>
      <c r="N14" s="112">
        <v>7235000</v>
      </c>
      <c r="O14" s="112">
        <v>5000000</v>
      </c>
      <c r="P14" s="112">
        <v>4949400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</row>
    <row r="15" spans="1:21" ht="30">
      <c r="A15" s="12"/>
      <c r="B15" s="12" t="s">
        <v>898</v>
      </c>
      <c r="C15" s="19" t="s">
        <v>899</v>
      </c>
      <c r="D15" s="111">
        <f>SUM(E15:L15)</f>
        <v>40000000</v>
      </c>
      <c r="E15" s="112">
        <v>20000000</v>
      </c>
      <c r="F15" s="112">
        <v>10000000</v>
      </c>
      <c r="G15" s="112">
        <v>10000000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1">
        <f t="shared" si="2"/>
        <v>5000000</v>
      </c>
      <c r="N15" s="112">
        <v>1000000</v>
      </c>
      <c r="O15" s="112">
        <v>2000000</v>
      </c>
      <c r="P15" s="112">
        <v>2000000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</row>
    <row r="16" spans="1:21" ht="18">
      <c r="A16" s="12"/>
      <c r="B16" s="12" t="s">
        <v>900</v>
      </c>
      <c r="C16" s="19" t="s">
        <v>901</v>
      </c>
      <c r="D16" s="111">
        <f>SUM(E16:L16)</f>
        <v>5000000</v>
      </c>
      <c r="E16" s="112">
        <v>0</v>
      </c>
      <c r="F16" s="112">
        <v>0</v>
      </c>
      <c r="G16" s="112">
        <v>5000000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1">
        <f t="shared" si="2"/>
        <v>5000000</v>
      </c>
      <c r="N16" s="112">
        <v>0</v>
      </c>
      <c r="O16" s="112">
        <v>0</v>
      </c>
      <c r="P16" s="112">
        <v>5000000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</row>
    <row r="17" spans="1:21" ht="18">
      <c r="A17" s="12"/>
      <c r="B17" s="12" t="s">
        <v>902</v>
      </c>
      <c r="C17" s="19" t="s">
        <v>903</v>
      </c>
      <c r="D17" s="111">
        <f>SUM(E17:L17)</f>
        <v>10000000</v>
      </c>
      <c r="E17" s="112">
        <v>0</v>
      </c>
      <c r="F17" s="112">
        <v>0</v>
      </c>
      <c r="G17" s="112">
        <v>10000000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1">
        <f t="shared" si="2"/>
        <v>10000000</v>
      </c>
      <c r="N17" s="112">
        <v>0</v>
      </c>
      <c r="O17" s="112">
        <v>0</v>
      </c>
      <c r="P17" s="112">
        <v>10000000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</row>
    <row r="18" spans="1:21" ht="45">
      <c r="A18" s="12"/>
      <c r="B18" s="12" t="s">
        <v>904</v>
      </c>
      <c r="C18" s="19" t="s">
        <v>905</v>
      </c>
      <c r="D18" s="111">
        <f>SUM(E18:L18)</f>
        <v>2000000</v>
      </c>
      <c r="E18" s="112">
        <v>0</v>
      </c>
      <c r="F18" s="112">
        <v>0</v>
      </c>
      <c r="G18" s="112">
        <v>2000000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1">
        <f t="shared" si="2"/>
        <v>2000000</v>
      </c>
      <c r="N18" s="112">
        <v>0</v>
      </c>
      <c r="O18" s="112">
        <v>0</v>
      </c>
      <c r="P18" s="112">
        <v>2000000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</row>
    <row r="19" spans="1:21" s="156" customFormat="1" ht="18">
      <c r="A19" s="142" t="s">
        <v>74</v>
      </c>
      <c r="B19" s="142"/>
      <c r="C19" s="143" t="s">
        <v>44</v>
      </c>
      <c r="D19" s="25">
        <f t="shared" si="0"/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25">
        <v>0</v>
      </c>
      <c r="M19" s="25">
        <f t="shared" si="2"/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25">
        <v>0</v>
      </c>
    </row>
    <row r="20" spans="1:21" ht="18">
      <c r="A20" s="326" t="s">
        <v>326</v>
      </c>
      <c r="B20" s="326"/>
      <c r="C20" s="326"/>
      <c r="D20" s="25">
        <f t="shared" si="0"/>
        <v>154679000</v>
      </c>
      <c r="E20" s="144">
        <f aca="true" t="shared" si="6" ref="E20:L20">E10+E12+E19</f>
        <v>37551000</v>
      </c>
      <c r="F20" s="144">
        <f t="shared" si="6"/>
        <v>16678000</v>
      </c>
      <c r="G20" s="144">
        <f t="shared" si="6"/>
        <v>100450000</v>
      </c>
      <c r="H20" s="144">
        <f t="shared" si="6"/>
        <v>0</v>
      </c>
      <c r="I20" s="144">
        <f t="shared" si="6"/>
        <v>0</v>
      </c>
      <c r="J20" s="144">
        <f t="shared" si="6"/>
        <v>0</v>
      </c>
      <c r="K20" s="144">
        <f t="shared" si="6"/>
        <v>0</v>
      </c>
      <c r="L20" s="144">
        <f t="shared" si="6"/>
        <v>0</v>
      </c>
      <c r="M20" s="25">
        <f t="shared" si="2"/>
        <v>210148762</v>
      </c>
      <c r="N20" s="144">
        <f>N10+N12+N19</f>
        <v>20458685</v>
      </c>
      <c r="O20" s="144">
        <f aca="true" t="shared" si="7" ref="O20:U20">O10+O12+O19</f>
        <v>9856977</v>
      </c>
      <c r="P20" s="144">
        <f t="shared" si="7"/>
        <v>179833100</v>
      </c>
      <c r="Q20" s="144">
        <f t="shared" si="7"/>
        <v>0</v>
      </c>
      <c r="R20" s="144">
        <f t="shared" si="7"/>
        <v>0</v>
      </c>
      <c r="S20" s="144">
        <f t="shared" si="7"/>
        <v>0</v>
      </c>
      <c r="T20" s="144">
        <f t="shared" si="7"/>
        <v>0</v>
      </c>
      <c r="U20" s="144">
        <f t="shared" si="7"/>
        <v>0</v>
      </c>
    </row>
    <row r="23" spans="11:12" ht="12.75">
      <c r="K23" s="34"/>
      <c r="L23" s="34" t="s">
        <v>510</v>
      </c>
    </row>
    <row r="24" ht="12.75">
      <c r="O24" s="155"/>
    </row>
    <row r="25" ht="12.75">
      <c r="O25" s="155"/>
    </row>
    <row r="26" ht="12.75">
      <c r="O26" s="155"/>
    </row>
  </sheetData>
  <sheetProtection/>
  <mergeCells count="16">
    <mergeCell ref="A1:U1"/>
    <mergeCell ref="A2:U2"/>
    <mergeCell ref="A3:U3"/>
    <mergeCell ref="A4:U4"/>
    <mergeCell ref="A7:A9"/>
    <mergeCell ref="M7:M9"/>
    <mergeCell ref="N7:U7"/>
    <mergeCell ref="N8:R8"/>
    <mergeCell ref="S8:U8"/>
    <mergeCell ref="C7:C9"/>
    <mergeCell ref="B7:B9"/>
    <mergeCell ref="A20:C20"/>
    <mergeCell ref="D7:D9"/>
    <mergeCell ref="E7:L7"/>
    <mergeCell ref="E8:I8"/>
    <mergeCell ref="J8:L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1"/>
  <sheetViews>
    <sheetView view="pageBreakPreview" zoomScale="71" zoomScaleNormal="71" zoomScaleSheetLayoutView="71" zoomScalePageLayoutView="0" workbookViewId="0" topLeftCell="A1">
      <selection activeCell="A1" sqref="A1:V1"/>
    </sheetView>
  </sheetViews>
  <sheetFormatPr defaultColWidth="9.140625" defaultRowHeight="12.75"/>
  <cols>
    <col min="1" max="1" width="5.57421875" style="0" customWidth="1"/>
    <col min="3" max="3" width="11.8515625" style="0" customWidth="1"/>
    <col min="4" max="4" width="75.140625" style="0" customWidth="1"/>
    <col min="5" max="5" width="22.57421875" style="0" customWidth="1"/>
    <col min="6" max="6" width="14.57421875" style="0" customWidth="1"/>
    <col min="7" max="8" width="17.00390625" style="0" customWidth="1"/>
    <col min="9" max="10" width="14.57421875" style="0" customWidth="1"/>
    <col min="11" max="11" width="18.8515625" style="0" customWidth="1"/>
    <col min="12" max="13" width="14.57421875" style="0" customWidth="1"/>
    <col min="14" max="14" width="19.7109375" style="0" customWidth="1"/>
    <col min="15" max="15" width="16.00390625" style="0" customWidth="1"/>
    <col min="16" max="17" width="16.57421875" style="0" customWidth="1"/>
    <col min="18" max="18" width="12.421875" style="0" customWidth="1"/>
    <col min="19" max="19" width="15.57421875" style="0" bestFit="1" customWidth="1"/>
    <col min="20" max="20" width="19.421875" style="0" bestFit="1" customWidth="1"/>
    <col min="21" max="21" width="15.8515625" style="0" customWidth="1"/>
    <col min="22" max="22" width="18.28125" style="0" bestFit="1" customWidth="1"/>
  </cols>
  <sheetData>
    <row r="1" spans="1:22" ht="18">
      <c r="A1" s="262" t="s">
        <v>1260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</row>
    <row r="2" spans="1:22" ht="18">
      <c r="A2" s="361" t="s">
        <v>1250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</row>
    <row r="3" spans="1:22" ht="18" customHeight="1">
      <c r="A3" s="358" t="s">
        <v>455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</row>
    <row r="4" spans="1:22" ht="18">
      <c r="A4" s="359" t="s">
        <v>456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44"/>
      <c r="V5" t="s">
        <v>1</v>
      </c>
    </row>
    <row r="6" spans="1:22" ht="18" customHeight="1">
      <c r="A6" s="4" t="s">
        <v>2</v>
      </c>
      <c r="B6" s="4" t="s">
        <v>3</v>
      </c>
      <c r="C6" s="4" t="s">
        <v>4</v>
      </c>
      <c r="D6" s="4" t="s">
        <v>5</v>
      </c>
      <c r="E6" s="147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181</v>
      </c>
    </row>
    <row r="7" spans="1:22" ht="15.75" customHeight="1">
      <c r="A7" s="273" t="s">
        <v>24</v>
      </c>
      <c r="B7" s="273" t="s">
        <v>185</v>
      </c>
      <c r="C7" s="273" t="s">
        <v>366</v>
      </c>
      <c r="D7" s="274" t="s">
        <v>25</v>
      </c>
      <c r="E7" s="265" t="s">
        <v>853</v>
      </c>
      <c r="F7" s="325" t="s">
        <v>26</v>
      </c>
      <c r="G7" s="325"/>
      <c r="H7" s="325"/>
      <c r="I7" s="325"/>
      <c r="J7" s="325"/>
      <c r="K7" s="325"/>
      <c r="L7" s="325"/>
      <c r="M7" s="325"/>
      <c r="N7" s="265" t="s">
        <v>1049</v>
      </c>
      <c r="O7" s="325" t="s">
        <v>1047</v>
      </c>
      <c r="P7" s="325"/>
      <c r="Q7" s="325"/>
      <c r="R7" s="325"/>
      <c r="S7" s="325"/>
      <c r="T7" s="325"/>
      <c r="U7" s="325"/>
      <c r="V7" s="325"/>
    </row>
    <row r="8" spans="1:22" ht="17.25" customHeight="1">
      <c r="A8" s="273"/>
      <c r="B8" s="273"/>
      <c r="C8" s="273"/>
      <c r="D8" s="274"/>
      <c r="E8" s="265"/>
      <c r="F8" s="360" t="s">
        <v>27</v>
      </c>
      <c r="G8" s="360"/>
      <c r="H8" s="360"/>
      <c r="I8" s="360"/>
      <c r="J8" s="360"/>
      <c r="K8" s="360" t="s">
        <v>28</v>
      </c>
      <c r="L8" s="360"/>
      <c r="M8" s="360"/>
      <c r="N8" s="265"/>
      <c r="O8" s="360" t="s">
        <v>27</v>
      </c>
      <c r="P8" s="360"/>
      <c r="Q8" s="360"/>
      <c r="R8" s="360"/>
      <c r="S8" s="360"/>
      <c r="T8" s="360" t="s">
        <v>28</v>
      </c>
      <c r="U8" s="360"/>
      <c r="V8" s="360"/>
    </row>
    <row r="9" spans="1:22" ht="82.5" customHeight="1">
      <c r="A9" s="273"/>
      <c r="B9" s="273"/>
      <c r="C9" s="273"/>
      <c r="D9" s="274"/>
      <c r="E9" s="265"/>
      <c r="F9" s="98" t="s">
        <v>29</v>
      </c>
      <c r="G9" s="98" t="s">
        <v>30</v>
      </c>
      <c r="H9" s="98" t="s">
        <v>31</v>
      </c>
      <c r="I9" s="98" t="s">
        <v>32</v>
      </c>
      <c r="J9" s="98" t="s">
        <v>33</v>
      </c>
      <c r="K9" s="98" t="s">
        <v>34</v>
      </c>
      <c r="L9" s="98" t="s">
        <v>35</v>
      </c>
      <c r="M9" s="98" t="s">
        <v>36</v>
      </c>
      <c r="N9" s="265"/>
      <c r="O9" s="98" t="s">
        <v>29</v>
      </c>
      <c r="P9" s="98" t="s">
        <v>30</v>
      </c>
      <c r="Q9" s="98" t="s">
        <v>31</v>
      </c>
      <c r="R9" s="98" t="s">
        <v>32</v>
      </c>
      <c r="S9" s="98" t="s">
        <v>33</v>
      </c>
      <c r="T9" s="98" t="s">
        <v>34</v>
      </c>
      <c r="U9" s="98" t="s">
        <v>35</v>
      </c>
      <c r="V9" s="98" t="s">
        <v>36</v>
      </c>
    </row>
    <row r="10" spans="1:22" ht="18" customHeight="1">
      <c r="A10" s="12" t="s">
        <v>77</v>
      </c>
      <c r="B10" s="12"/>
      <c r="C10" s="12"/>
      <c r="D10" s="99" t="s">
        <v>40</v>
      </c>
      <c r="E10" s="148">
        <f aca="true" t="shared" si="0" ref="E10:E41">SUM(F10:M10)</f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25">
        <v>0</v>
      </c>
      <c r="N10" s="148">
        <f aca="true" t="shared" si="1" ref="N10:N35">SUM(O10:V10)</f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25">
        <v>0</v>
      </c>
    </row>
    <row r="11" spans="1:22" ht="18">
      <c r="A11" s="12" t="s">
        <v>78</v>
      </c>
      <c r="B11" s="12"/>
      <c r="C11" s="12"/>
      <c r="D11" s="99" t="s">
        <v>42</v>
      </c>
      <c r="E11" s="148">
        <f t="shared" si="0"/>
        <v>4129011494</v>
      </c>
      <c r="F11" s="144">
        <f aca="true" t="shared" si="2" ref="F11:M11">SUM(F12:F39)</f>
        <v>0</v>
      </c>
      <c r="G11" s="144">
        <f t="shared" si="2"/>
        <v>0</v>
      </c>
      <c r="H11" s="144">
        <f t="shared" si="2"/>
        <v>144237595</v>
      </c>
      <c r="I11" s="144">
        <f t="shared" si="2"/>
        <v>0</v>
      </c>
      <c r="J11" s="144">
        <f t="shared" si="2"/>
        <v>0</v>
      </c>
      <c r="K11" s="144">
        <f t="shared" si="2"/>
        <v>3984773899</v>
      </c>
      <c r="L11" s="144">
        <f t="shared" si="2"/>
        <v>0</v>
      </c>
      <c r="M11" s="144">
        <f t="shared" si="2"/>
        <v>0</v>
      </c>
      <c r="N11" s="148">
        <f t="shared" si="1"/>
        <v>5352189698</v>
      </c>
      <c r="O11" s="144">
        <f>SUM(O12:O36)</f>
        <v>0</v>
      </c>
      <c r="P11" s="144">
        <f>SUM(P12:P36)</f>
        <v>0</v>
      </c>
      <c r="Q11" s="144">
        <f aca="true" t="shared" si="3" ref="Q11:V11">SUM(Q12:Q39)</f>
        <v>595225767</v>
      </c>
      <c r="R11" s="144">
        <f t="shared" si="3"/>
        <v>0</v>
      </c>
      <c r="S11" s="144">
        <f t="shared" si="3"/>
        <v>15078487</v>
      </c>
      <c r="T11" s="144">
        <f t="shared" si="3"/>
        <v>4209985892</v>
      </c>
      <c r="U11" s="144">
        <f t="shared" si="3"/>
        <v>19564425</v>
      </c>
      <c r="V11" s="144">
        <f t="shared" si="3"/>
        <v>512335127</v>
      </c>
    </row>
    <row r="12" spans="1:22" s="140" customFormat="1" ht="18">
      <c r="A12" s="12"/>
      <c r="B12" s="12" t="s">
        <v>457</v>
      </c>
      <c r="C12" s="12"/>
      <c r="D12" s="149" t="s">
        <v>458</v>
      </c>
      <c r="E12" s="111">
        <f t="shared" si="0"/>
        <v>1492250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1492250</v>
      </c>
      <c r="L12" s="150">
        <v>0</v>
      </c>
      <c r="M12" s="150">
        <v>0</v>
      </c>
      <c r="N12" s="111">
        <f t="shared" si="1"/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v>0</v>
      </c>
      <c r="V12" s="150">
        <v>0</v>
      </c>
    </row>
    <row r="13" spans="1:22" s="140" customFormat="1" ht="18">
      <c r="A13" s="12"/>
      <c r="B13" s="12" t="s">
        <v>459</v>
      </c>
      <c r="C13" s="12"/>
      <c r="D13" s="149" t="s">
        <v>460</v>
      </c>
      <c r="E13" s="111">
        <f t="shared" si="0"/>
        <v>528066</v>
      </c>
      <c r="F13" s="112">
        <v>0</v>
      </c>
      <c r="G13" s="112">
        <v>0</v>
      </c>
      <c r="H13" s="112">
        <v>528066</v>
      </c>
      <c r="I13" s="112">
        <v>0</v>
      </c>
      <c r="J13" s="112">
        <v>0</v>
      </c>
      <c r="K13" s="150">
        <v>0</v>
      </c>
      <c r="L13" s="112">
        <v>0</v>
      </c>
      <c r="M13" s="112">
        <v>0</v>
      </c>
      <c r="N13" s="111">
        <f t="shared" si="1"/>
        <v>519176</v>
      </c>
      <c r="O13" s="150">
        <v>0</v>
      </c>
      <c r="P13" s="150">
        <v>0</v>
      </c>
      <c r="Q13" s="112">
        <v>519176</v>
      </c>
      <c r="R13" s="150">
        <v>0</v>
      </c>
      <c r="S13" s="150">
        <v>0</v>
      </c>
      <c r="T13" s="150">
        <v>0</v>
      </c>
      <c r="U13" s="150">
        <v>0</v>
      </c>
      <c r="V13" s="112">
        <v>0</v>
      </c>
    </row>
    <row r="14" spans="1:22" s="140" customFormat="1" ht="18">
      <c r="A14" s="12"/>
      <c r="B14" s="12" t="s">
        <v>461</v>
      </c>
      <c r="C14" s="12"/>
      <c r="D14" s="110" t="s">
        <v>462</v>
      </c>
      <c r="E14" s="111">
        <f t="shared" si="0"/>
        <v>15000000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50">
        <v>15000000</v>
      </c>
      <c r="L14" s="112">
        <v>0</v>
      </c>
      <c r="M14" s="112">
        <v>0</v>
      </c>
      <c r="N14" s="111">
        <f t="shared" si="1"/>
        <v>15000000</v>
      </c>
      <c r="O14" s="150">
        <v>0</v>
      </c>
      <c r="P14" s="150">
        <v>0</v>
      </c>
      <c r="Q14" s="112">
        <v>0</v>
      </c>
      <c r="R14" s="150">
        <v>0</v>
      </c>
      <c r="S14" s="150">
        <v>0</v>
      </c>
      <c r="T14" s="150">
        <v>15000000</v>
      </c>
      <c r="U14" s="150">
        <v>0</v>
      </c>
      <c r="V14" s="112">
        <v>0</v>
      </c>
    </row>
    <row r="15" spans="1:22" s="140" customFormat="1" ht="18">
      <c r="A15" s="12"/>
      <c r="B15" s="12" t="s">
        <v>463</v>
      </c>
      <c r="C15" s="12"/>
      <c r="D15" s="110" t="s">
        <v>464</v>
      </c>
      <c r="E15" s="111">
        <f t="shared" si="0"/>
        <v>5000000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50">
        <v>5000000</v>
      </c>
      <c r="L15" s="112">
        <v>0</v>
      </c>
      <c r="M15" s="112">
        <v>0</v>
      </c>
      <c r="N15" s="111">
        <f t="shared" si="1"/>
        <v>5000000</v>
      </c>
      <c r="O15" s="150">
        <v>0</v>
      </c>
      <c r="P15" s="150">
        <v>0</v>
      </c>
      <c r="Q15" s="112">
        <v>571500</v>
      </c>
      <c r="R15" s="150">
        <v>0</v>
      </c>
      <c r="S15" s="150">
        <v>0</v>
      </c>
      <c r="T15" s="150">
        <v>4428500</v>
      </c>
      <c r="U15" s="150">
        <v>0</v>
      </c>
      <c r="V15" s="112">
        <v>0</v>
      </c>
    </row>
    <row r="16" spans="1:22" s="140" customFormat="1" ht="18">
      <c r="A16" s="12"/>
      <c r="B16" s="12" t="s">
        <v>465</v>
      </c>
      <c r="C16" s="12"/>
      <c r="D16" s="110" t="s">
        <v>466</v>
      </c>
      <c r="E16" s="111">
        <f t="shared" si="0"/>
        <v>90000000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50">
        <v>90000000</v>
      </c>
      <c r="L16" s="112">
        <v>0</v>
      </c>
      <c r="M16" s="112">
        <v>0</v>
      </c>
      <c r="N16" s="111">
        <f t="shared" si="1"/>
        <v>76001141</v>
      </c>
      <c r="O16" s="150">
        <v>0</v>
      </c>
      <c r="P16" s="150">
        <v>0</v>
      </c>
      <c r="Q16" s="112">
        <v>76001141</v>
      </c>
      <c r="R16" s="150">
        <v>0</v>
      </c>
      <c r="S16" s="150">
        <v>0</v>
      </c>
      <c r="T16" s="150">
        <v>0</v>
      </c>
      <c r="U16" s="150">
        <v>0</v>
      </c>
      <c r="V16" s="112">
        <v>0</v>
      </c>
    </row>
    <row r="17" spans="1:22" s="140" customFormat="1" ht="18">
      <c r="A17" s="12"/>
      <c r="B17" s="12" t="s">
        <v>467</v>
      </c>
      <c r="C17" s="12"/>
      <c r="D17" s="19" t="s">
        <v>468</v>
      </c>
      <c r="E17" s="111">
        <f t="shared" si="0"/>
        <v>4000000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50">
        <v>4000000</v>
      </c>
      <c r="L17" s="112">
        <v>0</v>
      </c>
      <c r="M17" s="112">
        <v>0</v>
      </c>
      <c r="N17" s="111">
        <f t="shared" si="1"/>
        <v>4000000</v>
      </c>
      <c r="O17" s="150">
        <v>0</v>
      </c>
      <c r="P17" s="150">
        <v>0</v>
      </c>
      <c r="Q17" s="112">
        <v>4000000</v>
      </c>
      <c r="R17" s="150">
        <v>0</v>
      </c>
      <c r="S17" s="150">
        <v>0</v>
      </c>
      <c r="T17" s="150">
        <v>0</v>
      </c>
      <c r="U17" s="150">
        <v>0</v>
      </c>
      <c r="V17" s="112">
        <v>0</v>
      </c>
    </row>
    <row r="18" spans="1:22" s="140" customFormat="1" ht="18">
      <c r="A18" s="12"/>
      <c r="B18" s="12" t="s">
        <v>469</v>
      </c>
      <c r="C18" s="12"/>
      <c r="D18" s="19" t="s">
        <v>470</v>
      </c>
      <c r="E18" s="111">
        <f t="shared" si="0"/>
        <v>20000000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50">
        <v>20000000</v>
      </c>
      <c r="L18" s="112">
        <v>0</v>
      </c>
      <c r="M18" s="112">
        <v>0</v>
      </c>
      <c r="N18" s="111">
        <f t="shared" si="1"/>
        <v>30686900</v>
      </c>
      <c r="O18" s="150">
        <v>0</v>
      </c>
      <c r="P18" s="150">
        <v>0</v>
      </c>
      <c r="Q18" s="112">
        <v>0</v>
      </c>
      <c r="R18" s="150">
        <v>0</v>
      </c>
      <c r="S18" s="150">
        <v>0</v>
      </c>
      <c r="T18" s="150">
        <v>30686900</v>
      </c>
      <c r="U18" s="150">
        <v>0</v>
      </c>
      <c r="V18" s="112">
        <v>0</v>
      </c>
    </row>
    <row r="19" spans="1:22" s="140" customFormat="1" ht="18">
      <c r="A19" s="12"/>
      <c r="B19" s="12" t="s">
        <v>471</v>
      </c>
      <c r="C19" s="12"/>
      <c r="D19" s="19" t="s">
        <v>472</v>
      </c>
      <c r="E19" s="111">
        <f t="shared" si="0"/>
        <v>20000001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50">
        <v>20000001</v>
      </c>
      <c r="L19" s="112">
        <v>0</v>
      </c>
      <c r="M19" s="112">
        <v>0</v>
      </c>
      <c r="N19" s="111">
        <f t="shared" si="1"/>
        <v>15105885</v>
      </c>
      <c r="O19" s="150">
        <v>0</v>
      </c>
      <c r="P19" s="150">
        <v>0</v>
      </c>
      <c r="Q19" s="112">
        <v>0</v>
      </c>
      <c r="R19" s="150">
        <v>0</v>
      </c>
      <c r="S19" s="150">
        <v>0</v>
      </c>
      <c r="T19" s="150">
        <v>15105885</v>
      </c>
      <c r="U19" s="150">
        <v>0</v>
      </c>
      <c r="V19" s="112">
        <v>0</v>
      </c>
    </row>
    <row r="20" spans="1:22" s="140" customFormat="1" ht="30">
      <c r="A20" s="12"/>
      <c r="B20" s="12" t="s">
        <v>473</v>
      </c>
      <c r="C20" s="12"/>
      <c r="D20" s="19" t="s">
        <v>976</v>
      </c>
      <c r="E20" s="111">
        <f t="shared" si="0"/>
        <v>458191584</v>
      </c>
      <c r="F20" s="112">
        <v>0</v>
      </c>
      <c r="G20" s="112">
        <v>0</v>
      </c>
      <c r="H20" s="112">
        <v>5434584</v>
      </c>
      <c r="I20" s="112">
        <v>0</v>
      </c>
      <c r="J20" s="112">
        <v>0</v>
      </c>
      <c r="K20" s="150">
        <v>452757000</v>
      </c>
      <c r="L20" s="112">
        <v>0</v>
      </c>
      <c r="M20" s="112">
        <v>0</v>
      </c>
      <c r="N20" s="111">
        <f t="shared" si="1"/>
        <v>429777054</v>
      </c>
      <c r="O20" s="150">
        <v>0</v>
      </c>
      <c r="P20" s="150">
        <v>0</v>
      </c>
      <c r="Q20" s="112">
        <v>86372466</v>
      </c>
      <c r="R20" s="150">
        <v>0</v>
      </c>
      <c r="S20" s="150">
        <v>5215000</v>
      </c>
      <c r="T20" s="150">
        <v>327066846</v>
      </c>
      <c r="U20" s="150">
        <v>0</v>
      </c>
      <c r="V20" s="112">
        <v>11122742</v>
      </c>
    </row>
    <row r="21" spans="1:22" s="140" customFormat="1" ht="30">
      <c r="A21" s="12"/>
      <c r="B21" s="12" t="s">
        <v>474</v>
      </c>
      <c r="C21" s="12"/>
      <c r="D21" s="19" t="s">
        <v>1036</v>
      </c>
      <c r="E21" s="111">
        <f t="shared" si="0"/>
        <v>435149979</v>
      </c>
      <c r="F21" s="112">
        <v>0</v>
      </c>
      <c r="G21" s="112">
        <v>0</v>
      </c>
      <c r="H21" s="112">
        <v>5809031</v>
      </c>
      <c r="I21" s="112">
        <v>0</v>
      </c>
      <c r="J21" s="112">
        <v>0</v>
      </c>
      <c r="K21" s="150">
        <v>429340948</v>
      </c>
      <c r="L21" s="112">
        <v>0</v>
      </c>
      <c r="M21" s="112">
        <v>0</v>
      </c>
      <c r="N21" s="111">
        <f t="shared" si="1"/>
        <v>490789466</v>
      </c>
      <c r="O21" s="150">
        <v>0</v>
      </c>
      <c r="P21" s="150">
        <v>0</v>
      </c>
      <c r="Q21" s="112">
        <v>109537666</v>
      </c>
      <c r="R21" s="150">
        <v>0</v>
      </c>
      <c r="S21" s="150">
        <v>6933487</v>
      </c>
      <c r="T21" s="150">
        <v>374318313</v>
      </c>
      <c r="U21" s="150">
        <v>0</v>
      </c>
      <c r="V21" s="112">
        <v>0</v>
      </c>
    </row>
    <row r="22" spans="1:22" s="140" customFormat="1" ht="30">
      <c r="A22" s="12"/>
      <c r="B22" s="12" t="s">
        <v>475</v>
      </c>
      <c r="C22" s="12"/>
      <c r="D22" s="19" t="s">
        <v>1240</v>
      </c>
      <c r="E22" s="111">
        <f t="shared" si="0"/>
        <v>1293495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50">
        <v>1293495</v>
      </c>
      <c r="L22" s="112">
        <v>0</v>
      </c>
      <c r="M22" s="112">
        <v>0</v>
      </c>
      <c r="N22" s="111">
        <f t="shared" si="1"/>
        <v>600893571</v>
      </c>
      <c r="O22" s="150">
        <v>0</v>
      </c>
      <c r="P22" s="150">
        <v>0</v>
      </c>
      <c r="Q22" s="112">
        <v>0</v>
      </c>
      <c r="R22" s="150">
        <v>0</v>
      </c>
      <c r="S22" s="150">
        <v>0</v>
      </c>
      <c r="T22" s="150">
        <v>600893571</v>
      </c>
      <c r="U22" s="150">
        <v>0</v>
      </c>
      <c r="V22" s="112">
        <v>0</v>
      </c>
    </row>
    <row r="23" spans="1:22" s="140" customFormat="1" ht="18">
      <c r="A23" s="12"/>
      <c r="B23" s="12" t="s">
        <v>476</v>
      </c>
      <c r="C23" s="12"/>
      <c r="D23" s="19" t="s">
        <v>952</v>
      </c>
      <c r="E23" s="111">
        <f t="shared" si="0"/>
        <v>9000000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9000000</v>
      </c>
      <c r="L23" s="112">
        <v>0</v>
      </c>
      <c r="M23" s="112">
        <v>0</v>
      </c>
      <c r="N23" s="111">
        <f t="shared" si="1"/>
        <v>5368384</v>
      </c>
      <c r="O23" s="150">
        <v>0</v>
      </c>
      <c r="P23" s="150">
        <v>0</v>
      </c>
      <c r="Q23" s="112">
        <v>0</v>
      </c>
      <c r="R23" s="150">
        <v>0</v>
      </c>
      <c r="S23" s="150">
        <v>0</v>
      </c>
      <c r="T23" s="112">
        <v>5368384</v>
      </c>
      <c r="U23" s="150">
        <v>0</v>
      </c>
      <c r="V23" s="112">
        <v>0</v>
      </c>
    </row>
    <row r="24" spans="1:22" s="140" customFormat="1" ht="18">
      <c r="A24" s="12"/>
      <c r="B24" s="12" t="s">
        <v>478</v>
      </c>
      <c r="C24" s="12"/>
      <c r="D24" s="19" t="s">
        <v>477</v>
      </c>
      <c r="E24" s="111">
        <f t="shared" si="0"/>
        <v>25000000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50">
        <v>25000000</v>
      </c>
      <c r="L24" s="112">
        <v>0</v>
      </c>
      <c r="M24" s="112">
        <v>0</v>
      </c>
      <c r="N24" s="111">
        <f t="shared" si="1"/>
        <v>10000000</v>
      </c>
      <c r="O24" s="150">
        <v>0</v>
      </c>
      <c r="P24" s="150">
        <v>0</v>
      </c>
      <c r="Q24" s="112">
        <v>0</v>
      </c>
      <c r="R24" s="150">
        <v>0</v>
      </c>
      <c r="S24" s="150">
        <v>0</v>
      </c>
      <c r="T24" s="150">
        <v>10000000</v>
      </c>
      <c r="U24" s="150">
        <v>0</v>
      </c>
      <c r="V24" s="112">
        <v>0</v>
      </c>
    </row>
    <row r="25" spans="1:22" s="140" customFormat="1" ht="18">
      <c r="A25" s="12"/>
      <c r="B25" s="12" t="s">
        <v>479</v>
      </c>
      <c r="C25" s="12"/>
      <c r="D25" s="19" t="s">
        <v>480</v>
      </c>
      <c r="E25" s="111">
        <f t="shared" si="0"/>
        <v>3302000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50">
        <v>3302000</v>
      </c>
      <c r="L25" s="112">
        <v>0</v>
      </c>
      <c r="M25" s="112">
        <v>0</v>
      </c>
      <c r="N25" s="111">
        <f t="shared" si="1"/>
        <v>3302000</v>
      </c>
      <c r="O25" s="150">
        <v>0</v>
      </c>
      <c r="P25" s="150">
        <v>0</v>
      </c>
      <c r="Q25" s="112">
        <v>0</v>
      </c>
      <c r="R25" s="150">
        <v>0</v>
      </c>
      <c r="S25" s="150">
        <v>0</v>
      </c>
      <c r="T25" s="150">
        <v>3302000</v>
      </c>
      <c r="U25" s="150">
        <v>0</v>
      </c>
      <c r="V25" s="112">
        <v>0</v>
      </c>
    </row>
    <row r="26" spans="1:22" s="140" customFormat="1" ht="18">
      <c r="A26" s="12"/>
      <c r="B26" s="12" t="s">
        <v>481</v>
      </c>
      <c r="C26" s="12"/>
      <c r="D26" s="19" t="s">
        <v>485</v>
      </c>
      <c r="E26" s="111">
        <f t="shared" si="0"/>
        <v>104023248</v>
      </c>
      <c r="F26" s="112">
        <v>0</v>
      </c>
      <c r="G26" s="112">
        <v>0</v>
      </c>
      <c r="H26" s="112">
        <v>104023248</v>
      </c>
      <c r="I26" s="112">
        <v>0</v>
      </c>
      <c r="J26" s="112">
        <v>0</v>
      </c>
      <c r="K26" s="150">
        <v>0</v>
      </c>
      <c r="L26" s="112">
        <v>0</v>
      </c>
      <c r="M26" s="112">
        <v>0</v>
      </c>
      <c r="N26" s="111">
        <f t="shared" si="1"/>
        <v>75589138</v>
      </c>
      <c r="O26" s="150">
        <v>0</v>
      </c>
      <c r="P26" s="150">
        <v>0</v>
      </c>
      <c r="Q26" s="112">
        <v>54836363</v>
      </c>
      <c r="R26" s="150">
        <v>0</v>
      </c>
      <c r="S26" s="150">
        <v>2930000</v>
      </c>
      <c r="T26" s="150">
        <v>11822775</v>
      </c>
      <c r="U26" s="150">
        <v>0</v>
      </c>
      <c r="V26" s="112">
        <v>6000000</v>
      </c>
    </row>
    <row r="27" spans="1:22" s="140" customFormat="1" ht="30">
      <c r="A27" s="12"/>
      <c r="B27" s="12" t="s">
        <v>482</v>
      </c>
      <c r="C27" s="12"/>
      <c r="D27" s="19" t="s">
        <v>977</v>
      </c>
      <c r="E27" s="111">
        <f t="shared" si="0"/>
        <v>107577907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50">
        <v>107577907</v>
      </c>
      <c r="L27" s="112">
        <v>0</v>
      </c>
      <c r="M27" s="151">
        <v>0</v>
      </c>
      <c r="N27" s="111">
        <f t="shared" si="1"/>
        <v>94834593</v>
      </c>
      <c r="O27" s="150">
        <v>0</v>
      </c>
      <c r="P27" s="150">
        <v>0</v>
      </c>
      <c r="Q27" s="112">
        <v>19890071</v>
      </c>
      <c r="R27" s="150">
        <v>0</v>
      </c>
      <c r="S27" s="150">
        <v>0</v>
      </c>
      <c r="T27" s="150">
        <v>74944522</v>
      </c>
      <c r="U27" s="150">
        <v>0</v>
      </c>
      <c r="V27" s="151">
        <v>0</v>
      </c>
    </row>
    <row r="28" spans="1:22" s="140" customFormat="1" ht="30">
      <c r="A28" s="12"/>
      <c r="B28" s="12" t="s">
        <v>484</v>
      </c>
      <c r="C28" s="12"/>
      <c r="D28" s="19" t="s">
        <v>489</v>
      </c>
      <c r="E28" s="111">
        <f t="shared" si="0"/>
        <v>251638022</v>
      </c>
      <c r="F28" s="112">
        <v>0</v>
      </c>
      <c r="G28" s="112">
        <v>0</v>
      </c>
      <c r="H28" s="112">
        <v>2953512</v>
      </c>
      <c r="I28" s="112">
        <v>0</v>
      </c>
      <c r="J28" s="112">
        <v>0</v>
      </c>
      <c r="K28" s="150">
        <v>248684510</v>
      </c>
      <c r="L28" s="112">
        <v>0</v>
      </c>
      <c r="M28" s="112">
        <v>0</v>
      </c>
      <c r="N28" s="111">
        <f t="shared" si="1"/>
        <v>227292002</v>
      </c>
      <c r="O28" s="150">
        <v>0</v>
      </c>
      <c r="P28" s="150">
        <v>0</v>
      </c>
      <c r="Q28" s="112">
        <v>3053872</v>
      </c>
      <c r="R28" s="150">
        <v>0</v>
      </c>
      <c r="S28" s="150">
        <v>0</v>
      </c>
      <c r="T28" s="150">
        <v>224238130</v>
      </c>
      <c r="U28" s="150">
        <v>0</v>
      </c>
      <c r="V28" s="112">
        <v>0</v>
      </c>
    </row>
    <row r="29" spans="1:22" s="140" customFormat="1" ht="30">
      <c r="A29" s="12"/>
      <c r="B29" s="12" t="s">
        <v>486</v>
      </c>
      <c r="C29" s="12"/>
      <c r="D29" s="19" t="s">
        <v>491</v>
      </c>
      <c r="E29" s="111">
        <f t="shared" si="0"/>
        <v>443492800</v>
      </c>
      <c r="F29" s="112">
        <v>0</v>
      </c>
      <c r="G29" s="112">
        <v>0</v>
      </c>
      <c r="H29" s="112">
        <v>6043930</v>
      </c>
      <c r="I29" s="112">
        <v>0</v>
      </c>
      <c r="J29" s="112">
        <v>0</v>
      </c>
      <c r="K29" s="150">
        <v>437448870</v>
      </c>
      <c r="L29" s="112">
        <v>0</v>
      </c>
      <c r="M29" s="112">
        <v>0</v>
      </c>
      <c r="N29" s="111">
        <f t="shared" si="1"/>
        <v>456284390</v>
      </c>
      <c r="O29" s="150">
        <v>0</v>
      </c>
      <c r="P29" s="150">
        <v>0</v>
      </c>
      <c r="Q29" s="112">
        <v>1031240</v>
      </c>
      <c r="R29" s="150">
        <v>0</v>
      </c>
      <c r="S29" s="150">
        <v>0</v>
      </c>
      <c r="T29" s="150">
        <v>22504400</v>
      </c>
      <c r="U29" s="150">
        <v>0</v>
      </c>
      <c r="V29" s="112">
        <v>432748750</v>
      </c>
    </row>
    <row r="30" spans="1:22" s="140" customFormat="1" ht="30">
      <c r="A30" s="12"/>
      <c r="B30" s="12" t="s">
        <v>487</v>
      </c>
      <c r="C30" s="12"/>
      <c r="D30" s="19" t="s">
        <v>493</v>
      </c>
      <c r="E30" s="111">
        <f t="shared" si="0"/>
        <v>335744328</v>
      </c>
      <c r="F30" s="112">
        <v>0</v>
      </c>
      <c r="G30" s="112">
        <v>0</v>
      </c>
      <c r="H30" s="112">
        <v>7412228</v>
      </c>
      <c r="I30" s="112">
        <v>0</v>
      </c>
      <c r="J30" s="112">
        <v>0</v>
      </c>
      <c r="K30" s="150">
        <v>328332100</v>
      </c>
      <c r="L30" s="112">
        <v>0</v>
      </c>
      <c r="M30" s="112">
        <v>0</v>
      </c>
      <c r="N30" s="111">
        <f t="shared" si="1"/>
        <v>335744328</v>
      </c>
      <c r="O30" s="150">
        <v>0</v>
      </c>
      <c r="P30" s="150">
        <v>0</v>
      </c>
      <c r="Q30" s="112">
        <v>7506208</v>
      </c>
      <c r="R30" s="150">
        <v>0</v>
      </c>
      <c r="S30" s="150">
        <v>0</v>
      </c>
      <c r="T30" s="150">
        <v>265774485</v>
      </c>
      <c r="U30" s="150">
        <v>0</v>
      </c>
      <c r="V30" s="112">
        <v>62463635</v>
      </c>
    </row>
    <row r="31" spans="1:22" s="140" customFormat="1" ht="30">
      <c r="A31" s="12"/>
      <c r="B31" s="12" t="s">
        <v>488</v>
      </c>
      <c r="C31" s="12"/>
      <c r="D31" s="19" t="s">
        <v>1037</v>
      </c>
      <c r="E31" s="111">
        <f t="shared" si="0"/>
        <v>535541411</v>
      </c>
      <c r="F31" s="112">
        <v>0</v>
      </c>
      <c r="G31" s="112">
        <v>0</v>
      </c>
      <c r="H31" s="112">
        <v>12032996</v>
      </c>
      <c r="I31" s="112">
        <v>0</v>
      </c>
      <c r="J31" s="112">
        <v>0</v>
      </c>
      <c r="K31" s="150">
        <v>523508415</v>
      </c>
      <c r="L31" s="112">
        <v>0</v>
      </c>
      <c r="M31" s="112">
        <v>0</v>
      </c>
      <c r="N31" s="111">
        <f t="shared" si="1"/>
        <v>531384381</v>
      </c>
      <c r="O31" s="150">
        <v>0</v>
      </c>
      <c r="P31" s="150">
        <v>0</v>
      </c>
      <c r="Q31" s="112">
        <v>12133356</v>
      </c>
      <c r="R31" s="150">
        <v>0</v>
      </c>
      <c r="S31" s="150">
        <v>0</v>
      </c>
      <c r="T31" s="150">
        <v>519251025</v>
      </c>
      <c r="U31" s="150">
        <v>0</v>
      </c>
      <c r="V31" s="112">
        <v>0</v>
      </c>
    </row>
    <row r="32" spans="1:22" s="140" customFormat="1" ht="30">
      <c r="A32" s="12"/>
      <c r="B32" s="12" t="s">
        <v>490</v>
      </c>
      <c r="C32" s="12"/>
      <c r="D32" s="19" t="s">
        <v>908</v>
      </c>
      <c r="E32" s="111">
        <f t="shared" si="0"/>
        <v>14986000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14986000</v>
      </c>
      <c r="L32" s="112">
        <v>0</v>
      </c>
      <c r="M32" s="112">
        <v>0</v>
      </c>
      <c r="N32" s="111">
        <f t="shared" si="1"/>
        <v>469986000</v>
      </c>
      <c r="O32" s="150">
        <v>0</v>
      </c>
      <c r="P32" s="150">
        <v>0</v>
      </c>
      <c r="Q32" s="112">
        <v>6948170</v>
      </c>
      <c r="R32" s="150">
        <v>0</v>
      </c>
      <c r="S32" s="150">
        <v>0</v>
      </c>
      <c r="T32" s="112">
        <v>463037830</v>
      </c>
      <c r="U32" s="150">
        <v>0</v>
      </c>
      <c r="V32" s="112">
        <v>0</v>
      </c>
    </row>
    <row r="33" spans="1:22" s="140" customFormat="1" ht="30">
      <c r="A33" s="12"/>
      <c r="B33" s="12" t="s">
        <v>492</v>
      </c>
      <c r="C33" s="12"/>
      <c r="D33" s="19" t="s">
        <v>909</v>
      </c>
      <c r="E33" s="111">
        <f t="shared" si="0"/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50">
        <v>0</v>
      </c>
      <c r="L33" s="112">
        <v>0</v>
      </c>
      <c r="M33" s="112">
        <v>0</v>
      </c>
      <c r="N33" s="111">
        <f t="shared" si="1"/>
        <v>34000000</v>
      </c>
      <c r="O33" s="150">
        <v>0</v>
      </c>
      <c r="P33" s="150">
        <v>0</v>
      </c>
      <c r="Q33" s="112">
        <v>937133</v>
      </c>
      <c r="R33" s="150">
        <v>0</v>
      </c>
      <c r="S33" s="150">
        <v>0</v>
      </c>
      <c r="T33" s="150">
        <v>33062867</v>
      </c>
      <c r="U33" s="150">
        <v>0</v>
      </c>
      <c r="V33" s="112">
        <v>0</v>
      </c>
    </row>
    <row r="34" spans="1:22" s="140" customFormat="1" ht="30">
      <c r="A34" s="12"/>
      <c r="B34" s="12" t="s">
        <v>494</v>
      </c>
      <c r="C34" s="12"/>
      <c r="D34" s="19" t="s">
        <v>907</v>
      </c>
      <c r="E34" s="111">
        <f t="shared" si="0"/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50">
        <v>0</v>
      </c>
      <c r="L34" s="112">
        <v>0</v>
      </c>
      <c r="M34" s="112">
        <v>0</v>
      </c>
      <c r="N34" s="111">
        <f t="shared" si="1"/>
        <v>411000000</v>
      </c>
      <c r="O34" s="150">
        <v>0</v>
      </c>
      <c r="P34" s="150">
        <v>0</v>
      </c>
      <c r="Q34" s="112">
        <v>6080122</v>
      </c>
      <c r="R34" s="150">
        <v>0</v>
      </c>
      <c r="S34" s="150">
        <v>0</v>
      </c>
      <c r="T34" s="150">
        <v>404919878</v>
      </c>
      <c r="U34" s="150">
        <v>0</v>
      </c>
      <c r="V34" s="112">
        <v>0</v>
      </c>
    </row>
    <row r="35" spans="1:22" s="140" customFormat="1" ht="18">
      <c r="A35" s="12"/>
      <c r="B35" s="12" t="s">
        <v>495</v>
      </c>
      <c r="C35" s="12"/>
      <c r="D35" s="19" t="s">
        <v>951</v>
      </c>
      <c r="E35" s="111">
        <f t="shared" si="0"/>
        <v>3000000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3000000</v>
      </c>
      <c r="L35" s="112">
        <v>0</v>
      </c>
      <c r="M35" s="112">
        <v>0</v>
      </c>
      <c r="N35" s="111">
        <f t="shared" si="1"/>
        <v>2070100</v>
      </c>
      <c r="O35" s="150">
        <v>0</v>
      </c>
      <c r="P35" s="150">
        <v>0</v>
      </c>
      <c r="Q35" s="112">
        <v>0</v>
      </c>
      <c r="R35" s="150">
        <v>0</v>
      </c>
      <c r="S35" s="150">
        <v>0</v>
      </c>
      <c r="T35" s="112">
        <v>2070100</v>
      </c>
      <c r="U35" s="150">
        <v>0</v>
      </c>
      <c r="V35" s="112">
        <v>0</v>
      </c>
    </row>
    <row r="36" spans="1:22" s="140" customFormat="1" ht="30">
      <c r="A36" s="12"/>
      <c r="B36" s="12" t="s">
        <v>496</v>
      </c>
      <c r="C36" s="12"/>
      <c r="D36" s="19" t="s">
        <v>906</v>
      </c>
      <c r="E36" s="111">
        <f>SUM(F36:M36)</f>
        <v>20000000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20000000</v>
      </c>
      <c r="L36" s="112">
        <v>0</v>
      </c>
      <c r="M36" s="112">
        <v>0</v>
      </c>
      <c r="N36" s="111">
        <f aca="true" t="shared" si="4" ref="N36:N41">SUM(O36:V36)</f>
        <v>38569900</v>
      </c>
      <c r="O36" s="150">
        <v>0</v>
      </c>
      <c r="P36" s="150">
        <v>0</v>
      </c>
      <c r="Q36" s="112">
        <v>0</v>
      </c>
      <c r="R36" s="150">
        <v>0</v>
      </c>
      <c r="S36" s="150">
        <v>0</v>
      </c>
      <c r="T36" s="112">
        <v>38569900</v>
      </c>
      <c r="U36" s="150">
        <v>0</v>
      </c>
      <c r="V36" s="112">
        <v>0</v>
      </c>
    </row>
    <row r="37" spans="1:22" s="140" customFormat="1" ht="18">
      <c r="A37" s="12"/>
      <c r="B37" s="12" t="s">
        <v>850</v>
      </c>
      <c r="C37" s="12"/>
      <c r="D37" s="19" t="s">
        <v>497</v>
      </c>
      <c r="E37" s="111">
        <f t="shared" si="0"/>
        <v>750050403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50">
        <v>750050403</v>
      </c>
      <c r="L37" s="112">
        <v>0</v>
      </c>
      <c r="M37" s="112">
        <v>0</v>
      </c>
      <c r="N37" s="111">
        <f t="shared" si="4"/>
        <v>603978676</v>
      </c>
      <c r="O37" s="150">
        <v>0</v>
      </c>
      <c r="P37" s="150">
        <v>0</v>
      </c>
      <c r="Q37" s="112">
        <v>98803766</v>
      </c>
      <c r="R37" s="150">
        <v>0</v>
      </c>
      <c r="S37" s="150">
        <v>0</v>
      </c>
      <c r="T37" s="150">
        <v>505174910</v>
      </c>
      <c r="U37" s="150">
        <v>0</v>
      </c>
      <c r="V37" s="112">
        <v>0</v>
      </c>
    </row>
    <row r="38" spans="1:22" s="140" customFormat="1" ht="33" customHeight="1">
      <c r="A38" s="12"/>
      <c r="B38" s="12" t="s">
        <v>851</v>
      </c>
      <c r="C38" s="12"/>
      <c r="D38" s="19" t="s">
        <v>964</v>
      </c>
      <c r="E38" s="111">
        <f t="shared" si="0"/>
        <v>415000000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415000000</v>
      </c>
      <c r="L38" s="152">
        <v>0</v>
      </c>
      <c r="M38" s="112">
        <v>0</v>
      </c>
      <c r="N38" s="111">
        <f t="shared" si="4"/>
        <v>300509362</v>
      </c>
      <c r="O38" s="150">
        <v>0</v>
      </c>
      <c r="P38" s="150">
        <v>0</v>
      </c>
      <c r="Q38" s="112">
        <v>97197658</v>
      </c>
      <c r="R38" s="150">
        <v>0</v>
      </c>
      <c r="S38" s="150">
        <v>0</v>
      </c>
      <c r="T38" s="112">
        <v>183747279</v>
      </c>
      <c r="U38" s="150">
        <v>19564425</v>
      </c>
      <c r="V38" s="112">
        <v>0</v>
      </c>
    </row>
    <row r="39" spans="1:22" s="140" customFormat="1" ht="33" customHeight="1">
      <c r="A39" s="12"/>
      <c r="B39" s="12" t="s">
        <v>852</v>
      </c>
      <c r="C39" s="12"/>
      <c r="D39" s="19" t="s">
        <v>953</v>
      </c>
      <c r="E39" s="111">
        <f t="shared" si="0"/>
        <v>60000000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60000000</v>
      </c>
      <c r="L39" s="152">
        <v>0</v>
      </c>
      <c r="M39" s="112">
        <v>0</v>
      </c>
      <c r="N39" s="111">
        <f t="shared" si="4"/>
        <v>84503251</v>
      </c>
      <c r="O39" s="150">
        <v>0</v>
      </c>
      <c r="P39" s="150">
        <v>0</v>
      </c>
      <c r="Q39" s="112">
        <v>9805859</v>
      </c>
      <c r="R39" s="150">
        <v>0</v>
      </c>
      <c r="S39" s="150">
        <v>0</v>
      </c>
      <c r="T39" s="112">
        <v>74697392</v>
      </c>
      <c r="U39" s="150">
        <v>0</v>
      </c>
      <c r="V39" s="112">
        <v>0</v>
      </c>
    </row>
    <row r="40" spans="1:22" ht="18">
      <c r="A40" s="12" t="s">
        <v>79</v>
      </c>
      <c r="B40" s="12"/>
      <c r="C40" s="12"/>
      <c r="D40" s="99" t="s">
        <v>44</v>
      </c>
      <c r="E40" s="111">
        <f t="shared" si="0"/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54">
        <v>0</v>
      </c>
      <c r="M40" s="25">
        <v>0</v>
      </c>
      <c r="N40" s="111">
        <f t="shared" si="4"/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54">
        <v>0</v>
      </c>
      <c r="V40" s="25">
        <v>0</v>
      </c>
    </row>
    <row r="41" spans="1:22" ht="28.5" customHeight="1">
      <c r="A41" s="326" t="s">
        <v>326</v>
      </c>
      <c r="B41" s="326"/>
      <c r="C41" s="326"/>
      <c r="D41" s="326"/>
      <c r="E41" s="25">
        <f t="shared" si="0"/>
        <v>4129011494</v>
      </c>
      <c r="F41" s="144"/>
      <c r="G41" s="144">
        <f aca="true" t="shared" si="5" ref="G41:M41">G10+G11+G40</f>
        <v>0</v>
      </c>
      <c r="H41" s="144">
        <f t="shared" si="5"/>
        <v>144237595</v>
      </c>
      <c r="I41" s="144">
        <f t="shared" si="5"/>
        <v>0</v>
      </c>
      <c r="J41" s="144">
        <f t="shared" si="5"/>
        <v>0</v>
      </c>
      <c r="K41" s="144">
        <f t="shared" si="5"/>
        <v>3984773899</v>
      </c>
      <c r="L41" s="154">
        <f t="shared" si="5"/>
        <v>0</v>
      </c>
      <c r="M41" s="144">
        <f t="shared" si="5"/>
        <v>0</v>
      </c>
      <c r="N41" s="25">
        <f t="shared" si="4"/>
        <v>5352189698</v>
      </c>
      <c r="O41" s="144"/>
      <c r="P41" s="144">
        <f aca="true" t="shared" si="6" ref="P41:V41">P10+P11+P40</f>
        <v>0</v>
      </c>
      <c r="Q41" s="144">
        <f t="shared" si="6"/>
        <v>595225767</v>
      </c>
      <c r="R41" s="144">
        <f t="shared" si="6"/>
        <v>0</v>
      </c>
      <c r="S41" s="144">
        <f t="shared" si="6"/>
        <v>15078487</v>
      </c>
      <c r="T41" s="144">
        <f t="shared" si="6"/>
        <v>4209985892</v>
      </c>
      <c r="U41" s="154">
        <f t="shared" si="6"/>
        <v>19564425</v>
      </c>
      <c r="V41" s="144">
        <f t="shared" si="6"/>
        <v>512335127</v>
      </c>
    </row>
  </sheetData>
  <sheetProtection selectLockedCells="1" selectUnlockedCells="1"/>
  <mergeCells count="17">
    <mergeCell ref="A1:V1"/>
    <mergeCell ref="A2:V2"/>
    <mergeCell ref="A3:V3"/>
    <mergeCell ref="A4:V4"/>
    <mergeCell ref="N7:N9"/>
    <mergeCell ref="C7:C9"/>
    <mergeCell ref="O8:S8"/>
    <mergeCell ref="T8:V8"/>
    <mergeCell ref="A41:D41"/>
    <mergeCell ref="F7:M7"/>
    <mergeCell ref="F8:J8"/>
    <mergeCell ref="K8:M8"/>
    <mergeCell ref="B7:B9"/>
    <mergeCell ref="O7:V7"/>
    <mergeCell ref="D7:D9"/>
    <mergeCell ref="A7:A9"/>
    <mergeCell ref="E7:E9"/>
  </mergeCells>
  <printOptions horizontalCentered="1" verticalCentered="1"/>
  <pageMargins left="0.2362204724409449" right="0.2362204724409449" top="0.5511811023622047" bottom="0.15748031496062992" header="0.5118110236220472" footer="0.5118110236220472"/>
  <pageSetup fitToHeight="1" fitToWidth="1" horizontalDpi="300" verticalDpi="300" orientation="landscape" paperSize="9" scale="3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3"/>
  <sheetViews>
    <sheetView view="pageBreakPreview" zoomScale="75" zoomScaleNormal="75" zoomScaleSheetLayoutView="75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7.57421875" style="0" customWidth="1"/>
    <col min="4" max="4" width="20.00390625" style="0" customWidth="1"/>
    <col min="5" max="5" width="14.57421875" style="0" customWidth="1"/>
    <col min="6" max="6" width="16.57421875" style="0" customWidth="1"/>
    <col min="7" max="7" width="15.7109375" style="0" customWidth="1"/>
    <col min="8" max="12" width="14.57421875" style="0" customWidth="1"/>
    <col min="13" max="13" width="21.8515625" style="0" customWidth="1"/>
    <col min="14" max="14" width="15.28125" style="0" customWidth="1"/>
    <col min="15" max="15" width="16.140625" style="0" customWidth="1"/>
    <col min="16" max="16" width="15.421875" style="0" bestFit="1" customWidth="1"/>
    <col min="17" max="17" width="13.8515625" style="0" customWidth="1"/>
    <col min="18" max="18" width="16.140625" style="0" bestFit="1" customWidth="1"/>
    <col min="19" max="19" width="15.421875" style="0" customWidth="1"/>
    <col min="20" max="20" width="12.7109375" style="0" customWidth="1"/>
    <col min="21" max="21" width="19.421875" style="0" customWidth="1"/>
  </cols>
  <sheetData>
    <row r="1" spans="1:21" ht="18">
      <c r="A1" s="262" t="s">
        <v>1261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8">
      <c r="A2" s="263" t="s">
        <v>1057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ht="18" customHeight="1">
      <c r="A3" s="358" t="s">
        <v>498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</row>
    <row r="4" spans="1:21" ht="18">
      <c r="A4" s="359" t="s">
        <v>499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44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3" t="s">
        <v>24</v>
      </c>
      <c r="B7" s="273" t="s">
        <v>185</v>
      </c>
      <c r="C7" s="274" t="s">
        <v>25</v>
      </c>
      <c r="D7" s="274" t="s">
        <v>853</v>
      </c>
      <c r="E7" s="325" t="s">
        <v>26</v>
      </c>
      <c r="F7" s="325"/>
      <c r="G7" s="325"/>
      <c r="H7" s="325"/>
      <c r="I7" s="325"/>
      <c r="J7" s="325"/>
      <c r="K7" s="325"/>
      <c r="L7" s="325"/>
      <c r="M7" s="274" t="s">
        <v>1049</v>
      </c>
      <c r="N7" s="325" t="s">
        <v>1047</v>
      </c>
      <c r="O7" s="325"/>
      <c r="P7" s="325"/>
      <c r="Q7" s="325"/>
      <c r="R7" s="325"/>
      <c r="S7" s="325"/>
      <c r="T7" s="325"/>
      <c r="U7" s="325"/>
    </row>
    <row r="8" spans="1:21" ht="12.75" customHeight="1">
      <c r="A8" s="273"/>
      <c r="B8" s="273"/>
      <c r="C8" s="274"/>
      <c r="D8" s="274"/>
      <c r="E8" s="267" t="s">
        <v>27</v>
      </c>
      <c r="F8" s="267"/>
      <c r="G8" s="267"/>
      <c r="H8" s="267"/>
      <c r="I8" s="267"/>
      <c r="J8" s="267" t="s">
        <v>28</v>
      </c>
      <c r="K8" s="267"/>
      <c r="L8" s="267"/>
      <c r="M8" s="274"/>
      <c r="N8" s="267" t="s">
        <v>27</v>
      </c>
      <c r="O8" s="267"/>
      <c r="P8" s="267"/>
      <c r="Q8" s="267"/>
      <c r="R8" s="267"/>
      <c r="S8" s="267" t="s">
        <v>28</v>
      </c>
      <c r="T8" s="267"/>
      <c r="U8" s="267"/>
    </row>
    <row r="9" spans="1:21" ht="75" customHeight="1">
      <c r="A9" s="273"/>
      <c r="B9" s="273"/>
      <c r="C9" s="274"/>
      <c r="D9" s="27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s="156" customFormat="1" ht="18">
      <c r="A10" s="142" t="s">
        <v>87</v>
      </c>
      <c r="B10" s="142"/>
      <c r="C10" s="143" t="s">
        <v>40</v>
      </c>
      <c r="D10" s="25">
        <f aca="true" t="shared" si="0" ref="D10:D20">SUM(E10:L10)</f>
        <v>75766156</v>
      </c>
      <c r="E10" s="144">
        <f aca="true" t="shared" si="1" ref="E10:L10">SUM(E11:E16)</f>
        <v>0</v>
      </c>
      <c r="F10" s="144">
        <f t="shared" si="1"/>
        <v>0</v>
      </c>
      <c r="G10" s="144">
        <f t="shared" si="1"/>
        <v>20000000</v>
      </c>
      <c r="H10" s="144">
        <f t="shared" si="1"/>
        <v>666156</v>
      </c>
      <c r="I10" s="144">
        <f t="shared" si="1"/>
        <v>55100000</v>
      </c>
      <c r="J10" s="144">
        <f t="shared" si="1"/>
        <v>0</v>
      </c>
      <c r="K10" s="144">
        <f t="shared" si="1"/>
        <v>0</v>
      </c>
      <c r="L10" s="144">
        <f t="shared" si="1"/>
        <v>0</v>
      </c>
      <c r="M10" s="25">
        <f aca="true" t="shared" si="2" ref="M10:M20">SUM(N10:U10)</f>
        <v>80766156</v>
      </c>
      <c r="N10" s="144">
        <f aca="true" t="shared" si="3" ref="N10:U10">SUM(N11:N16)</f>
        <v>0</v>
      </c>
      <c r="O10" s="144">
        <f t="shared" si="3"/>
        <v>0</v>
      </c>
      <c r="P10" s="144">
        <f t="shared" si="3"/>
        <v>20000000</v>
      </c>
      <c r="Q10" s="144">
        <f t="shared" si="3"/>
        <v>666156</v>
      </c>
      <c r="R10" s="144">
        <f t="shared" si="3"/>
        <v>60100000</v>
      </c>
      <c r="S10" s="144">
        <f t="shared" si="3"/>
        <v>0</v>
      </c>
      <c r="T10" s="144">
        <f t="shared" si="3"/>
        <v>0</v>
      </c>
      <c r="U10" s="144">
        <f t="shared" si="3"/>
        <v>0</v>
      </c>
    </row>
    <row r="11" spans="1:21" ht="30">
      <c r="A11" s="12"/>
      <c r="B11" s="12" t="s">
        <v>500</v>
      </c>
      <c r="C11" s="19" t="s">
        <v>501</v>
      </c>
      <c r="D11" s="111">
        <f t="shared" si="0"/>
        <v>666156</v>
      </c>
      <c r="E11" s="112">
        <v>0</v>
      </c>
      <c r="F11" s="112">
        <v>0</v>
      </c>
      <c r="G11" s="112">
        <v>0</v>
      </c>
      <c r="H11" s="112">
        <v>666156</v>
      </c>
      <c r="I11" s="112">
        <v>0</v>
      </c>
      <c r="J11" s="112">
        <v>0</v>
      </c>
      <c r="K11" s="112">
        <v>0</v>
      </c>
      <c r="L11" s="112">
        <v>0</v>
      </c>
      <c r="M11" s="111">
        <f t="shared" si="2"/>
        <v>666156</v>
      </c>
      <c r="N11" s="112">
        <v>0</v>
      </c>
      <c r="O11" s="112">
        <v>0</v>
      </c>
      <c r="P11" s="112"/>
      <c r="Q11" s="112">
        <v>666156</v>
      </c>
      <c r="R11" s="112">
        <v>0</v>
      </c>
      <c r="S11" s="112">
        <v>0</v>
      </c>
      <c r="T11" s="112">
        <v>0</v>
      </c>
      <c r="U11" s="112">
        <v>0</v>
      </c>
    </row>
    <row r="12" spans="1:21" ht="30">
      <c r="A12" s="12"/>
      <c r="B12" s="12" t="s">
        <v>502</v>
      </c>
      <c r="C12" s="19" t="s">
        <v>503</v>
      </c>
      <c r="D12" s="111">
        <f t="shared" si="0"/>
        <v>20000000</v>
      </c>
      <c r="E12" s="112">
        <v>0</v>
      </c>
      <c r="F12" s="112">
        <v>0</v>
      </c>
      <c r="G12" s="112">
        <v>20000000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1">
        <f t="shared" si="2"/>
        <v>20000000</v>
      </c>
      <c r="N12" s="112">
        <v>0</v>
      </c>
      <c r="O12" s="112">
        <v>0</v>
      </c>
      <c r="P12" s="112">
        <v>20000000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</row>
    <row r="13" spans="1:21" ht="60">
      <c r="A13" s="12"/>
      <c r="B13" s="12" t="s">
        <v>504</v>
      </c>
      <c r="C13" s="19" t="s">
        <v>876</v>
      </c>
      <c r="D13" s="111">
        <f t="shared" si="0"/>
        <v>45000000</v>
      </c>
      <c r="E13" s="112">
        <v>0</v>
      </c>
      <c r="F13" s="112">
        <v>0</v>
      </c>
      <c r="G13" s="112">
        <v>0</v>
      </c>
      <c r="H13" s="112">
        <v>0</v>
      </c>
      <c r="I13" s="112">
        <v>45000000</v>
      </c>
      <c r="J13" s="112">
        <v>0</v>
      </c>
      <c r="K13" s="112">
        <v>0</v>
      </c>
      <c r="L13" s="112">
        <v>0</v>
      </c>
      <c r="M13" s="111">
        <f t="shared" si="2"/>
        <v>40500000</v>
      </c>
      <c r="N13" s="112">
        <v>0</v>
      </c>
      <c r="O13" s="112">
        <v>0</v>
      </c>
      <c r="P13" s="112">
        <v>0</v>
      </c>
      <c r="Q13" s="112">
        <v>0</v>
      </c>
      <c r="R13" s="112">
        <v>40500000</v>
      </c>
      <c r="S13" s="112">
        <v>0</v>
      </c>
      <c r="T13" s="112">
        <v>0</v>
      </c>
      <c r="U13" s="112">
        <v>0</v>
      </c>
    </row>
    <row r="14" spans="1:21" ht="75">
      <c r="A14" s="12"/>
      <c r="B14" s="12" t="s">
        <v>505</v>
      </c>
      <c r="C14" s="19" t="s">
        <v>877</v>
      </c>
      <c r="D14" s="111">
        <f t="shared" si="0"/>
        <v>10000000</v>
      </c>
      <c r="E14" s="112">
        <v>0</v>
      </c>
      <c r="F14" s="112">
        <v>0</v>
      </c>
      <c r="G14" s="112">
        <v>0</v>
      </c>
      <c r="H14" s="112">
        <v>0</v>
      </c>
      <c r="I14" s="112">
        <v>10000000</v>
      </c>
      <c r="J14" s="112">
        <v>0</v>
      </c>
      <c r="K14" s="112">
        <v>0</v>
      </c>
      <c r="L14" s="112">
        <v>0</v>
      </c>
      <c r="M14" s="111">
        <f t="shared" si="2"/>
        <v>15000000</v>
      </c>
      <c r="N14" s="112">
        <v>0</v>
      </c>
      <c r="O14" s="112">
        <v>0</v>
      </c>
      <c r="P14" s="112">
        <v>0</v>
      </c>
      <c r="Q14" s="112">
        <v>0</v>
      </c>
      <c r="R14" s="112">
        <v>15000000</v>
      </c>
      <c r="S14" s="112">
        <v>0</v>
      </c>
      <c r="T14" s="112">
        <v>0</v>
      </c>
      <c r="U14" s="112">
        <v>0</v>
      </c>
    </row>
    <row r="15" spans="1:21" ht="18">
      <c r="A15" s="12"/>
      <c r="B15" s="12" t="s">
        <v>506</v>
      </c>
      <c r="C15" s="19" t="s">
        <v>878</v>
      </c>
      <c r="D15" s="111">
        <f t="shared" si="0"/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1">
        <f t="shared" si="2"/>
        <v>4500000</v>
      </c>
      <c r="N15" s="112">
        <v>0</v>
      </c>
      <c r="O15" s="112">
        <v>0</v>
      </c>
      <c r="P15" s="112">
        <v>0</v>
      </c>
      <c r="Q15" s="112">
        <v>0</v>
      </c>
      <c r="R15" s="112">
        <v>4500000</v>
      </c>
      <c r="S15" s="112">
        <v>0</v>
      </c>
      <c r="T15" s="112">
        <v>0</v>
      </c>
      <c r="U15" s="112">
        <v>0</v>
      </c>
    </row>
    <row r="16" spans="1:21" ht="18">
      <c r="A16" s="12"/>
      <c r="B16" s="12" t="s">
        <v>507</v>
      </c>
      <c r="C16" s="19" t="s">
        <v>508</v>
      </c>
      <c r="D16" s="111">
        <f t="shared" si="0"/>
        <v>100000</v>
      </c>
      <c r="E16" s="112">
        <v>0</v>
      </c>
      <c r="F16" s="112">
        <v>0</v>
      </c>
      <c r="G16" s="112">
        <v>0</v>
      </c>
      <c r="H16" s="112">
        <v>0</v>
      </c>
      <c r="I16" s="112">
        <v>100000</v>
      </c>
      <c r="J16" s="112">
        <v>0</v>
      </c>
      <c r="K16" s="112">
        <v>0</v>
      </c>
      <c r="L16" s="112">
        <v>0</v>
      </c>
      <c r="M16" s="111">
        <f t="shared" si="2"/>
        <v>100000</v>
      </c>
      <c r="N16" s="112">
        <v>0</v>
      </c>
      <c r="O16" s="112">
        <v>0</v>
      </c>
      <c r="P16" s="112">
        <v>0</v>
      </c>
      <c r="Q16" s="112"/>
      <c r="R16" s="112">
        <v>100000</v>
      </c>
      <c r="S16" s="112">
        <v>0</v>
      </c>
      <c r="T16" s="112">
        <v>0</v>
      </c>
      <c r="U16" s="112">
        <v>0</v>
      </c>
    </row>
    <row r="17" spans="1:21" s="156" customFormat="1" ht="18">
      <c r="A17" s="142" t="s">
        <v>88</v>
      </c>
      <c r="B17" s="142"/>
      <c r="C17" s="143" t="s">
        <v>42</v>
      </c>
      <c r="D17" s="25">
        <f t="shared" si="0"/>
        <v>1000000</v>
      </c>
      <c r="E17" s="144">
        <f aca="true" t="shared" si="4" ref="E17:U17">SUM(E18:E18)</f>
        <v>0</v>
      </c>
      <c r="F17" s="144">
        <f t="shared" si="4"/>
        <v>0</v>
      </c>
      <c r="G17" s="144">
        <f t="shared" si="4"/>
        <v>0</v>
      </c>
      <c r="H17" s="144">
        <f t="shared" si="4"/>
        <v>0</v>
      </c>
      <c r="I17" s="144">
        <f t="shared" si="4"/>
        <v>1000000</v>
      </c>
      <c r="J17" s="144">
        <f t="shared" si="4"/>
        <v>0</v>
      </c>
      <c r="K17" s="144">
        <f t="shared" si="4"/>
        <v>0</v>
      </c>
      <c r="L17" s="144">
        <f t="shared" si="4"/>
        <v>0</v>
      </c>
      <c r="M17" s="25">
        <f t="shared" si="2"/>
        <v>1000000</v>
      </c>
      <c r="N17" s="144">
        <f t="shared" si="4"/>
        <v>0</v>
      </c>
      <c r="O17" s="144">
        <f t="shared" si="4"/>
        <v>0</v>
      </c>
      <c r="P17" s="144">
        <f t="shared" si="4"/>
        <v>0</v>
      </c>
      <c r="Q17" s="144">
        <f t="shared" si="4"/>
        <v>0</v>
      </c>
      <c r="R17" s="144">
        <f t="shared" si="4"/>
        <v>1000000</v>
      </c>
      <c r="S17" s="144">
        <f t="shared" si="4"/>
        <v>0</v>
      </c>
      <c r="T17" s="144">
        <f t="shared" si="4"/>
        <v>0</v>
      </c>
      <c r="U17" s="144">
        <f t="shared" si="4"/>
        <v>0</v>
      </c>
    </row>
    <row r="18" spans="1:21" ht="75">
      <c r="A18" s="12"/>
      <c r="B18" s="12" t="s">
        <v>509</v>
      </c>
      <c r="C18" s="19" t="s">
        <v>879</v>
      </c>
      <c r="D18" s="111">
        <f t="shared" si="0"/>
        <v>1000000</v>
      </c>
      <c r="E18" s="112">
        <v>0</v>
      </c>
      <c r="F18" s="112">
        <v>0</v>
      </c>
      <c r="G18" s="112">
        <v>0</v>
      </c>
      <c r="H18" s="112">
        <v>0</v>
      </c>
      <c r="I18" s="112">
        <v>1000000</v>
      </c>
      <c r="J18" s="112">
        <v>0</v>
      </c>
      <c r="K18" s="112">
        <v>0</v>
      </c>
      <c r="L18" s="112">
        <v>0</v>
      </c>
      <c r="M18" s="111">
        <f t="shared" si="2"/>
        <v>1000000</v>
      </c>
      <c r="N18" s="112">
        <v>0</v>
      </c>
      <c r="O18" s="112">
        <v>0</v>
      </c>
      <c r="P18" s="112">
        <v>0</v>
      </c>
      <c r="Q18" s="112"/>
      <c r="R18" s="112">
        <v>1000000</v>
      </c>
      <c r="S18" s="112">
        <v>0</v>
      </c>
      <c r="T18" s="112">
        <v>0</v>
      </c>
      <c r="U18" s="112">
        <v>0</v>
      </c>
    </row>
    <row r="19" spans="1:21" s="156" customFormat="1" ht="18">
      <c r="A19" s="142" t="s">
        <v>89</v>
      </c>
      <c r="B19" s="142"/>
      <c r="C19" s="143" t="s">
        <v>44</v>
      </c>
      <c r="D19" s="25">
        <f t="shared" si="0"/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25">
        <v>0</v>
      </c>
      <c r="M19" s="25">
        <f t="shared" si="2"/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25">
        <v>0</v>
      </c>
    </row>
    <row r="20" spans="1:21" ht="30.75" customHeight="1">
      <c r="A20" s="326" t="s">
        <v>326</v>
      </c>
      <c r="B20" s="326"/>
      <c r="C20" s="326"/>
      <c r="D20" s="25">
        <f t="shared" si="0"/>
        <v>76766156</v>
      </c>
      <c r="E20" s="144">
        <f aca="true" t="shared" si="5" ref="E20:L20">E10+E17+E19</f>
        <v>0</v>
      </c>
      <c r="F20" s="144">
        <f t="shared" si="5"/>
        <v>0</v>
      </c>
      <c r="G20" s="144">
        <f t="shared" si="5"/>
        <v>20000000</v>
      </c>
      <c r="H20" s="144">
        <f t="shared" si="5"/>
        <v>666156</v>
      </c>
      <c r="I20" s="144">
        <f t="shared" si="5"/>
        <v>56100000</v>
      </c>
      <c r="J20" s="144">
        <f t="shared" si="5"/>
        <v>0</v>
      </c>
      <c r="K20" s="144">
        <f t="shared" si="5"/>
        <v>0</v>
      </c>
      <c r="L20" s="144">
        <f t="shared" si="5"/>
        <v>0</v>
      </c>
      <c r="M20" s="25">
        <f t="shared" si="2"/>
        <v>81766156</v>
      </c>
      <c r="N20" s="144">
        <f aca="true" t="shared" si="6" ref="N20:U20">N10+N17+N19</f>
        <v>0</v>
      </c>
      <c r="O20" s="144">
        <f t="shared" si="6"/>
        <v>0</v>
      </c>
      <c r="P20" s="144">
        <f t="shared" si="6"/>
        <v>20000000</v>
      </c>
      <c r="Q20" s="144">
        <f t="shared" si="6"/>
        <v>666156</v>
      </c>
      <c r="R20" s="144">
        <f t="shared" si="6"/>
        <v>61100000</v>
      </c>
      <c r="S20" s="144">
        <f t="shared" si="6"/>
        <v>0</v>
      </c>
      <c r="T20" s="144">
        <f t="shared" si="6"/>
        <v>0</v>
      </c>
      <c r="U20" s="144">
        <f t="shared" si="6"/>
        <v>0</v>
      </c>
    </row>
    <row r="22" spans="11:12" ht="12.75">
      <c r="K22" s="34"/>
      <c r="L22" s="34"/>
    </row>
    <row r="23" spans="11:12" ht="12.75">
      <c r="K23" s="34"/>
      <c r="L23" s="34" t="s">
        <v>510</v>
      </c>
    </row>
  </sheetData>
  <sheetProtection selectLockedCells="1" selectUnlockedCells="1"/>
  <mergeCells count="16">
    <mergeCell ref="A20:C20"/>
    <mergeCell ref="E8:I8"/>
    <mergeCell ref="J8:L8"/>
    <mergeCell ref="N7:U7"/>
    <mergeCell ref="N8:R8"/>
    <mergeCell ref="S8:U8"/>
    <mergeCell ref="A7:A9"/>
    <mergeCell ref="M7:M9"/>
    <mergeCell ref="B7:B9"/>
    <mergeCell ref="A1:U1"/>
    <mergeCell ref="A2:U2"/>
    <mergeCell ref="A3:U3"/>
    <mergeCell ref="A4:U4"/>
    <mergeCell ref="C7:C9"/>
    <mergeCell ref="D7:D9"/>
    <mergeCell ref="E7:L7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8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3"/>
  <sheetViews>
    <sheetView view="pageBreakPreview" zoomScale="82" zoomScaleNormal="71" zoomScaleSheetLayoutView="82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57421875" style="0" customWidth="1"/>
    <col min="4" max="4" width="17.140625" style="0" customWidth="1"/>
    <col min="5" max="5" width="14.57421875" style="0" customWidth="1"/>
    <col min="6" max="6" width="16.140625" style="0" customWidth="1"/>
    <col min="7" max="12" width="14.57421875" style="0" customWidth="1"/>
    <col min="13" max="13" width="21.28125" style="0" customWidth="1"/>
    <col min="14" max="14" width="13.57421875" style="0" customWidth="1"/>
    <col min="15" max="15" width="14.7109375" style="0" customWidth="1"/>
    <col min="16" max="16" width="14.421875" style="0" customWidth="1"/>
    <col min="17" max="17" width="11.28125" style="0" customWidth="1"/>
    <col min="18" max="18" width="15.140625" style="0" customWidth="1"/>
    <col min="19" max="19" width="13.57421875" style="0" customWidth="1"/>
    <col min="20" max="20" width="13.421875" style="0" customWidth="1"/>
    <col min="21" max="21" width="16.28125" style="0" customWidth="1"/>
  </cols>
  <sheetData>
    <row r="1" spans="1:21" ht="18">
      <c r="A1" s="262" t="s">
        <v>1262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8">
      <c r="A2" s="263" t="s">
        <v>1058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ht="18" customHeight="1">
      <c r="A3" s="358" t="s">
        <v>511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</row>
    <row r="4" spans="1:21" ht="18">
      <c r="A4" s="359" t="s">
        <v>512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44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3" t="s">
        <v>24</v>
      </c>
      <c r="B7" s="273" t="s">
        <v>185</v>
      </c>
      <c r="C7" s="274" t="s">
        <v>25</v>
      </c>
      <c r="D7" s="274" t="s">
        <v>853</v>
      </c>
      <c r="E7" s="325" t="s">
        <v>26</v>
      </c>
      <c r="F7" s="325"/>
      <c r="G7" s="325"/>
      <c r="H7" s="325"/>
      <c r="I7" s="325"/>
      <c r="J7" s="325"/>
      <c r="K7" s="325"/>
      <c r="L7" s="325"/>
      <c r="M7" s="274" t="s">
        <v>1049</v>
      </c>
      <c r="N7" s="325" t="s">
        <v>1047</v>
      </c>
      <c r="O7" s="325"/>
      <c r="P7" s="325"/>
      <c r="Q7" s="325"/>
      <c r="R7" s="325"/>
      <c r="S7" s="325"/>
      <c r="T7" s="325"/>
      <c r="U7" s="325"/>
    </row>
    <row r="8" spans="1:21" ht="12.75" customHeight="1">
      <c r="A8" s="273"/>
      <c r="B8" s="273"/>
      <c r="C8" s="274"/>
      <c r="D8" s="274"/>
      <c r="E8" s="267" t="s">
        <v>27</v>
      </c>
      <c r="F8" s="267"/>
      <c r="G8" s="267"/>
      <c r="H8" s="267"/>
      <c r="I8" s="267"/>
      <c r="J8" s="267" t="s">
        <v>28</v>
      </c>
      <c r="K8" s="267"/>
      <c r="L8" s="267"/>
      <c r="M8" s="274"/>
      <c r="N8" s="267" t="s">
        <v>27</v>
      </c>
      <c r="O8" s="267"/>
      <c r="P8" s="267"/>
      <c r="Q8" s="267"/>
      <c r="R8" s="267"/>
      <c r="S8" s="267" t="s">
        <v>28</v>
      </c>
      <c r="T8" s="267"/>
      <c r="U8" s="267"/>
    </row>
    <row r="9" spans="1:21" ht="87" customHeight="1">
      <c r="A9" s="273"/>
      <c r="B9" s="273"/>
      <c r="C9" s="274"/>
      <c r="D9" s="27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s="156" customFormat="1" ht="18">
      <c r="A10" s="142" t="s">
        <v>92</v>
      </c>
      <c r="B10" s="142"/>
      <c r="C10" s="143" t="s">
        <v>40</v>
      </c>
      <c r="D10" s="25">
        <f aca="true" t="shared" si="0" ref="D10:D20">SUM(E10:L10)</f>
        <v>45000000</v>
      </c>
      <c r="E10" s="144">
        <f>SUM(E11:E14)</f>
        <v>0</v>
      </c>
      <c r="F10" s="144">
        <f aca="true" t="shared" si="1" ref="F10:L10">SUM(F11:F14)</f>
        <v>0</v>
      </c>
      <c r="G10" s="144">
        <f t="shared" si="1"/>
        <v>4000000</v>
      </c>
      <c r="H10" s="144">
        <f t="shared" si="1"/>
        <v>0</v>
      </c>
      <c r="I10" s="144">
        <f t="shared" si="1"/>
        <v>41000000</v>
      </c>
      <c r="J10" s="144">
        <f t="shared" si="1"/>
        <v>0</v>
      </c>
      <c r="K10" s="144">
        <f t="shared" si="1"/>
        <v>0</v>
      </c>
      <c r="L10" s="144">
        <f t="shared" si="1"/>
        <v>0</v>
      </c>
      <c r="M10" s="25">
        <f aca="true" t="shared" si="2" ref="M10:M17">SUM(N10:U10)</f>
        <v>46200000</v>
      </c>
      <c r="N10" s="144">
        <f>SUM(N11:N14)</f>
        <v>0</v>
      </c>
      <c r="O10" s="144">
        <f aca="true" t="shared" si="3" ref="O10:U10">SUM(O11:O14)</f>
        <v>0</v>
      </c>
      <c r="P10" s="144">
        <f t="shared" si="3"/>
        <v>4000000</v>
      </c>
      <c r="Q10" s="144">
        <f t="shared" si="3"/>
        <v>0</v>
      </c>
      <c r="R10" s="144">
        <f t="shared" si="3"/>
        <v>42200000</v>
      </c>
      <c r="S10" s="144">
        <f t="shared" si="3"/>
        <v>0</v>
      </c>
      <c r="T10" s="144">
        <f t="shared" si="3"/>
        <v>0</v>
      </c>
      <c r="U10" s="144">
        <f t="shared" si="3"/>
        <v>0</v>
      </c>
    </row>
    <row r="11" spans="1:21" ht="60">
      <c r="A11" s="12"/>
      <c r="B11" s="12" t="s">
        <v>513</v>
      </c>
      <c r="C11" s="19" t="s">
        <v>514</v>
      </c>
      <c r="D11" s="111">
        <f t="shared" si="0"/>
        <v>41000000</v>
      </c>
      <c r="E11" s="112">
        <v>0</v>
      </c>
      <c r="F11" s="112">
        <v>0</v>
      </c>
      <c r="G11" s="112">
        <v>0</v>
      </c>
      <c r="H11" s="112">
        <v>0</v>
      </c>
      <c r="I11" s="112">
        <v>41000000</v>
      </c>
      <c r="J11" s="112">
        <v>0</v>
      </c>
      <c r="K11" s="112">
        <v>0</v>
      </c>
      <c r="L11" s="112">
        <v>0</v>
      </c>
      <c r="M11" s="111">
        <f t="shared" si="2"/>
        <v>41000000</v>
      </c>
      <c r="N11" s="112">
        <v>0</v>
      </c>
      <c r="O11" s="112">
        <v>0</v>
      </c>
      <c r="P11" s="112">
        <v>0</v>
      </c>
      <c r="Q11" s="112">
        <v>0</v>
      </c>
      <c r="R11" s="112">
        <v>41000000</v>
      </c>
      <c r="S11" s="112">
        <v>0</v>
      </c>
      <c r="T11" s="112">
        <v>0</v>
      </c>
      <c r="U11" s="112">
        <v>0</v>
      </c>
    </row>
    <row r="12" spans="1:21" ht="105">
      <c r="A12" s="12"/>
      <c r="B12" s="12" t="s">
        <v>999</v>
      </c>
      <c r="C12" s="19" t="s">
        <v>517</v>
      </c>
      <c r="D12" s="111">
        <f t="shared" si="0"/>
        <v>1000000</v>
      </c>
      <c r="E12" s="112">
        <v>0</v>
      </c>
      <c r="F12" s="112">
        <v>0</v>
      </c>
      <c r="G12" s="112">
        <v>1000000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1">
        <f t="shared" si="2"/>
        <v>1000000</v>
      </c>
      <c r="N12" s="112">
        <v>0</v>
      </c>
      <c r="O12" s="112">
        <v>0</v>
      </c>
      <c r="P12" s="112">
        <v>1000000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</row>
    <row r="13" spans="1:21" ht="30">
      <c r="A13" s="12"/>
      <c r="B13" s="12" t="s">
        <v>516</v>
      </c>
      <c r="C13" s="19" t="s">
        <v>518</v>
      </c>
      <c r="D13" s="111">
        <f t="shared" si="0"/>
        <v>3000000</v>
      </c>
      <c r="E13" s="112">
        <v>0</v>
      </c>
      <c r="F13" s="112">
        <v>0</v>
      </c>
      <c r="G13" s="112">
        <v>3000000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1">
        <f t="shared" si="2"/>
        <v>3000000</v>
      </c>
      <c r="N13" s="112">
        <v>0</v>
      </c>
      <c r="O13" s="112">
        <v>0</v>
      </c>
      <c r="P13" s="112">
        <v>3000000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</row>
    <row r="14" spans="1:21" ht="30">
      <c r="A14" s="12"/>
      <c r="B14" s="12" t="s">
        <v>1219</v>
      </c>
      <c r="C14" s="19" t="s">
        <v>1220</v>
      </c>
      <c r="D14" s="111">
        <f t="shared" si="0"/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1">
        <f t="shared" si="2"/>
        <v>1200000</v>
      </c>
      <c r="N14" s="112">
        <v>0</v>
      </c>
      <c r="O14" s="112">
        <v>0</v>
      </c>
      <c r="P14" s="112">
        <v>0</v>
      </c>
      <c r="Q14" s="112">
        <v>0</v>
      </c>
      <c r="R14" s="112">
        <v>1200000</v>
      </c>
      <c r="S14" s="112">
        <v>0</v>
      </c>
      <c r="T14" s="112">
        <v>0</v>
      </c>
      <c r="U14" s="112">
        <v>0</v>
      </c>
    </row>
    <row r="15" spans="1:21" s="156" customFormat="1" ht="18">
      <c r="A15" s="142" t="s">
        <v>93</v>
      </c>
      <c r="B15" s="142"/>
      <c r="C15" s="143" t="s">
        <v>42</v>
      </c>
      <c r="D15" s="25">
        <f t="shared" si="0"/>
        <v>12700000</v>
      </c>
      <c r="E15" s="144">
        <f aca="true" t="shared" si="4" ref="E15:L15">SUM(E16:E18)</f>
        <v>0</v>
      </c>
      <c r="F15" s="144">
        <f t="shared" si="4"/>
        <v>7200000</v>
      </c>
      <c r="G15" s="144">
        <f t="shared" si="4"/>
        <v>0</v>
      </c>
      <c r="H15" s="144">
        <f t="shared" si="4"/>
        <v>0</v>
      </c>
      <c r="I15" s="144">
        <f t="shared" si="4"/>
        <v>5500000</v>
      </c>
      <c r="J15" s="144">
        <f t="shared" si="4"/>
        <v>0</v>
      </c>
      <c r="K15" s="144">
        <f t="shared" si="4"/>
        <v>0</v>
      </c>
      <c r="L15" s="144">
        <f t="shared" si="4"/>
        <v>0</v>
      </c>
      <c r="M15" s="25">
        <f t="shared" si="2"/>
        <v>12700000</v>
      </c>
      <c r="N15" s="144">
        <f aca="true" t="shared" si="5" ref="N15:U15">SUM(N16:N18)</f>
        <v>0</v>
      </c>
      <c r="O15" s="144">
        <f>SUM(O16:O18)</f>
        <v>0</v>
      </c>
      <c r="P15" s="144">
        <f t="shared" si="5"/>
        <v>0</v>
      </c>
      <c r="Q15" s="144">
        <f t="shared" si="5"/>
        <v>0</v>
      </c>
      <c r="R15" s="144">
        <f t="shared" si="5"/>
        <v>12700000</v>
      </c>
      <c r="S15" s="144">
        <f t="shared" si="5"/>
        <v>0</v>
      </c>
      <c r="T15" s="144">
        <f t="shared" si="5"/>
        <v>0</v>
      </c>
      <c r="U15" s="144">
        <f t="shared" si="5"/>
        <v>0</v>
      </c>
    </row>
    <row r="16" spans="1:21" ht="45">
      <c r="A16" s="12"/>
      <c r="B16" s="12" t="s">
        <v>519</v>
      </c>
      <c r="C16" s="19" t="s">
        <v>520</v>
      </c>
      <c r="D16" s="111">
        <f t="shared" si="0"/>
        <v>7200000</v>
      </c>
      <c r="E16" s="112">
        <v>0</v>
      </c>
      <c r="F16" s="112">
        <v>7200000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1">
        <f t="shared" si="2"/>
        <v>7200000</v>
      </c>
      <c r="N16" s="112">
        <v>0</v>
      </c>
      <c r="O16" s="112">
        <v>0</v>
      </c>
      <c r="P16" s="112">
        <v>0</v>
      </c>
      <c r="Q16" s="112">
        <v>0</v>
      </c>
      <c r="R16" s="112">
        <v>7200000</v>
      </c>
      <c r="S16" s="112">
        <v>0</v>
      </c>
      <c r="T16" s="112">
        <v>0</v>
      </c>
      <c r="U16" s="112">
        <v>0</v>
      </c>
    </row>
    <row r="17" spans="1:21" ht="90">
      <c r="A17" s="12"/>
      <c r="B17" s="12" t="s">
        <v>521</v>
      </c>
      <c r="C17" s="157" t="s">
        <v>970</v>
      </c>
      <c r="D17" s="111">
        <f t="shared" si="0"/>
        <v>500000</v>
      </c>
      <c r="E17" s="112">
        <v>0</v>
      </c>
      <c r="F17" s="112">
        <v>0</v>
      </c>
      <c r="G17" s="112">
        <v>0</v>
      </c>
      <c r="H17" s="112">
        <v>0</v>
      </c>
      <c r="I17" s="112">
        <v>500000</v>
      </c>
      <c r="J17" s="112">
        <v>0</v>
      </c>
      <c r="K17" s="112">
        <v>0</v>
      </c>
      <c r="L17" s="112">
        <v>0</v>
      </c>
      <c r="M17" s="111">
        <f t="shared" si="2"/>
        <v>500000</v>
      </c>
      <c r="N17" s="112">
        <v>0</v>
      </c>
      <c r="O17" s="112">
        <v>0</v>
      </c>
      <c r="P17" s="112">
        <v>0</v>
      </c>
      <c r="Q17" s="112">
        <v>0</v>
      </c>
      <c r="R17" s="112">
        <v>500000</v>
      </c>
      <c r="S17" s="112">
        <v>0</v>
      </c>
      <c r="T17" s="112">
        <v>0</v>
      </c>
      <c r="U17" s="112">
        <v>0</v>
      </c>
    </row>
    <row r="18" spans="1:21" ht="75">
      <c r="A18" s="12"/>
      <c r="B18" s="12" t="s">
        <v>998</v>
      </c>
      <c r="C18" s="19" t="s">
        <v>515</v>
      </c>
      <c r="D18" s="111">
        <f>SUM(E18:L18)</f>
        <v>5000000</v>
      </c>
      <c r="E18" s="112">
        <v>0</v>
      </c>
      <c r="F18" s="112">
        <v>0</v>
      </c>
      <c r="G18" s="112">
        <v>0</v>
      </c>
      <c r="H18" s="112">
        <v>0</v>
      </c>
      <c r="I18" s="112">
        <v>5000000</v>
      </c>
      <c r="J18" s="112">
        <v>0</v>
      </c>
      <c r="K18" s="112">
        <v>0</v>
      </c>
      <c r="L18" s="112">
        <v>0</v>
      </c>
      <c r="M18" s="111">
        <f>SUM(N18:U18)</f>
        <v>5000000</v>
      </c>
      <c r="N18" s="112">
        <v>0</v>
      </c>
      <c r="O18" s="112">
        <v>0</v>
      </c>
      <c r="P18" s="112">
        <v>0</v>
      </c>
      <c r="Q18" s="112">
        <v>0</v>
      </c>
      <c r="R18" s="112">
        <v>5000000</v>
      </c>
      <c r="S18" s="112">
        <v>0</v>
      </c>
      <c r="T18" s="112">
        <v>0</v>
      </c>
      <c r="U18" s="112">
        <v>0</v>
      </c>
    </row>
    <row r="19" spans="1:21" s="156" customFormat="1" ht="31.5">
      <c r="A19" s="142" t="s">
        <v>94</v>
      </c>
      <c r="B19" s="142"/>
      <c r="C19" s="143" t="s">
        <v>44</v>
      </c>
      <c r="D19" s="25">
        <f t="shared" si="0"/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25">
        <v>0</v>
      </c>
      <c r="M19" s="25">
        <f>SUM(N19:U19)</f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25">
        <v>0</v>
      </c>
    </row>
    <row r="20" spans="1:21" ht="33.75" customHeight="1">
      <c r="A20" s="326" t="s">
        <v>326</v>
      </c>
      <c r="B20" s="326"/>
      <c r="C20" s="326"/>
      <c r="D20" s="25">
        <f t="shared" si="0"/>
        <v>57700000</v>
      </c>
      <c r="E20" s="144">
        <f aca="true" t="shared" si="6" ref="E20:L20">E10+E15+E19</f>
        <v>0</v>
      </c>
      <c r="F20" s="144">
        <f t="shared" si="6"/>
        <v>7200000</v>
      </c>
      <c r="G20" s="144">
        <f t="shared" si="6"/>
        <v>4000000</v>
      </c>
      <c r="H20" s="144">
        <f t="shared" si="6"/>
        <v>0</v>
      </c>
      <c r="I20" s="144">
        <f t="shared" si="6"/>
        <v>46500000</v>
      </c>
      <c r="J20" s="144">
        <f t="shared" si="6"/>
        <v>0</v>
      </c>
      <c r="K20" s="144">
        <f t="shared" si="6"/>
        <v>0</v>
      </c>
      <c r="L20" s="144">
        <f t="shared" si="6"/>
        <v>0</v>
      </c>
      <c r="M20" s="25">
        <f>SUM(N20:U20)</f>
        <v>58900000</v>
      </c>
      <c r="N20" s="144">
        <f aca="true" t="shared" si="7" ref="N20:U20">N10+N15+N19</f>
        <v>0</v>
      </c>
      <c r="O20" s="144">
        <f t="shared" si="7"/>
        <v>0</v>
      </c>
      <c r="P20" s="144">
        <f t="shared" si="7"/>
        <v>4000000</v>
      </c>
      <c r="Q20" s="144">
        <f t="shared" si="7"/>
        <v>0</v>
      </c>
      <c r="R20" s="144">
        <f t="shared" si="7"/>
        <v>54900000</v>
      </c>
      <c r="S20" s="144">
        <f t="shared" si="7"/>
        <v>0</v>
      </c>
      <c r="T20" s="144">
        <f t="shared" si="7"/>
        <v>0</v>
      </c>
      <c r="U20" s="144">
        <f t="shared" si="7"/>
        <v>0</v>
      </c>
    </row>
    <row r="23" spans="11:12" ht="12.75">
      <c r="K23" s="34"/>
      <c r="L23" s="34" t="s">
        <v>510</v>
      </c>
    </row>
  </sheetData>
  <sheetProtection selectLockedCells="1" selectUnlockedCells="1"/>
  <mergeCells count="16">
    <mergeCell ref="A20:C20"/>
    <mergeCell ref="E8:I8"/>
    <mergeCell ref="J8:L8"/>
    <mergeCell ref="N7:U7"/>
    <mergeCell ref="N8:R8"/>
    <mergeCell ref="S8:U8"/>
    <mergeCell ref="A7:A9"/>
    <mergeCell ref="M7:M9"/>
    <mergeCell ref="B7:B9"/>
    <mergeCell ref="A1:U1"/>
    <mergeCell ref="A2:U2"/>
    <mergeCell ref="A3:U3"/>
    <mergeCell ref="A4:U4"/>
    <mergeCell ref="C7:C9"/>
    <mergeCell ref="D7:D9"/>
    <mergeCell ref="E7:L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7"/>
  <sheetViews>
    <sheetView view="pageBreakPreview" zoomScale="80" zoomScaleNormal="80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U1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9.421875" style="0" customWidth="1"/>
    <col min="4" max="5" width="14.57421875" style="0" customWidth="1"/>
    <col min="6" max="6" width="15.57421875" style="0" customWidth="1"/>
    <col min="7" max="12" width="14.57421875" style="0" customWidth="1"/>
    <col min="13" max="13" width="16.421875" style="0" customWidth="1"/>
    <col min="14" max="14" width="16.7109375" style="0" customWidth="1"/>
    <col min="15" max="15" width="17.140625" style="0" customWidth="1"/>
    <col min="16" max="16" width="14.140625" style="0" customWidth="1"/>
    <col min="17" max="17" width="11.00390625" style="0" customWidth="1"/>
    <col min="18" max="18" width="14.8515625" style="0" customWidth="1"/>
    <col min="19" max="19" width="13.140625" style="0" customWidth="1"/>
    <col min="20" max="20" width="13.421875" style="0" customWidth="1"/>
    <col min="21" max="21" width="15.57421875" style="0" customWidth="1"/>
  </cols>
  <sheetData>
    <row r="1" spans="1:21" ht="18">
      <c r="A1" s="262" t="s">
        <v>1263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8">
      <c r="A2" s="263" t="s">
        <v>1059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ht="18" customHeight="1">
      <c r="A3" s="358" t="s">
        <v>522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</row>
    <row r="4" spans="1:21" ht="18">
      <c r="A4" s="359" t="s">
        <v>523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44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3" t="s">
        <v>24</v>
      </c>
      <c r="B7" s="273" t="s">
        <v>185</v>
      </c>
      <c r="C7" s="274" t="s">
        <v>25</v>
      </c>
      <c r="D7" s="274" t="s">
        <v>853</v>
      </c>
      <c r="E7" s="325" t="s">
        <v>26</v>
      </c>
      <c r="F7" s="325"/>
      <c r="G7" s="325"/>
      <c r="H7" s="325"/>
      <c r="I7" s="325"/>
      <c r="J7" s="325"/>
      <c r="K7" s="325"/>
      <c r="L7" s="325"/>
      <c r="M7" s="274" t="s">
        <v>1049</v>
      </c>
      <c r="N7" s="325" t="s">
        <v>1047</v>
      </c>
      <c r="O7" s="325"/>
      <c r="P7" s="325"/>
      <c r="Q7" s="325"/>
      <c r="R7" s="325"/>
      <c r="S7" s="325"/>
      <c r="T7" s="325"/>
      <c r="U7" s="325"/>
    </row>
    <row r="8" spans="1:21" ht="12.75" customHeight="1">
      <c r="A8" s="273"/>
      <c r="B8" s="273"/>
      <c r="C8" s="274"/>
      <c r="D8" s="274"/>
      <c r="E8" s="267" t="s">
        <v>27</v>
      </c>
      <c r="F8" s="267"/>
      <c r="G8" s="267"/>
      <c r="H8" s="267"/>
      <c r="I8" s="267"/>
      <c r="J8" s="267" t="s">
        <v>28</v>
      </c>
      <c r="K8" s="267"/>
      <c r="L8" s="267"/>
      <c r="M8" s="274"/>
      <c r="N8" s="267" t="s">
        <v>27</v>
      </c>
      <c r="O8" s="267"/>
      <c r="P8" s="267"/>
      <c r="Q8" s="267"/>
      <c r="R8" s="267"/>
      <c r="S8" s="267" t="s">
        <v>28</v>
      </c>
      <c r="T8" s="267"/>
      <c r="U8" s="267"/>
    </row>
    <row r="9" spans="1:21" ht="76.5" customHeight="1">
      <c r="A9" s="273"/>
      <c r="B9" s="273"/>
      <c r="C9" s="274"/>
      <c r="D9" s="27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97</v>
      </c>
      <c r="B10" s="12"/>
      <c r="C10" s="99" t="s">
        <v>40</v>
      </c>
      <c r="D10" s="25">
        <f aca="true" t="shared" si="0" ref="D10:D23">SUM(E10:L10)</f>
        <v>13100000</v>
      </c>
      <c r="E10" s="144">
        <f>SUM(E11:E15)</f>
        <v>0</v>
      </c>
      <c r="F10" s="144">
        <f aca="true" t="shared" si="1" ref="F10:L10">SUM(F11:F15)</f>
        <v>0</v>
      </c>
      <c r="G10" s="144">
        <f>SUM(G11:G15)</f>
        <v>8100000</v>
      </c>
      <c r="H10" s="144">
        <f t="shared" si="1"/>
        <v>0</v>
      </c>
      <c r="I10" s="144">
        <f>SUM(I11:I15)</f>
        <v>5000000</v>
      </c>
      <c r="J10" s="144">
        <f t="shared" si="1"/>
        <v>0</v>
      </c>
      <c r="K10" s="144">
        <f t="shared" si="1"/>
        <v>0</v>
      </c>
      <c r="L10" s="144">
        <f t="shared" si="1"/>
        <v>0</v>
      </c>
      <c r="M10" s="25">
        <f aca="true" t="shared" si="2" ref="M10:M15">SUM(N10:U10)</f>
        <v>16713340</v>
      </c>
      <c r="N10" s="144">
        <f aca="true" t="shared" si="3" ref="N10:U10">SUM(N11:N15)</f>
        <v>300000</v>
      </c>
      <c r="O10" s="144">
        <f t="shared" si="3"/>
        <v>92844</v>
      </c>
      <c r="P10" s="144">
        <f t="shared" si="3"/>
        <v>5598496</v>
      </c>
      <c r="Q10" s="144">
        <f t="shared" si="3"/>
        <v>0</v>
      </c>
      <c r="R10" s="144">
        <f t="shared" si="3"/>
        <v>10422000</v>
      </c>
      <c r="S10" s="144">
        <f t="shared" si="3"/>
        <v>0</v>
      </c>
      <c r="T10" s="144">
        <f t="shared" si="3"/>
        <v>0</v>
      </c>
      <c r="U10" s="144">
        <f t="shared" si="3"/>
        <v>300000</v>
      </c>
    </row>
    <row r="11" spans="1:21" ht="18">
      <c r="A11" s="12"/>
      <c r="B11" s="12" t="s">
        <v>524</v>
      </c>
      <c r="C11" s="19" t="s">
        <v>525</v>
      </c>
      <c r="D11" s="111">
        <f t="shared" si="0"/>
        <v>6000000</v>
      </c>
      <c r="E11" s="112">
        <v>0</v>
      </c>
      <c r="F11" s="112">
        <v>0</v>
      </c>
      <c r="G11" s="112">
        <v>6000000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1">
        <f t="shared" si="2"/>
        <v>4371000</v>
      </c>
      <c r="N11" s="112">
        <v>0</v>
      </c>
      <c r="O11" s="112">
        <v>0</v>
      </c>
      <c r="P11" s="112">
        <v>3371000</v>
      </c>
      <c r="Q11" s="112">
        <v>0</v>
      </c>
      <c r="R11" s="112">
        <v>1000000</v>
      </c>
      <c r="S11" s="112">
        <v>0</v>
      </c>
      <c r="T11" s="112">
        <v>0</v>
      </c>
      <c r="U11" s="112">
        <v>0</v>
      </c>
    </row>
    <row r="12" spans="1:21" ht="30">
      <c r="A12" s="12"/>
      <c r="B12" s="12" t="s">
        <v>526</v>
      </c>
      <c r="C12" s="19" t="s">
        <v>527</v>
      </c>
      <c r="D12" s="111">
        <f t="shared" si="0"/>
        <v>500000</v>
      </c>
      <c r="E12" s="112">
        <v>0</v>
      </c>
      <c r="F12" s="112">
        <v>0</v>
      </c>
      <c r="G12" s="112">
        <v>500000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1">
        <f t="shared" si="2"/>
        <v>528600</v>
      </c>
      <c r="N12" s="112">
        <v>0</v>
      </c>
      <c r="O12" s="112">
        <v>0</v>
      </c>
      <c r="P12" s="112">
        <v>528600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</row>
    <row r="13" spans="1:21" ht="30">
      <c r="A13" s="12"/>
      <c r="B13" s="12" t="s">
        <v>528</v>
      </c>
      <c r="C13" s="19" t="s">
        <v>529</v>
      </c>
      <c r="D13" s="111">
        <f t="shared" si="0"/>
        <v>1600000</v>
      </c>
      <c r="E13" s="112">
        <v>0</v>
      </c>
      <c r="F13" s="112">
        <v>0</v>
      </c>
      <c r="G13" s="112">
        <v>1600000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1">
        <f t="shared" si="2"/>
        <v>5441740</v>
      </c>
      <c r="N13" s="112">
        <v>300000</v>
      </c>
      <c r="O13" s="112">
        <v>92844</v>
      </c>
      <c r="P13" s="112">
        <v>1698896</v>
      </c>
      <c r="Q13" s="112">
        <v>0</v>
      </c>
      <c r="R13" s="112">
        <v>3350000</v>
      </c>
      <c r="S13" s="112">
        <v>0</v>
      </c>
      <c r="T13" s="112">
        <v>0</v>
      </c>
      <c r="U13" s="112">
        <v>0</v>
      </c>
    </row>
    <row r="14" spans="1:21" ht="18">
      <c r="A14" s="12"/>
      <c r="B14" s="12" t="s">
        <v>530</v>
      </c>
      <c r="C14" s="19" t="s">
        <v>531</v>
      </c>
      <c r="D14" s="111">
        <f t="shared" si="0"/>
        <v>2500000</v>
      </c>
      <c r="E14" s="112">
        <v>0</v>
      </c>
      <c r="F14" s="112">
        <v>0</v>
      </c>
      <c r="G14" s="112">
        <v>0</v>
      </c>
      <c r="H14" s="112">
        <v>0</v>
      </c>
      <c r="I14" s="112">
        <v>2500000</v>
      </c>
      <c r="J14" s="112">
        <v>0</v>
      </c>
      <c r="K14" s="112">
        <v>0</v>
      </c>
      <c r="L14" s="112">
        <v>0</v>
      </c>
      <c r="M14" s="111">
        <f t="shared" si="2"/>
        <v>3722000</v>
      </c>
      <c r="N14" s="112">
        <v>0</v>
      </c>
      <c r="O14" s="112">
        <v>0</v>
      </c>
      <c r="P14" s="112">
        <v>0</v>
      </c>
      <c r="Q14" s="112">
        <v>0</v>
      </c>
      <c r="R14" s="112">
        <v>3422000</v>
      </c>
      <c r="S14" s="112">
        <v>0</v>
      </c>
      <c r="T14" s="112">
        <v>0</v>
      </c>
      <c r="U14" s="112">
        <v>300000</v>
      </c>
    </row>
    <row r="15" spans="1:21" ht="18">
      <c r="A15" s="12"/>
      <c r="B15" s="12" t="s">
        <v>532</v>
      </c>
      <c r="C15" s="19" t="s">
        <v>1033</v>
      </c>
      <c r="D15" s="111">
        <f t="shared" si="0"/>
        <v>2500000</v>
      </c>
      <c r="E15" s="112">
        <v>0</v>
      </c>
      <c r="F15" s="112">
        <v>0</v>
      </c>
      <c r="G15" s="112">
        <v>0</v>
      </c>
      <c r="H15" s="112">
        <v>0</v>
      </c>
      <c r="I15" s="112">
        <v>2500000</v>
      </c>
      <c r="J15" s="112">
        <v>0</v>
      </c>
      <c r="K15" s="112">
        <v>0</v>
      </c>
      <c r="L15" s="112">
        <v>0</v>
      </c>
      <c r="M15" s="111">
        <f t="shared" si="2"/>
        <v>2650000</v>
      </c>
      <c r="N15" s="112">
        <v>0</v>
      </c>
      <c r="O15" s="112">
        <v>0</v>
      </c>
      <c r="P15" s="112">
        <v>0</v>
      </c>
      <c r="Q15" s="112">
        <v>0</v>
      </c>
      <c r="R15" s="112">
        <v>2650000</v>
      </c>
      <c r="S15" s="112">
        <v>0</v>
      </c>
      <c r="T15" s="112">
        <v>0</v>
      </c>
      <c r="U15" s="112">
        <v>0</v>
      </c>
    </row>
    <row r="16" spans="1:21" ht="18">
      <c r="A16" s="12" t="s">
        <v>98</v>
      </c>
      <c r="B16" s="12"/>
      <c r="C16" s="99" t="s">
        <v>42</v>
      </c>
      <c r="D16" s="25">
        <f>SUM(E16:L16)</f>
        <v>25400000</v>
      </c>
      <c r="E16" s="144">
        <f>SUM(E17:E21)</f>
        <v>10292000</v>
      </c>
      <c r="F16" s="144">
        <f aca="true" t="shared" si="4" ref="F16:L16">SUM(F17:F21)</f>
        <v>2008000</v>
      </c>
      <c r="G16" s="144">
        <f t="shared" si="4"/>
        <v>5600000</v>
      </c>
      <c r="H16" s="144">
        <f t="shared" si="4"/>
        <v>0</v>
      </c>
      <c r="I16" s="144">
        <f t="shared" si="4"/>
        <v>7500000</v>
      </c>
      <c r="J16" s="144">
        <f t="shared" si="4"/>
        <v>0</v>
      </c>
      <c r="K16" s="144">
        <f t="shared" si="4"/>
        <v>0</v>
      </c>
      <c r="L16" s="144">
        <f t="shared" si="4"/>
        <v>0</v>
      </c>
      <c r="M16" s="25">
        <f aca="true" t="shared" si="5" ref="M16:M23">SUM(N16:U16)</f>
        <v>41125600</v>
      </c>
      <c r="N16" s="144">
        <f>SUM(N17:N21)</f>
        <v>15246000</v>
      </c>
      <c r="O16" s="144">
        <f aca="true" t="shared" si="6" ref="O16:U16">SUM(O17:O21)</f>
        <v>3279600</v>
      </c>
      <c r="P16" s="144">
        <f t="shared" si="6"/>
        <v>12600000</v>
      </c>
      <c r="Q16" s="144">
        <f t="shared" si="6"/>
        <v>0</v>
      </c>
      <c r="R16" s="144">
        <f t="shared" si="6"/>
        <v>10000000</v>
      </c>
      <c r="S16" s="144">
        <f t="shared" si="6"/>
        <v>0</v>
      </c>
      <c r="T16" s="144">
        <f t="shared" si="6"/>
        <v>0</v>
      </c>
      <c r="U16" s="144">
        <f t="shared" si="6"/>
        <v>0</v>
      </c>
    </row>
    <row r="17" spans="1:21" ht="18">
      <c r="A17" s="12"/>
      <c r="B17" s="12" t="s">
        <v>533</v>
      </c>
      <c r="C17" s="19" t="s">
        <v>534</v>
      </c>
      <c r="D17" s="111">
        <f t="shared" si="0"/>
        <v>1500000</v>
      </c>
      <c r="E17" s="112">
        <v>0</v>
      </c>
      <c r="F17" s="112">
        <v>0</v>
      </c>
      <c r="G17" s="112">
        <v>0</v>
      </c>
      <c r="H17" s="112">
        <v>0</v>
      </c>
      <c r="I17" s="112">
        <v>1500000</v>
      </c>
      <c r="J17" s="112">
        <v>0</v>
      </c>
      <c r="K17" s="112">
        <v>0</v>
      </c>
      <c r="L17" s="112">
        <v>0</v>
      </c>
      <c r="M17" s="111">
        <f t="shared" si="5"/>
        <v>1500000</v>
      </c>
      <c r="N17" s="112">
        <v>0</v>
      </c>
      <c r="O17" s="112">
        <v>0</v>
      </c>
      <c r="P17" s="112">
        <v>0</v>
      </c>
      <c r="Q17" s="112">
        <v>0</v>
      </c>
      <c r="R17" s="112">
        <v>1500000</v>
      </c>
      <c r="S17" s="112">
        <v>0</v>
      </c>
      <c r="T17" s="112">
        <v>0</v>
      </c>
      <c r="U17" s="112">
        <v>0</v>
      </c>
    </row>
    <row r="18" spans="1:21" ht="18">
      <c r="A18" s="12"/>
      <c r="B18" s="12" t="s">
        <v>535</v>
      </c>
      <c r="C18" s="19" t="s">
        <v>536</v>
      </c>
      <c r="D18" s="111">
        <f t="shared" si="0"/>
        <v>12300000</v>
      </c>
      <c r="E18" s="112">
        <v>10292000</v>
      </c>
      <c r="F18" s="112">
        <v>2008000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1">
        <f t="shared" si="5"/>
        <v>18525600</v>
      </c>
      <c r="N18" s="112">
        <v>15246000</v>
      </c>
      <c r="O18" s="112">
        <v>3279600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</row>
    <row r="19" spans="1:21" ht="30">
      <c r="A19" s="12"/>
      <c r="B19" s="12" t="s">
        <v>537</v>
      </c>
      <c r="C19" s="19" t="s">
        <v>1246</v>
      </c>
      <c r="D19" s="111">
        <f t="shared" si="0"/>
        <v>5600000</v>
      </c>
      <c r="E19" s="112">
        <v>0</v>
      </c>
      <c r="F19" s="112">
        <v>0</v>
      </c>
      <c r="G19" s="112">
        <v>5600000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1">
        <f t="shared" si="5"/>
        <v>12600000</v>
      </c>
      <c r="N19" s="112">
        <v>0</v>
      </c>
      <c r="O19" s="112">
        <v>0</v>
      </c>
      <c r="P19" s="112">
        <v>12600000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</row>
    <row r="20" spans="1:21" ht="30">
      <c r="A20" s="12"/>
      <c r="B20" s="12" t="s">
        <v>538</v>
      </c>
      <c r="C20" s="19" t="s">
        <v>859</v>
      </c>
      <c r="D20" s="111">
        <f t="shared" si="0"/>
        <v>3000000</v>
      </c>
      <c r="E20" s="112">
        <v>0</v>
      </c>
      <c r="F20" s="112">
        <v>0</v>
      </c>
      <c r="G20" s="112">
        <v>0</v>
      </c>
      <c r="H20" s="112">
        <v>0</v>
      </c>
      <c r="I20" s="112">
        <v>3000000</v>
      </c>
      <c r="J20" s="112">
        <v>0</v>
      </c>
      <c r="K20" s="112">
        <v>0</v>
      </c>
      <c r="L20" s="112">
        <v>0</v>
      </c>
      <c r="M20" s="111">
        <f t="shared" si="5"/>
        <v>3000000</v>
      </c>
      <c r="N20" s="112">
        <v>0</v>
      </c>
      <c r="O20" s="112">
        <v>0</v>
      </c>
      <c r="P20" s="112">
        <v>0</v>
      </c>
      <c r="Q20" s="112">
        <v>0</v>
      </c>
      <c r="R20" s="112">
        <v>3000000</v>
      </c>
      <c r="S20" s="112">
        <v>0</v>
      </c>
      <c r="T20" s="112">
        <v>0</v>
      </c>
      <c r="U20" s="112">
        <v>0</v>
      </c>
    </row>
    <row r="21" spans="1:21" ht="30">
      <c r="A21" s="12"/>
      <c r="B21" s="12" t="s">
        <v>996</v>
      </c>
      <c r="C21" s="19" t="s">
        <v>997</v>
      </c>
      <c r="D21" s="111">
        <f>SUM(E21:L21)</f>
        <v>3000000</v>
      </c>
      <c r="E21" s="112">
        <v>0</v>
      </c>
      <c r="F21" s="112">
        <v>0</v>
      </c>
      <c r="G21" s="112">
        <v>0</v>
      </c>
      <c r="H21" s="112">
        <v>0</v>
      </c>
      <c r="I21" s="112">
        <v>3000000</v>
      </c>
      <c r="J21" s="112">
        <v>0</v>
      </c>
      <c r="K21" s="112">
        <v>0</v>
      </c>
      <c r="L21" s="112">
        <v>0</v>
      </c>
      <c r="M21" s="111">
        <f t="shared" si="5"/>
        <v>5500000</v>
      </c>
      <c r="N21" s="112">
        <v>0</v>
      </c>
      <c r="O21" s="112">
        <v>0</v>
      </c>
      <c r="P21" s="112">
        <v>0</v>
      </c>
      <c r="Q21" s="112">
        <v>0</v>
      </c>
      <c r="R21" s="112">
        <v>5500000</v>
      </c>
      <c r="S21" s="112">
        <v>0</v>
      </c>
      <c r="T21" s="112">
        <v>0</v>
      </c>
      <c r="U21" s="112">
        <v>0</v>
      </c>
    </row>
    <row r="22" spans="1:21" ht="18">
      <c r="A22" s="12" t="s">
        <v>99</v>
      </c>
      <c r="B22" s="12"/>
      <c r="C22" s="99" t="s">
        <v>44</v>
      </c>
      <c r="D22" s="25">
        <f t="shared" si="0"/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25">
        <v>0</v>
      </c>
      <c r="M22" s="25">
        <f t="shared" si="5"/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25">
        <v>0</v>
      </c>
    </row>
    <row r="23" spans="1:21" ht="24.75" customHeight="1">
      <c r="A23" s="326" t="s">
        <v>326</v>
      </c>
      <c r="B23" s="326"/>
      <c r="C23" s="326"/>
      <c r="D23" s="25">
        <f t="shared" si="0"/>
        <v>38500000</v>
      </c>
      <c r="E23" s="144">
        <f aca="true" t="shared" si="7" ref="E23:L23">E10+E16+E22</f>
        <v>10292000</v>
      </c>
      <c r="F23" s="144">
        <f t="shared" si="7"/>
        <v>2008000</v>
      </c>
      <c r="G23" s="144">
        <f t="shared" si="7"/>
        <v>13700000</v>
      </c>
      <c r="H23" s="144">
        <f t="shared" si="7"/>
        <v>0</v>
      </c>
      <c r="I23" s="144">
        <f t="shared" si="7"/>
        <v>12500000</v>
      </c>
      <c r="J23" s="144">
        <f t="shared" si="7"/>
        <v>0</v>
      </c>
      <c r="K23" s="144">
        <f t="shared" si="7"/>
        <v>0</v>
      </c>
      <c r="L23" s="144">
        <f t="shared" si="7"/>
        <v>0</v>
      </c>
      <c r="M23" s="25">
        <f t="shared" si="5"/>
        <v>57838940</v>
      </c>
      <c r="N23" s="144">
        <f aca="true" t="shared" si="8" ref="N23:U23">N10+N16+N22</f>
        <v>15546000</v>
      </c>
      <c r="O23" s="144">
        <f t="shared" si="8"/>
        <v>3372444</v>
      </c>
      <c r="P23" s="144">
        <f t="shared" si="8"/>
        <v>18198496</v>
      </c>
      <c r="Q23" s="144">
        <f t="shared" si="8"/>
        <v>0</v>
      </c>
      <c r="R23" s="144">
        <f t="shared" si="8"/>
        <v>20422000</v>
      </c>
      <c r="S23" s="144">
        <f t="shared" si="8"/>
        <v>0</v>
      </c>
      <c r="T23" s="144">
        <f t="shared" si="8"/>
        <v>0</v>
      </c>
      <c r="U23" s="144">
        <f t="shared" si="8"/>
        <v>300000</v>
      </c>
    </row>
    <row r="25" spans="11:12" s="155" customFormat="1" ht="12.75">
      <c r="K25" s="184"/>
      <c r="L25" s="184"/>
    </row>
    <row r="26" spans="11:12" s="155" customFormat="1" ht="12.75">
      <c r="K26" s="184"/>
      <c r="L26" s="184"/>
    </row>
    <row r="27" spans="11:12" s="155" customFormat="1" ht="12.75">
      <c r="K27" s="184"/>
      <c r="L27" s="184"/>
    </row>
    <row r="28" s="155" customFormat="1" ht="12.75"/>
    <row r="29" s="155" customFormat="1" ht="12.75"/>
    <row r="30" s="155" customFormat="1" ht="12.75"/>
  </sheetData>
  <sheetProtection selectLockedCells="1" selectUnlockedCells="1"/>
  <mergeCells count="16">
    <mergeCell ref="A23:C23"/>
    <mergeCell ref="E8:I8"/>
    <mergeCell ref="J8:L8"/>
    <mergeCell ref="N7:U7"/>
    <mergeCell ref="N8:R8"/>
    <mergeCell ref="S8:U8"/>
    <mergeCell ref="A7:A9"/>
    <mergeCell ref="M7:M9"/>
    <mergeCell ref="B7:B9"/>
    <mergeCell ref="A1:U1"/>
    <mergeCell ref="A2:U2"/>
    <mergeCell ref="A3:U3"/>
    <mergeCell ref="A4:U4"/>
    <mergeCell ref="C7:C9"/>
    <mergeCell ref="D7:D9"/>
    <mergeCell ref="E7:L7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8"/>
  <sheetViews>
    <sheetView view="pageBreakPreview" zoomScale="66" zoomScaleNormal="66" zoomScaleSheetLayoutView="66" zoomScalePageLayoutView="0" workbookViewId="0" topLeftCell="A1">
      <selection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0.8515625" style="0" customWidth="1"/>
    <col min="4" max="4" width="70.00390625" style="0" customWidth="1"/>
    <col min="5" max="5" width="18.7109375" style="0" customWidth="1"/>
    <col min="6" max="8" width="14.57421875" style="0" customWidth="1"/>
    <col min="9" max="9" width="19.421875" style="0" bestFit="1" customWidth="1"/>
    <col min="10" max="13" width="14.57421875" style="0" customWidth="1"/>
    <col min="14" max="14" width="19.140625" style="0" customWidth="1"/>
    <col min="15" max="15" width="13.7109375" style="0" customWidth="1"/>
    <col min="16" max="16" width="14.140625" style="0" customWidth="1"/>
    <col min="17" max="17" width="10.7109375" style="0" customWidth="1"/>
    <col min="18" max="18" width="21.28125" style="0" customWidth="1"/>
    <col min="19" max="19" width="14.57421875" style="0" customWidth="1"/>
    <col min="20" max="20" width="13.7109375" style="0" customWidth="1"/>
    <col min="21" max="21" width="13.00390625" style="0" customWidth="1"/>
    <col min="22" max="22" width="15.7109375" style="0" customWidth="1"/>
  </cols>
  <sheetData>
    <row r="1" spans="1:22" ht="18">
      <c r="A1" s="262" t="s">
        <v>1264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</row>
    <row r="2" spans="1:22" ht="18">
      <c r="A2" s="263" t="s">
        <v>1060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2" ht="18" customHeight="1">
      <c r="A3" s="358" t="s">
        <v>539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</row>
    <row r="4" spans="1:22" ht="18">
      <c r="A4" s="359" t="s">
        <v>540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V5" s="244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6" t="s">
        <v>13</v>
      </c>
      <c r="M6" s="6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6" t="s">
        <v>22</v>
      </c>
      <c r="V6" s="6" t="s">
        <v>181</v>
      </c>
    </row>
    <row r="7" spans="1:22" ht="12.75" customHeight="1">
      <c r="A7" s="273" t="s">
        <v>24</v>
      </c>
      <c r="B7" s="273" t="s">
        <v>185</v>
      </c>
      <c r="C7" s="273" t="s">
        <v>366</v>
      </c>
      <c r="D7" s="274" t="s">
        <v>25</v>
      </c>
      <c r="E7" s="274" t="s">
        <v>853</v>
      </c>
      <c r="F7" s="325" t="s">
        <v>26</v>
      </c>
      <c r="G7" s="325"/>
      <c r="H7" s="325"/>
      <c r="I7" s="325"/>
      <c r="J7" s="325"/>
      <c r="K7" s="325"/>
      <c r="L7" s="325"/>
      <c r="M7" s="325"/>
      <c r="N7" s="274" t="s">
        <v>1049</v>
      </c>
      <c r="O7" s="325" t="s">
        <v>1047</v>
      </c>
      <c r="P7" s="325"/>
      <c r="Q7" s="325"/>
      <c r="R7" s="325"/>
      <c r="S7" s="325"/>
      <c r="T7" s="325"/>
      <c r="U7" s="325"/>
      <c r="V7" s="325"/>
    </row>
    <row r="8" spans="1:22" ht="12.75" customHeight="1">
      <c r="A8" s="273"/>
      <c r="B8" s="273"/>
      <c r="C8" s="273"/>
      <c r="D8" s="274"/>
      <c r="E8" s="274"/>
      <c r="F8" s="267" t="s">
        <v>27</v>
      </c>
      <c r="G8" s="267"/>
      <c r="H8" s="267"/>
      <c r="I8" s="267"/>
      <c r="J8" s="267"/>
      <c r="K8" s="267" t="s">
        <v>28</v>
      </c>
      <c r="L8" s="267"/>
      <c r="M8" s="267"/>
      <c r="N8" s="274"/>
      <c r="O8" s="267" t="s">
        <v>27</v>
      </c>
      <c r="P8" s="267"/>
      <c r="Q8" s="267"/>
      <c r="R8" s="267"/>
      <c r="S8" s="267"/>
      <c r="T8" s="267" t="s">
        <v>28</v>
      </c>
      <c r="U8" s="267"/>
      <c r="V8" s="267"/>
    </row>
    <row r="9" spans="1:22" ht="93" customHeight="1">
      <c r="A9" s="273"/>
      <c r="B9" s="273"/>
      <c r="C9" s="273"/>
      <c r="D9" s="274"/>
      <c r="E9" s="274"/>
      <c r="F9" s="7" t="s">
        <v>29</v>
      </c>
      <c r="G9" s="7" t="s">
        <v>30</v>
      </c>
      <c r="H9" s="7" t="s">
        <v>31</v>
      </c>
      <c r="I9" s="7" t="s">
        <v>32</v>
      </c>
      <c r="J9" s="7" t="s">
        <v>33</v>
      </c>
      <c r="K9" s="7" t="s">
        <v>34</v>
      </c>
      <c r="L9" s="7" t="s">
        <v>35</v>
      </c>
      <c r="M9" s="7" t="s">
        <v>36</v>
      </c>
      <c r="N9" s="274"/>
      <c r="O9" s="7" t="s">
        <v>29</v>
      </c>
      <c r="P9" s="7" t="s">
        <v>30</v>
      </c>
      <c r="Q9" s="7" t="s">
        <v>31</v>
      </c>
      <c r="R9" s="7" t="s">
        <v>32</v>
      </c>
      <c r="S9" s="7" t="s">
        <v>33</v>
      </c>
      <c r="T9" s="7" t="s">
        <v>34</v>
      </c>
      <c r="U9" s="7" t="s">
        <v>35</v>
      </c>
      <c r="V9" s="7" t="s">
        <v>36</v>
      </c>
    </row>
    <row r="10" spans="1:22" s="156" customFormat="1" ht="18">
      <c r="A10" s="142" t="s">
        <v>102</v>
      </c>
      <c r="B10" s="142"/>
      <c r="C10" s="142"/>
      <c r="D10" s="143" t="s">
        <v>40</v>
      </c>
      <c r="E10" s="25">
        <f aca="true" t="shared" si="0" ref="E10:E28">SUM(F10:M10)</f>
        <v>176000000</v>
      </c>
      <c r="F10" s="144">
        <f aca="true" t="shared" si="1" ref="F10:M10">F11+F16+F21+F22</f>
        <v>0</v>
      </c>
      <c r="G10" s="144">
        <f t="shared" si="1"/>
        <v>0</v>
      </c>
      <c r="H10" s="144">
        <f t="shared" si="1"/>
        <v>0</v>
      </c>
      <c r="I10" s="144">
        <f t="shared" si="1"/>
        <v>176000000</v>
      </c>
      <c r="J10" s="144">
        <f t="shared" si="1"/>
        <v>0</v>
      </c>
      <c r="K10" s="144">
        <f t="shared" si="1"/>
        <v>0</v>
      </c>
      <c r="L10" s="144">
        <f t="shared" si="1"/>
        <v>0</v>
      </c>
      <c r="M10" s="144">
        <f t="shared" si="1"/>
        <v>0</v>
      </c>
      <c r="N10" s="25">
        <f aca="true" t="shared" si="2" ref="N10:N28">SUM(O10:V10)</f>
        <v>172671818</v>
      </c>
      <c r="O10" s="144">
        <f aca="true" t="shared" si="3" ref="O10:V10">O11+O16+O21+O22</f>
        <v>0</v>
      </c>
      <c r="P10" s="144">
        <f t="shared" si="3"/>
        <v>0</v>
      </c>
      <c r="Q10" s="144">
        <f>Q11+Q16+Q21+Q22</f>
        <v>92275</v>
      </c>
      <c r="R10" s="144">
        <f t="shared" si="3"/>
        <v>172579543</v>
      </c>
      <c r="S10" s="144">
        <f t="shared" si="3"/>
        <v>0</v>
      </c>
      <c r="T10" s="144">
        <f t="shared" si="3"/>
        <v>0</v>
      </c>
      <c r="U10" s="144">
        <f t="shared" si="3"/>
        <v>0</v>
      </c>
      <c r="V10" s="144">
        <f t="shared" si="3"/>
        <v>0</v>
      </c>
    </row>
    <row r="11" spans="1:22" s="156" customFormat="1" ht="18">
      <c r="A11" s="142"/>
      <c r="B11" s="142" t="s">
        <v>541</v>
      </c>
      <c r="C11" s="142"/>
      <c r="D11" s="153" t="s">
        <v>542</v>
      </c>
      <c r="E11" s="25">
        <f t="shared" si="0"/>
        <v>130000000</v>
      </c>
      <c r="F11" s="158">
        <f aca="true" t="shared" si="4" ref="F11:M11">SUM(F12:F15)</f>
        <v>0</v>
      </c>
      <c r="G11" s="158">
        <f t="shared" si="4"/>
        <v>0</v>
      </c>
      <c r="H11" s="158">
        <f t="shared" si="4"/>
        <v>0</v>
      </c>
      <c r="I11" s="158">
        <f>SUM(I12:I15)</f>
        <v>130000000</v>
      </c>
      <c r="J11" s="158">
        <f t="shared" si="4"/>
        <v>0</v>
      </c>
      <c r="K11" s="158">
        <f t="shared" si="4"/>
        <v>0</v>
      </c>
      <c r="L11" s="158">
        <f t="shared" si="4"/>
        <v>0</v>
      </c>
      <c r="M11" s="158">
        <f t="shared" si="4"/>
        <v>0</v>
      </c>
      <c r="N11" s="25">
        <f t="shared" si="2"/>
        <v>139153222</v>
      </c>
      <c r="O11" s="158">
        <f aca="true" t="shared" si="5" ref="O11:V11">SUM(O12:O15)</f>
        <v>0</v>
      </c>
      <c r="P11" s="158">
        <f t="shared" si="5"/>
        <v>0</v>
      </c>
      <c r="Q11" s="158">
        <f t="shared" si="5"/>
        <v>0</v>
      </c>
      <c r="R11" s="158">
        <f>SUM(R12:R15)</f>
        <v>139153222</v>
      </c>
      <c r="S11" s="158">
        <f t="shared" si="5"/>
        <v>0</v>
      </c>
      <c r="T11" s="158">
        <f t="shared" si="5"/>
        <v>0</v>
      </c>
      <c r="U11" s="158">
        <f t="shared" si="5"/>
        <v>0</v>
      </c>
      <c r="V11" s="158">
        <f t="shared" si="5"/>
        <v>0</v>
      </c>
    </row>
    <row r="12" spans="1:22" ht="18">
      <c r="A12" s="12"/>
      <c r="B12" s="12"/>
      <c r="C12" s="12" t="s">
        <v>543</v>
      </c>
      <c r="D12" s="19" t="s">
        <v>544</v>
      </c>
      <c r="E12" s="111">
        <f t="shared" si="0"/>
        <v>80000000</v>
      </c>
      <c r="F12" s="112">
        <v>0</v>
      </c>
      <c r="G12" s="112">
        <v>0</v>
      </c>
      <c r="H12" s="112">
        <v>0</v>
      </c>
      <c r="I12" s="112">
        <v>80000000</v>
      </c>
      <c r="J12" s="112">
        <v>0</v>
      </c>
      <c r="K12" s="112">
        <v>0</v>
      </c>
      <c r="L12" s="112">
        <v>0</v>
      </c>
      <c r="M12" s="145">
        <v>0</v>
      </c>
      <c r="N12" s="111">
        <f t="shared" si="2"/>
        <v>86260500</v>
      </c>
      <c r="O12" s="112">
        <v>0</v>
      </c>
      <c r="P12" s="112">
        <v>0</v>
      </c>
      <c r="Q12" s="112">
        <v>0</v>
      </c>
      <c r="R12" s="112">
        <v>86260500</v>
      </c>
      <c r="S12" s="112">
        <v>0</v>
      </c>
      <c r="T12" s="112">
        <v>0</v>
      </c>
      <c r="U12" s="112">
        <v>0</v>
      </c>
      <c r="V12" s="145">
        <v>0</v>
      </c>
    </row>
    <row r="13" spans="1:22" ht="18">
      <c r="A13" s="12"/>
      <c r="B13" s="12"/>
      <c r="C13" s="12" t="s">
        <v>545</v>
      </c>
      <c r="D13" s="19" t="s">
        <v>546</v>
      </c>
      <c r="E13" s="111">
        <f t="shared" si="0"/>
        <v>15000000</v>
      </c>
      <c r="F13" s="112">
        <v>0</v>
      </c>
      <c r="G13" s="112">
        <v>0</v>
      </c>
      <c r="H13" s="112">
        <v>0</v>
      </c>
      <c r="I13" s="112">
        <v>15000000</v>
      </c>
      <c r="J13" s="112">
        <v>0</v>
      </c>
      <c r="K13" s="112">
        <v>0</v>
      </c>
      <c r="L13" s="112">
        <v>0</v>
      </c>
      <c r="M13" s="145">
        <v>0</v>
      </c>
      <c r="N13" s="111">
        <f t="shared" si="2"/>
        <v>15839657</v>
      </c>
      <c r="O13" s="112">
        <v>0</v>
      </c>
      <c r="P13" s="112">
        <v>0</v>
      </c>
      <c r="Q13" s="112">
        <v>0</v>
      </c>
      <c r="R13" s="112">
        <v>15839657</v>
      </c>
      <c r="S13" s="112">
        <v>0</v>
      </c>
      <c r="T13" s="112">
        <v>0</v>
      </c>
      <c r="U13" s="112">
        <v>0</v>
      </c>
      <c r="V13" s="145">
        <v>0</v>
      </c>
    </row>
    <row r="14" spans="1:22" ht="18">
      <c r="A14" s="12"/>
      <c r="B14" s="12"/>
      <c r="C14" s="12" t="s">
        <v>547</v>
      </c>
      <c r="D14" s="19" t="s">
        <v>548</v>
      </c>
      <c r="E14" s="111">
        <f t="shared" si="0"/>
        <v>25000000</v>
      </c>
      <c r="F14" s="112">
        <v>0</v>
      </c>
      <c r="G14" s="112">
        <v>0</v>
      </c>
      <c r="H14" s="112">
        <v>0</v>
      </c>
      <c r="I14" s="112">
        <v>25000000</v>
      </c>
      <c r="J14" s="112">
        <v>0</v>
      </c>
      <c r="K14" s="112">
        <v>0</v>
      </c>
      <c r="L14" s="112">
        <v>0</v>
      </c>
      <c r="M14" s="145">
        <v>0</v>
      </c>
      <c r="N14" s="111">
        <f t="shared" si="2"/>
        <v>25340040</v>
      </c>
      <c r="O14" s="112">
        <v>0</v>
      </c>
      <c r="P14" s="112">
        <v>0</v>
      </c>
      <c r="Q14" s="112">
        <v>0</v>
      </c>
      <c r="R14" s="112">
        <v>25340040</v>
      </c>
      <c r="S14" s="112">
        <v>0</v>
      </c>
      <c r="T14" s="112">
        <v>0</v>
      </c>
      <c r="U14" s="112">
        <v>0</v>
      </c>
      <c r="V14" s="145">
        <v>0</v>
      </c>
    </row>
    <row r="15" spans="1:22" ht="18">
      <c r="A15" s="12"/>
      <c r="B15" s="12"/>
      <c r="C15" s="12" t="s">
        <v>549</v>
      </c>
      <c r="D15" s="19" t="s">
        <v>550</v>
      </c>
      <c r="E15" s="111">
        <f t="shared" si="0"/>
        <v>10000000</v>
      </c>
      <c r="F15" s="112">
        <v>0</v>
      </c>
      <c r="G15" s="112">
        <v>0</v>
      </c>
      <c r="H15" s="112">
        <v>0</v>
      </c>
      <c r="I15" s="112">
        <v>10000000</v>
      </c>
      <c r="J15" s="112">
        <v>0</v>
      </c>
      <c r="K15" s="112">
        <v>0</v>
      </c>
      <c r="L15" s="112">
        <v>0</v>
      </c>
      <c r="M15" s="145">
        <v>0</v>
      </c>
      <c r="N15" s="111">
        <f t="shared" si="2"/>
        <v>11713025</v>
      </c>
      <c r="O15" s="112">
        <v>0</v>
      </c>
      <c r="P15" s="112">
        <v>0</v>
      </c>
      <c r="Q15" s="112">
        <v>0</v>
      </c>
      <c r="R15" s="112">
        <v>11713025</v>
      </c>
      <c r="S15" s="112">
        <v>0</v>
      </c>
      <c r="T15" s="112">
        <v>0</v>
      </c>
      <c r="U15" s="112">
        <v>0</v>
      </c>
      <c r="V15" s="145">
        <v>0</v>
      </c>
    </row>
    <row r="16" spans="1:22" s="156" customFormat="1" ht="18">
      <c r="A16" s="142"/>
      <c r="B16" s="142" t="s">
        <v>551</v>
      </c>
      <c r="C16" s="142"/>
      <c r="D16" s="153" t="s">
        <v>552</v>
      </c>
      <c r="E16" s="25">
        <f t="shared" si="0"/>
        <v>11000000</v>
      </c>
      <c r="F16" s="158">
        <f>SUM(F18:F20)</f>
        <v>0</v>
      </c>
      <c r="G16" s="158">
        <f>SUM(G18:G20)</f>
        <v>0</v>
      </c>
      <c r="H16" s="158">
        <f>SUM(H18:H20)</f>
        <v>0</v>
      </c>
      <c r="I16" s="158">
        <f>SUM(I17:I20)</f>
        <v>11000000</v>
      </c>
      <c r="J16" s="158">
        <f>SUM(J18:J20)</f>
        <v>0</v>
      </c>
      <c r="K16" s="158">
        <f>SUM(K18:K20)</f>
        <v>0</v>
      </c>
      <c r="L16" s="158">
        <f>SUM(L18:L20)</f>
        <v>0</v>
      </c>
      <c r="M16" s="158">
        <f>SUM(M18:M20)</f>
        <v>0</v>
      </c>
      <c r="N16" s="25">
        <f t="shared" si="2"/>
        <v>13115508</v>
      </c>
      <c r="O16" s="158">
        <f>SUM(O18:O20)</f>
        <v>0</v>
      </c>
      <c r="P16" s="158">
        <f>SUM(P18:P20)</f>
        <v>0</v>
      </c>
      <c r="Q16" s="158">
        <f>SUM(Q17:Q20)</f>
        <v>92275</v>
      </c>
      <c r="R16" s="158">
        <f>SUM(R17:R20)</f>
        <v>13023233</v>
      </c>
      <c r="S16" s="158">
        <f>SUM(S18:S20)</f>
        <v>0</v>
      </c>
      <c r="T16" s="158">
        <f>SUM(T18:T20)</f>
        <v>0</v>
      </c>
      <c r="U16" s="158">
        <f>SUM(U18:U20)</f>
        <v>0</v>
      </c>
      <c r="V16" s="158">
        <f>SUM(V18:V20)</f>
        <v>0</v>
      </c>
    </row>
    <row r="17" spans="1:22" ht="18">
      <c r="A17" s="12"/>
      <c r="B17" s="12"/>
      <c r="C17" s="12" t="s">
        <v>553</v>
      </c>
      <c r="D17" s="19" t="s">
        <v>554</v>
      </c>
      <c r="E17" s="111">
        <f t="shared" si="0"/>
        <v>3000000</v>
      </c>
      <c r="F17" s="112">
        <v>0</v>
      </c>
      <c r="G17" s="112">
        <v>0</v>
      </c>
      <c r="H17" s="112">
        <v>0</v>
      </c>
      <c r="I17" s="112">
        <v>3000000</v>
      </c>
      <c r="J17" s="112">
        <v>0</v>
      </c>
      <c r="K17" s="112">
        <v>0</v>
      </c>
      <c r="L17" s="112">
        <v>0</v>
      </c>
      <c r="M17" s="112">
        <v>0</v>
      </c>
      <c r="N17" s="111">
        <f t="shared" si="2"/>
        <v>3451975</v>
      </c>
      <c r="O17" s="112">
        <v>0</v>
      </c>
      <c r="P17" s="112">
        <v>0</v>
      </c>
      <c r="Q17" s="112">
        <v>79475</v>
      </c>
      <c r="R17" s="112">
        <v>3372500</v>
      </c>
      <c r="S17" s="112">
        <v>0</v>
      </c>
      <c r="T17" s="112">
        <v>0</v>
      </c>
      <c r="U17" s="112">
        <v>0</v>
      </c>
      <c r="V17" s="112">
        <v>0</v>
      </c>
    </row>
    <row r="18" spans="1:22" ht="18">
      <c r="A18" s="12"/>
      <c r="B18" s="12"/>
      <c r="C18" s="12" t="s">
        <v>555</v>
      </c>
      <c r="D18" s="19" t="s">
        <v>556</v>
      </c>
      <c r="E18" s="111">
        <f t="shared" si="0"/>
        <v>4000000</v>
      </c>
      <c r="F18" s="112">
        <v>0</v>
      </c>
      <c r="G18" s="112">
        <v>0</v>
      </c>
      <c r="H18" s="112">
        <v>0</v>
      </c>
      <c r="I18" s="112">
        <v>4000000</v>
      </c>
      <c r="J18" s="112">
        <v>0</v>
      </c>
      <c r="K18" s="112">
        <v>0</v>
      </c>
      <c r="L18" s="112">
        <v>0</v>
      </c>
      <c r="M18" s="112">
        <v>0</v>
      </c>
      <c r="N18" s="111">
        <f t="shared" si="2"/>
        <v>4323176</v>
      </c>
      <c r="O18" s="112">
        <v>0</v>
      </c>
      <c r="P18" s="112">
        <v>0</v>
      </c>
      <c r="Q18" s="112">
        <v>0</v>
      </c>
      <c r="R18" s="112">
        <v>4323176</v>
      </c>
      <c r="S18" s="112">
        <v>0</v>
      </c>
      <c r="T18" s="112">
        <v>0</v>
      </c>
      <c r="U18" s="112">
        <v>0</v>
      </c>
      <c r="V18" s="112">
        <v>0</v>
      </c>
    </row>
    <row r="19" spans="1:22" ht="18">
      <c r="A19" s="12"/>
      <c r="B19" s="12"/>
      <c r="C19" s="12" t="s">
        <v>557</v>
      </c>
      <c r="D19" s="19" t="s">
        <v>558</v>
      </c>
      <c r="E19" s="111">
        <f t="shared" si="0"/>
        <v>3000000</v>
      </c>
      <c r="F19" s="112">
        <v>0</v>
      </c>
      <c r="G19" s="112">
        <v>0</v>
      </c>
      <c r="H19" s="112">
        <v>0</v>
      </c>
      <c r="I19" s="112">
        <v>3000000</v>
      </c>
      <c r="J19" s="112">
        <v>0</v>
      </c>
      <c r="K19" s="112">
        <v>0</v>
      </c>
      <c r="L19" s="112">
        <v>0</v>
      </c>
      <c r="M19" s="112">
        <v>0</v>
      </c>
      <c r="N19" s="111">
        <f t="shared" si="2"/>
        <v>4625080</v>
      </c>
      <c r="O19" s="112">
        <v>0</v>
      </c>
      <c r="P19" s="112">
        <v>0</v>
      </c>
      <c r="Q19" s="112">
        <v>12800</v>
      </c>
      <c r="R19" s="112">
        <v>4612280</v>
      </c>
      <c r="S19" s="112">
        <v>0</v>
      </c>
      <c r="T19" s="112">
        <v>0</v>
      </c>
      <c r="U19" s="112">
        <v>0</v>
      </c>
      <c r="V19" s="112">
        <v>0</v>
      </c>
    </row>
    <row r="20" spans="1:22" ht="18.75" customHeight="1">
      <c r="A20" s="12"/>
      <c r="B20" s="12"/>
      <c r="C20" s="12" t="s">
        <v>559</v>
      </c>
      <c r="D20" s="19" t="s">
        <v>560</v>
      </c>
      <c r="E20" s="111">
        <f t="shared" si="0"/>
        <v>1000000</v>
      </c>
      <c r="F20" s="112">
        <v>0</v>
      </c>
      <c r="G20" s="112">
        <v>0</v>
      </c>
      <c r="H20" s="112">
        <v>0</v>
      </c>
      <c r="I20" s="112">
        <v>1000000</v>
      </c>
      <c r="J20" s="112">
        <v>0</v>
      </c>
      <c r="K20" s="112">
        <v>0</v>
      </c>
      <c r="L20" s="112">
        <v>0</v>
      </c>
      <c r="M20" s="112">
        <v>0</v>
      </c>
      <c r="N20" s="111">
        <f t="shared" si="2"/>
        <v>715277</v>
      </c>
      <c r="O20" s="112">
        <v>0</v>
      </c>
      <c r="P20" s="112">
        <v>0</v>
      </c>
      <c r="Q20" s="112">
        <v>0</v>
      </c>
      <c r="R20" s="112">
        <v>715277</v>
      </c>
      <c r="S20" s="112">
        <v>0</v>
      </c>
      <c r="T20" s="112">
        <v>0</v>
      </c>
      <c r="U20" s="112">
        <v>0</v>
      </c>
      <c r="V20" s="112">
        <v>0</v>
      </c>
    </row>
    <row r="21" spans="1:22" s="156" customFormat="1" ht="18">
      <c r="A21" s="142"/>
      <c r="B21" s="142" t="s">
        <v>561</v>
      </c>
      <c r="C21" s="142"/>
      <c r="D21" s="153" t="s">
        <v>562</v>
      </c>
      <c r="E21" s="25">
        <f t="shared" si="0"/>
        <v>15000000</v>
      </c>
      <c r="F21" s="158">
        <v>0</v>
      </c>
      <c r="G21" s="158">
        <v>0</v>
      </c>
      <c r="H21" s="158">
        <v>0</v>
      </c>
      <c r="I21" s="158">
        <v>15000000</v>
      </c>
      <c r="J21" s="158">
        <v>0</v>
      </c>
      <c r="K21" s="158">
        <v>0</v>
      </c>
      <c r="L21" s="158">
        <v>0</v>
      </c>
      <c r="M21" s="158">
        <v>0</v>
      </c>
      <c r="N21" s="25">
        <f t="shared" si="2"/>
        <v>20403088</v>
      </c>
      <c r="O21" s="112">
        <v>0</v>
      </c>
      <c r="P21" s="112">
        <v>0</v>
      </c>
      <c r="Q21" s="112">
        <v>0</v>
      </c>
      <c r="R21" s="158">
        <v>20403088</v>
      </c>
      <c r="S21" s="112">
        <v>0</v>
      </c>
      <c r="T21" s="112">
        <v>0</v>
      </c>
      <c r="U21" s="112">
        <v>0</v>
      </c>
      <c r="V21" s="112">
        <v>0</v>
      </c>
    </row>
    <row r="22" spans="1:22" s="156" customFormat="1" ht="18">
      <c r="A22" s="142"/>
      <c r="B22" s="142" t="s">
        <v>563</v>
      </c>
      <c r="C22" s="142"/>
      <c r="D22" s="153" t="s">
        <v>564</v>
      </c>
      <c r="E22" s="25">
        <f t="shared" si="0"/>
        <v>20000000</v>
      </c>
      <c r="F22" s="158">
        <v>0</v>
      </c>
      <c r="G22" s="158">
        <v>0</v>
      </c>
      <c r="H22" s="158">
        <v>0</v>
      </c>
      <c r="I22" s="158">
        <v>20000000</v>
      </c>
      <c r="J22" s="158">
        <v>0</v>
      </c>
      <c r="K22" s="158">
        <v>0</v>
      </c>
      <c r="L22" s="158">
        <v>0</v>
      </c>
      <c r="M22" s="158">
        <v>0</v>
      </c>
      <c r="N22" s="25">
        <f t="shared" si="2"/>
        <v>0</v>
      </c>
      <c r="O22" s="112">
        <v>0</v>
      </c>
      <c r="P22" s="112">
        <v>0</v>
      </c>
      <c r="Q22" s="112">
        <v>0</v>
      </c>
      <c r="R22" s="158">
        <v>0</v>
      </c>
      <c r="S22" s="112">
        <v>0</v>
      </c>
      <c r="T22" s="112">
        <v>0</v>
      </c>
      <c r="U22" s="112">
        <v>0</v>
      </c>
      <c r="V22" s="112">
        <v>0</v>
      </c>
    </row>
    <row r="23" spans="1:22" s="156" customFormat="1" ht="18">
      <c r="A23" s="142" t="s">
        <v>103</v>
      </c>
      <c r="B23" s="142"/>
      <c r="C23" s="142"/>
      <c r="D23" s="143" t="s">
        <v>42</v>
      </c>
      <c r="E23" s="25">
        <f t="shared" si="0"/>
        <v>155000000</v>
      </c>
      <c r="F23" s="144">
        <f aca="true" t="shared" si="6" ref="F23:M23">SUM(F24:F26)</f>
        <v>0</v>
      </c>
      <c r="G23" s="144">
        <f t="shared" si="6"/>
        <v>0</v>
      </c>
      <c r="H23" s="144">
        <f t="shared" si="6"/>
        <v>0</v>
      </c>
      <c r="I23" s="144">
        <f t="shared" si="6"/>
        <v>155000000</v>
      </c>
      <c r="J23" s="144">
        <f t="shared" si="6"/>
        <v>0</v>
      </c>
      <c r="K23" s="144">
        <f t="shared" si="6"/>
        <v>0</v>
      </c>
      <c r="L23" s="144">
        <f t="shared" si="6"/>
        <v>0</v>
      </c>
      <c r="M23" s="144">
        <f t="shared" si="6"/>
        <v>0</v>
      </c>
      <c r="N23" s="25">
        <f t="shared" si="2"/>
        <v>190661752</v>
      </c>
      <c r="O23" s="144">
        <f aca="true" t="shared" si="7" ref="O23:V23">SUM(O24:O26)</f>
        <v>0</v>
      </c>
      <c r="P23" s="144">
        <f t="shared" si="7"/>
        <v>0</v>
      </c>
      <c r="Q23" s="144">
        <f t="shared" si="7"/>
        <v>0</v>
      </c>
      <c r="R23" s="144">
        <f t="shared" si="7"/>
        <v>190661752</v>
      </c>
      <c r="S23" s="144">
        <f t="shared" si="7"/>
        <v>0</v>
      </c>
      <c r="T23" s="144">
        <f t="shared" si="7"/>
        <v>0</v>
      </c>
      <c r="U23" s="144">
        <f t="shared" si="7"/>
        <v>0</v>
      </c>
      <c r="V23" s="144">
        <f t="shared" si="7"/>
        <v>0</v>
      </c>
    </row>
    <row r="24" spans="1:22" ht="30">
      <c r="A24" s="12"/>
      <c r="B24" s="12" t="s">
        <v>565</v>
      </c>
      <c r="C24" s="12"/>
      <c r="D24" s="19" t="s">
        <v>566</v>
      </c>
      <c r="E24" s="111">
        <f t="shared" si="0"/>
        <v>120000000</v>
      </c>
      <c r="F24" s="112">
        <v>0</v>
      </c>
      <c r="G24" s="112">
        <v>0</v>
      </c>
      <c r="H24" s="112">
        <v>0</v>
      </c>
      <c r="I24" s="112">
        <v>120000000</v>
      </c>
      <c r="J24" s="112">
        <v>0</v>
      </c>
      <c r="K24" s="112">
        <v>0</v>
      </c>
      <c r="L24" s="112">
        <v>0</v>
      </c>
      <c r="M24" s="112">
        <v>0</v>
      </c>
      <c r="N24" s="111">
        <f t="shared" si="2"/>
        <v>155661752</v>
      </c>
      <c r="O24" s="112">
        <v>0</v>
      </c>
      <c r="P24" s="112">
        <v>0</v>
      </c>
      <c r="Q24" s="112">
        <v>0</v>
      </c>
      <c r="R24" s="112">
        <v>155661752</v>
      </c>
      <c r="S24" s="112">
        <v>0</v>
      </c>
      <c r="T24" s="112">
        <v>0</v>
      </c>
      <c r="U24" s="112">
        <v>0</v>
      </c>
      <c r="V24" s="112">
        <v>0</v>
      </c>
    </row>
    <row r="25" spans="1:22" ht="18">
      <c r="A25" s="12"/>
      <c r="B25" s="12" t="s">
        <v>567</v>
      </c>
      <c r="C25" s="12"/>
      <c r="D25" s="19" t="s">
        <v>568</v>
      </c>
      <c r="E25" s="111">
        <f t="shared" si="0"/>
        <v>30000000</v>
      </c>
      <c r="F25" s="112">
        <v>0</v>
      </c>
      <c r="G25" s="112">
        <v>0</v>
      </c>
      <c r="H25" s="112">
        <v>0</v>
      </c>
      <c r="I25" s="112">
        <v>30000000</v>
      </c>
      <c r="J25" s="112">
        <v>0</v>
      </c>
      <c r="K25" s="112">
        <v>0</v>
      </c>
      <c r="L25" s="112">
        <v>0</v>
      </c>
      <c r="M25" s="112">
        <v>0</v>
      </c>
      <c r="N25" s="111">
        <f t="shared" si="2"/>
        <v>30000000</v>
      </c>
      <c r="O25" s="112">
        <v>0</v>
      </c>
      <c r="P25" s="112">
        <v>0</v>
      </c>
      <c r="Q25" s="112">
        <v>0</v>
      </c>
      <c r="R25" s="112">
        <v>30000000</v>
      </c>
      <c r="S25" s="112">
        <v>0</v>
      </c>
      <c r="T25" s="112">
        <v>0</v>
      </c>
      <c r="U25" s="112">
        <v>0</v>
      </c>
      <c r="V25" s="112">
        <v>0</v>
      </c>
    </row>
    <row r="26" spans="1:22" ht="18">
      <c r="A26" s="12"/>
      <c r="B26" s="12" t="s">
        <v>569</v>
      </c>
      <c r="C26" s="12"/>
      <c r="D26" s="19" t="s">
        <v>570</v>
      </c>
      <c r="E26" s="111">
        <f t="shared" si="0"/>
        <v>5000000</v>
      </c>
      <c r="F26" s="112">
        <v>0</v>
      </c>
      <c r="G26" s="112">
        <v>0</v>
      </c>
      <c r="H26" s="112">
        <v>0</v>
      </c>
      <c r="I26" s="112">
        <v>5000000</v>
      </c>
      <c r="J26" s="112">
        <v>0</v>
      </c>
      <c r="K26" s="112">
        <v>0</v>
      </c>
      <c r="L26" s="112">
        <v>0</v>
      </c>
      <c r="M26" s="112">
        <v>0</v>
      </c>
      <c r="N26" s="111">
        <f t="shared" si="2"/>
        <v>5000000</v>
      </c>
      <c r="O26" s="112">
        <v>0</v>
      </c>
      <c r="P26" s="112">
        <v>0</v>
      </c>
      <c r="Q26" s="112">
        <v>0</v>
      </c>
      <c r="R26" s="112">
        <v>5000000</v>
      </c>
      <c r="S26" s="112">
        <v>0</v>
      </c>
      <c r="T26" s="112">
        <v>0</v>
      </c>
      <c r="U26" s="112">
        <v>0</v>
      </c>
      <c r="V26" s="112">
        <v>0</v>
      </c>
    </row>
    <row r="27" spans="1:22" s="156" customFormat="1" ht="18">
      <c r="A27" s="142" t="s">
        <v>104</v>
      </c>
      <c r="B27" s="142"/>
      <c r="C27" s="142"/>
      <c r="D27" s="143" t="s">
        <v>44</v>
      </c>
      <c r="E27" s="25">
        <f t="shared" si="0"/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25">
        <v>0</v>
      </c>
      <c r="N27" s="25">
        <f t="shared" si="2"/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25">
        <v>0</v>
      </c>
    </row>
    <row r="28" spans="1:22" ht="34.5" customHeight="1">
      <c r="A28" s="326" t="s">
        <v>326</v>
      </c>
      <c r="B28" s="326"/>
      <c r="C28" s="326"/>
      <c r="D28" s="326"/>
      <c r="E28" s="25">
        <f t="shared" si="0"/>
        <v>331000000</v>
      </c>
      <c r="F28" s="144">
        <f aca="true" t="shared" si="8" ref="F28:M28">F10+F23+F27</f>
        <v>0</v>
      </c>
      <c r="G28" s="144">
        <f t="shared" si="8"/>
        <v>0</v>
      </c>
      <c r="H28" s="144">
        <f t="shared" si="8"/>
        <v>0</v>
      </c>
      <c r="I28" s="144">
        <f t="shared" si="8"/>
        <v>331000000</v>
      </c>
      <c r="J28" s="144">
        <f t="shared" si="8"/>
        <v>0</v>
      </c>
      <c r="K28" s="144">
        <f t="shared" si="8"/>
        <v>0</v>
      </c>
      <c r="L28" s="144">
        <f t="shared" si="8"/>
        <v>0</v>
      </c>
      <c r="M28" s="144">
        <f t="shared" si="8"/>
        <v>0</v>
      </c>
      <c r="N28" s="25">
        <f t="shared" si="2"/>
        <v>363333570</v>
      </c>
      <c r="O28" s="144">
        <f aca="true" t="shared" si="9" ref="O28:V28">O10+O23+O27</f>
        <v>0</v>
      </c>
      <c r="P28" s="144">
        <f t="shared" si="9"/>
        <v>0</v>
      </c>
      <c r="Q28" s="144">
        <f t="shared" si="9"/>
        <v>92275</v>
      </c>
      <c r="R28" s="144">
        <f t="shared" si="9"/>
        <v>363241295</v>
      </c>
      <c r="S28" s="144">
        <f t="shared" si="9"/>
        <v>0</v>
      </c>
      <c r="T28" s="144">
        <f t="shared" si="9"/>
        <v>0</v>
      </c>
      <c r="U28" s="144">
        <f t="shared" si="9"/>
        <v>0</v>
      </c>
      <c r="V28" s="144">
        <f t="shared" si="9"/>
        <v>0</v>
      </c>
    </row>
    <row r="29" ht="18" customHeight="1"/>
    <row r="32" s="180" customFormat="1" ht="23.25" customHeight="1"/>
    <row r="33" s="180" customFormat="1" ht="27.75" customHeight="1"/>
    <row r="34" s="180" customFormat="1" ht="14.25"/>
    <row r="35" s="180" customFormat="1" ht="14.25"/>
  </sheetData>
  <sheetProtection selectLockedCells="1" selectUnlockedCells="1"/>
  <mergeCells count="17">
    <mergeCell ref="K8:M8"/>
    <mergeCell ref="T8:V8"/>
    <mergeCell ref="O8:S8"/>
    <mergeCell ref="O7:V7"/>
    <mergeCell ref="A7:A9"/>
    <mergeCell ref="E7:E9"/>
    <mergeCell ref="F8:J8"/>
    <mergeCell ref="A1:V1"/>
    <mergeCell ref="A2:V2"/>
    <mergeCell ref="A3:V3"/>
    <mergeCell ref="A4:V4"/>
    <mergeCell ref="N7:N9"/>
    <mergeCell ref="A28:D28"/>
    <mergeCell ref="B7:B9"/>
    <mergeCell ref="F7:M7"/>
    <mergeCell ref="C7:C9"/>
    <mergeCell ref="D7:D9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paperSize="8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1"/>
  <sheetViews>
    <sheetView view="pageBreakPreview" zoomScale="71" zoomScaleNormal="71" zoomScaleSheetLayoutView="71" zoomScalePageLayoutView="0" workbookViewId="0" topLeftCell="A1">
      <selection activeCell="A1" sqref="A1:V1"/>
    </sheetView>
  </sheetViews>
  <sheetFormatPr defaultColWidth="9.140625" defaultRowHeight="12.75"/>
  <cols>
    <col min="1" max="1" width="7.140625" style="0" customWidth="1"/>
    <col min="2" max="2" width="10.57421875" style="0" customWidth="1"/>
    <col min="3" max="3" width="12.8515625" style="0" customWidth="1"/>
    <col min="4" max="4" width="62.28125" style="0" customWidth="1"/>
    <col min="5" max="5" width="16.8515625" style="0" customWidth="1"/>
    <col min="6" max="7" width="14.57421875" style="0" customWidth="1"/>
    <col min="8" max="8" width="15.28125" style="0" customWidth="1"/>
    <col min="9" max="13" width="14.57421875" style="0" customWidth="1"/>
    <col min="14" max="14" width="18.28125" style="0" customWidth="1"/>
    <col min="15" max="15" width="15.421875" style="0" customWidth="1"/>
    <col min="16" max="17" width="15.57421875" style="0" customWidth="1"/>
    <col min="18" max="18" width="11.140625" style="0" customWidth="1"/>
    <col min="19" max="19" width="15.421875" style="0" customWidth="1"/>
    <col min="20" max="20" width="13.8515625" style="0" customWidth="1"/>
    <col min="21" max="21" width="13.140625" style="0" customWidth="1"/>
    <col min="22" max="22" width="15.421875" style="0" customWidth="1"/>
  </cols>
  <sheetData>
    <row r="1" spans="1:22" ht="18">
      <c r="A1" s="262" t="s">
        <v>1265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</row>
    <row r="2" spans="1:22" ht="18">
      <c r="A2" s="263" t="s">
        <v>1061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2" ht="18" customHeight="1">
      <c r="A3" s="358" t="s">
        <v>571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</row>
    <row r="4" spans="1:22" ht="18">
      <c r="A4" s="359" t="s">
        <v>1205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V5" s="244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181</v>
      </c>
    </row>
    <row r="7" spans="1:22" ht="12.75" customHeight="1">
      <c r="A7" s="362" t="s">
        <v>24</v>
      </c>
      <c r="B7" s="362" t="s">
        <v>185</v>
      </c>
      <c r="C7" s="362" t="s">
        <v>366</v>
      </c>
      <c r="D7" s="325" t="s">
        <v>25</v>
      </c>
      <c r="E7" s="325" t="s">
        <v>853</v>
      </c>
      <c r="F7" s="325" t="s">
        <v>26</v>
      </c>
      <c r="G7" s="325"/>
      <c r="H7" s="325"/>
      <c r="I7" s="325"/>
      <c r="J7" s="325"/>
      <c r="K7" s="325"/>
      <c r="L7" s="325"/>
      <c r="M7" s="325"/>
      <c r="N7" s="325" t="s">
        <v>1049</v>
      </c>
      <c r="O7" s="325" t="s">
        <v>1047</v>
      </c>
      <c r="P7" s="325"/>
      <c r="Q7" s="325"/>
      <c r="R7" s="325"/>
      <c r="S7" s="325"/>
      <c r="T7" s="325"/>
      <c r="U7" s="325"/>
      <c r="V7" s="325"/>
    </row>
    <row r="8" spans="1:22" ht="12.75" customHeight="1">
      <c r="A8" s="362"/>
      <c r="B8" s="362"/>
      <c r="C8" s="362"/>
      <c r="D8" s="325"/>
      <c r="E8" s="325"/>
      <c r="F8" s="360" t="s">
        <v>27</v>
      </c>
      <c r="G8" s="360"/>
      <c r="H8" s="360"/>
      <c r="I8" s="360"/>
      <c r="J8" s="360"/>
      <c r="K8" s="360" t="s">
        <v>28</v>
      </c>
      <c r="L8" s="360"/>
      <c r="M8" s="360"/>
      <c r="N8" s="325"/>
      <c r="O8" s="360" t="s">
        <v>27</v>
      </c>
      <c r="P8" s="360"/>
      <c r="Q8" s="360"/>
      <c r="R8" s="360"/>
      <c r="S8" s="360"/>
      <c r="T8" s="360" t="s">
        <v>28</v>
      </c>
      <c r="U8" s="360"/>
      <c r="V8" s="360"/>
    </row>
    <row r="9" spans="1:22" ht="94.5" customHeight="1">
      <c r="A9" s="362"/>
      <c r="B9" s="362"/>
      <c r="C9" s="362"/>
      <c r="D9" s="325"/>
      <c r="E9" s="325"/>
      <c r="F9" s="98" t="s">
        <v>29</v>
      </c>
      <c r="G9" s="98" t="s">
        <v>30</v>
      </c>
      <c r="H9" s="98" t="s">
        <v>31</v>
      </c>
      <c r="I9" s="98" t="s">
        <v>32</v>
      </c>
      <c r="J9" s="98" t="s">
        <v>33</v>
      </c>
      <c r="K9" s="98" t="s">
        <v>34</v>
      </c>
      <c r="L9" s="98" t="s">
        <v>35</v>
      </c>
      <c r="M9" s="98" t="s">
        <v>36</v>
      </c>
      <c r="N9" s="325"/>
      <c r="O9" s="98" t="s">
        <v>29</v>
      </c>
      <c r="P9" s="98" t="s">
        <v>30</v>
      </c>
      <c r="Q9" s="98" t="s">
        <v>31</v>
      </c>
      <c r="R9" s="98" t="s">
        <v>32</v>
      </c>
      <c r="S9" s="98" t="s">
        <v>33</v>
      </c>
      <c r="T9" s="98" t="s">
        <v>34</v>
      </c>
      <c r="U9" s="98" t="s">
        <v>35</v>
      </c>
      <c r="V9" s="98" t="s">
        <v>36</v>
      </c>
    </row>
    <row r="10" spans="1:22" ht="18">
      <c r="A10" s="12" t="s">
        <v>112</v>
      </c>
      <c r="B10" s="12"/>
      <c r="C10" s="12"/>
      <c r="D10" s="99" t="s">
        <v>40</v>
      </c>
      <c r="E10" s="25">
        <f>SUM(F10:M10)</f>
        <v>86423200</v>
      </c>
      <c r="F10" s="144">
        <f>SUM(F11:F26)</f>
        <v>22540000</v>
      </c>
      <c r="G10" s="144">
        <f aca="true" t="shared" si="0" ref="G10:M10">SUM(G11:G26)</f>
        <v>4309200</v>
      </c>
      <c r="H10" s="144">
        <f t="shared" si="0"/>
        <v>23274000</v>
      </c>
      <c r="I10" s="144">
        <f t="shared" si="0"/>
        <v>0</v>
      </c>
      <c r="J10" s="144">
        <f t="shared" si="0"/>
        <v>36300000</v>
      </c>
      <c r="K10" s="144">
        <f t="shared" si="0"/>
        <v>0</v>
      </c>
      <c r="L10" s="144">
        <f t="shared" si="0"/>
        <v>0</v>
      </c>
      <c r="M10" s="144">
        <f t="shared" si="0"/>
        <v>0</v>
      </c>
      <c r="N10" s="25">
        <f>SUM(O10:V10)</f>
        <v>211509617</v>
      </c>
      <c r="O10" s="144">
        <f>SUM(O11:O26)+SUM(O37:O43)</f>
        <v>3133093</v>
      </c>
      <c r="P10" s="144">
        <f aca="true" t="shared" si="1" ref="P10:V10">SUM(P11:P26)+SUM(P37:P43)</f>
        <v>4406452</v>
      </c>
      <c r="Q10" s="144">
        <f t="shared" si="1"/>
        <v>60076752</v>
      </c>
      <c r="R10" s="144">
        <f t="shared" si="1"/>
        <v>0</v>
      </c>
      <c r="S10" s="144">
        <f t="shared" si="1"/>
        <v>58658000</v>
      </c>
      <c r="T10" s="144">
        <f t="shared" si="1"/>
        <v>20320</v>
      </c>
      <c r="U10" s="144">
        <f t="shared" si="1"/>
        <v>0</v>
      </c>
      <c r="V10" s="144">
        <f t="shared" si="1"/>
        <v>85215000</v>
      </c>
    </row>
    <row r="11" spans="1:22" ht="30">
      <c r="A11" s="12"/>
      <c r="B11" s="12" t="s">
        <v>572</v>
      </c>
      <c r="C11" s="12"/>
      <c r="D11" s="19" t="s">
        <v>573</v>
      </c>
      <c r="E11" s="111">
        <f aca="true" t="shared" si="2" ref="E11:E46">SUM(F11:M11)</f>
        <v>10050000</v>
      </c>
      <c r="F11" s="112">
        <v>300000</v>
      </c>
      <c r="G11" s="112">
        <v>150000</v>
      </c>
      <c r="H11" s="112">
        <v>6600000</v>
      </c>
      <c r="I11" s="112">
        <v>0</v>
      </c>
      <c r="J11" s="112">
        <v>3000000</v>
      </c>
      <c r="K11" s="112">
        <v>0</v>
      </c>
      <c r="L11" s="112">
        <v>0</v>
      </c>
      <c r="M11" s="112">
        <v>0</v>
      </c>
      <c r="N11" s="111">
        <f aca="true" t="shared" si="3" ref="N11:N46">SUM(O11:V11)</f>
        <v>23608974</v>
      </c>
      <c r="O11" s="112">
        <v>673606</v>
      </c>
      <c r="P11" s="112">
        <v>289128</v>
      </c>
      <c r="Q11" s="112">
        <v>7972390</v>
      </c>
      <c r="R11" s="112">
        <v>0</v>
      </c>
      <c r="S11" s="112">
        <v>14673850</v>
      </c>
      <c r="T11" s="112">
        <v>0</v>
      </c>
      <c r="U11" s="112">
        <v>0</v>
      </c>
      <c r="V11" s="112">
        <v>0</v>
      </c>
    </row>
    <row r="12" spans="1:22" ht="18">
      <c r="A12" s="12"/>
      <c r="B12" s="12" t="s">
        <v>574</v>
      </c>
      <c r="C12" s="12"/>
      <c r="D12" s="19" t="s">
        <v>575</v>
      </c>
      <c r="E12" s="111">
        <f t="shared" si="2"/>
        <v>3124000</v>
      </c>
      <c r="F12" s="112">
        <v>300000</v>
      </c>
      <c r="G12" s="112">
        <v>150000</v>
      </c>
      <c r="H12" s="112">
        <v>2674000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1">
        <f t="shared" si="3"/>
        <v>3461792</v>
      </c>
      <c r="O12" s="112">
        <v>50000</v>
      </c>
      <c r="P12" s="112">
        <v>0</v>
      </c>
      <c r="Q12" s="112">
        <v>3411792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</row>
    <row r="13" spans="1:22" ht="18">
      <c r="A13" s="12"/>
      <c r="B13" s="12" t="s">
        <v>576</v>
      </c>
      <c r="C13" s="12"/>
      <c r="D13" s="19" t="s">
        <v>577</v>
      </c>
      <c r="E13" s="111">
        <f t="shared" si="2"/>
        <v>3000000</v>
      </c>
      <c r="F13" s="112">
        <v>0</v>
      </c>
      <c r="G13" s="112">
        <v>0</v>
      </c>
      <c r="H13" s="112">
        <v>2500000</v>
      </c>
      <c r="I13" s="112">
        <v>0</v>
      </c>
      <c r="J13" s="112">
        <v>500000</v>
      </c>
      <c r="K13" s="112">
        <v>0</v>
      </c>
      <c r="L13" s="112">
        <v>0</v>
      </c>
      <c r="M13" s="112">
        <v>0</v>
      </c>
      <c r="N13" s="111">
        <f t="shared" si="3"/>
        <v>3000000</v>
      </c>
      <c r="O13" s="112">
        <v>0</v>
      </c>
      <c r="P13" s="112">
        <v>0</v>
      </c>
      <c r="Q13" s="112">
        <v>2900000</v>
      </c>
      <c r="R13" s="112">
        <v>0</v>
      </c>
      <c r="S13" s="112">
        <v>100000</v>
      </c>
      <c r="T13" s="112">
        <v>0</v>
      </c>
      <c r="U13" s="112">
        <v>0</v>
      </c>
      <c r="V13" s="112">
        <v>0</v>
      </c>
    </row>
    <row r="14" spans="1:22" ht="18">
      <c r="A14" s="12"/>
      <c r="B14" s="12" t="s">
        <v>578</v>
      </c>
      <c r="C14" s="12"/>
      <c r="D14" s="19" t="s">
        <v>971</v>
      </c>
      <c r="E14" s="111">
        <f t="shared" si="2"/>
        <v>2300000</v>
      </c>
      <c r="F14" s="112">
        <v>0</v>
      </c>
      <c r="G14" s="112">
        <v>0</v>
      </c>
      <c r="H14" s="112">
        <v>2300000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1">
        <f t="shared" si="3"/>
        <v>2300000</v>
      </c>
      <c r="O14" s="112">
        <v>0</v>
      </c>
      <c r="P14" s="112">
        <v>0</v>
      </c>
      <c r="Q14" s="112">
        <v>2300000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</row>
    <row r="15" spans="1:22" ht="18">
      <c r="A15" s="12"/>
      <c r="B15" s="12" t="s">
        <v>579</v>
      </c>
      <c r="C15" s="12"/>
      <c r="D15" s="19" t="s">
        <v>580</v>
      </c>
      <c r="E15" s="111">
        <f t="shared" si="2"/>
        <v>4150000</v>
      </c>
      <c r="F15" s="112">
        <v>0</v>
      </c>
      <c r="G15" s="112">
        <v>0</v>
      </c>
      <c r="H15" s="112">
        <v>2150000</v>
      </c>
      <c r="I15" s="112">
        <v>0</v>
      </c>
      <c r="J15" s="112">
        <v>2000000</v>
      </c>
      <c r="K15" s="112">
        <v>0</v>
      </c>
      <c r="L15" s="112">
        <v>0</v>
      </c>
      <c r="M15" s="112">
        <v>0</v>
      </c>
      <c r="N15" s="111">
        <f t="shared" si="3"/>
        <v>4842150</v>
      </c>
      <c r="O15" s="112">
        <v>0</v>
      </c>
      <c r="P15" s="112">
        <v>0</v>
      </c>
      <c r="Q15" s="112">
        <v>585000</v>
      </c>
      <c r="R15" s="112">
        <v>0</v>
      </c>
      <c r="S15" s="112">
        <v>4257150</v>
      </c>
      <c r="T15" s="112">
        <v>0</v>
      </c>
      <c r="U15" s="112">
        <v>0</v>
      </c>
      <c r="V15" s="112">
        <v>0</v>
      </c>
    </row>
    <row r="16" spans="1:22" ht="18">
      <c r="A16" s="12"/>
      <c r="B16" s="12" t="s">
        <v>581</v>
      </c>
      <c r="C16" s="12"/>
      <c r="D16" s="19" t="s">
        <v>582</v>
      </c>
      <c r="E16" s="111">
        <f t="shared" si="2"/>
        <v>16221900</v>
      </c>
      <c r="F16" s="112">
        <v>13800000</v>
      </c>
      <c r="G16" s="112">
        <v>2421900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1">
        <f t="shared" si="3"/>
        <v>18655300</v>
      </c>
      <c r="O16" s="112">
        <v>155250</v>
      </c>
      <c r="P16" s="112">
        <f>2421900+1128150</f>
        <v>3550050</v>
      </c>
      <c r="Q16" s="112">
        <v>14950000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</row>
    <row r="17" spans="1:22" ht="18">
      <c r="A17" s="12"/>
      <c r="B17" s="12" t="s">
        <v>583</v>
      </c>
      <c r="C17" s="12"/>
      <c r="D17" s="19" t="s">
        <v>584</v>
      </c>
      <c r="E17" s="111">
        <f t="shared" si="2"/>
        <v>1000000</v>
      </c>
      <c r="F17" s="112">
        <v>0</v>
      </c>
      <c r="G17" s="112">
        <v>0</v>
      </c>
      <c r="H17" s="112">
        <v>0</v>
      </c>
      <c r="I17" s="112">
        <v>0</v>
      </c>
      <c r="J17" s="112">
        <v>1000000</v>
      </c>
      <c r="K17" s="112">
        <v>0</v>
      </c>
      <c r="L17" s="112">
        <v>0</v>
      </c>
      <c r="M17" s="112">
        <v>0</v>
      </c>
      <c r="N17" s="111">
        <f t="shared" si="3"/>
        <v>1000000</v>
      </c>
      <c r="O17" s="112">
        <v>0</v>
      </c>
      <c r="P17" s="112">
        <v>0</v>
      </c>
      <c r="Q17" s="112">
        <v>0</v>
      </c>
      <c r="R17" s="112">
        <v>0</v>
      </c>
      <c r="S17" s="112">
        <v>1000000</v>
      </c>
      <c r="T17" s="112">
        <v>0</v>
      </c>
      <c r="U17" s="112">
        <v>0</v>
      </c>
      <c r="V17" s="112">
        <v>0</v>
      </c>
    </row>
    <row r="18" spans="1:22" ht="18">
      <c r="A18" s="12"/>
      <c r="B18" s="12" t="s">
        <v>585</v>
      </c>
      <c r="C18" s="12"/>
      <c r="D18" s="19" t="s">
        <v>854</v>
      </c>
      <c r="E18" s="111">
        <f t="shared" si="2"/>
        <v>2000000</v>
      </c>
      <c r="F18" s="112">
        <v>0</v>
      </c>
      <c r="G18" s="112">
        <v>0</v>
      </c>
      <c r="H18" s="112">
        <v>0</v>
      </c>
      <c r="I18" s="112">
        <v>0</v>
      </c>
      <c r="J18" s="112">
        <v>2000000</v>
      </c>
      <c r="K18" s="112">
        <v>0</v>
      </c>
      <c r="L18" s="112">
        <v>0</v>
      </c>
      <c r="M18" s="112">
        <v>0</v>
      </c>
      <c r="N18" s="111">
        <f t="shared" si="3"/>
        <v>2000000</v>
      </c>
      <c r="O18" s="112">
        <v>0</v>
      </c>
      <c r="P18" s="112">
        <v>0</v>
      </c>
      <c r="Q18" s="112">
        <v>0</v>
      </c>
      <c r="R18" s="112">
        <v>0</v>
      </c>
      <c r="S18" s="112">
        <v>2000000</v>
      </c>
      <c r="T18" s="112">
        <v>0</v>
      </c>
      <c r="U18" s="112">
        <v>0</v>
      </c>
      <c r="V18" s="112">
        <v>0</v>
      </c>
    </row>
    <row r="19" spans="1:22" ht="30">
      <c r="A19" s="12"/>
      <c r="B19" s="12" t="s">
        <v>587</v>
      </c>
      <c r="C19" s="12"/>
      <c r="D19" s="19" t="s">
        <v>586</v>
      </c>
      <c r="E19" s="111">
        <f t="shared" si="2"/>
        <v>2500000</v>
      </c>
      <c r="F19" s="112">
        <v>0</v>
      </c>
      <c r="G19" s="112">
        <v>0</v>
      </c>
      <c r="H19" s="112">
        <v>0</v>
      </c>
      <c r="I19" s="112">
        <v>0</v>
      </c>
      <c r="J19" s="112">
        <v>2500000</v>
      </c>
      <c r="K19" s="112">
        <v>0</v>
      </c>
      <c r="L19" s="112">
        <v>0</v>
      </c>
      <c r="M19" s="112">
        <v>0</v>
      </c>
      <c r="N19" s="111">
        <f t="shared" si="3"/>
        <v>1560000</v>
      </c>
      <c r="O19" s="112">
        <v>0</v>
      </c>
      <c r="P19" s="112">
        <v>0</v>
      </c>
      <c r="Q19" s="112">
        <v>0</v>
      </c>
      <c r="R19" s="112">
        <v>0</v>
      </c>
      <c r="S19" s="112">
        <v>1560000</v>
      </c>
      <c r="T19" s="112">
        <v>0</v>
      </c>
      <c r="U19" s="112">
        <v>0</v>
      </c>
      <c r="V19" s="112">
        <v>0</v>
      </c>
    </row>
    <row r="20" spans="1:22" ht="18">
      <c r="A20" s="12"/>
      <c r="B20" s="12" t="s">
        <v>589</v>
      </c>
      <c r="C20" s="12"/>
      <c r="D20" s="19" t="s">
        <v>588</v>
      </c>
      <c r="E20" s="111">
        <f t="shared" si="2"/>
        <v>2987500</v>
      </c>
      <c r="F20" s="112">
        <v>2500000</v>
      </c>
      <c r="G20" s="112">
        <v>487500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1">
        <f t="shared" si="3"/>
        <v>2587500</v>
      </c>
      <c r="O20" s="112">
        <v>0</v>
      </c>
      <c r="P20" s="112">
        <v>87500</v>
      </c>
      <c r="Q20" s="112">
        <v>0</v>
      </c>
      <c r="R20" s="112">
        <v>0</v>
      </c>
      <c r="S20" s="112">
        <v>2500000</v>
      </c>
      <c r="T20" s="112">
        <v>0</v>
      </c>
      <c r="U20" s="112">
        <v>0</v>
      </c>
      <c r="V20" s="112">
        <v>0</v>
      </c>
    </row>
    <row r="21" spans="1:22" ht="30.75" customHeight="1">
      <c r="A21" s="12"/>
      <c r="B21" s="12" t="s">
        <v>591</v>
      </c>
      <c r="C21" s="12"/>
      <c r="D21" s="157" t="s">
        <v>590</v>
      </c>
      <c r="E21" s="111">
        <f t="shared" si="2"/>
        <v>5000000</v>
      </c>
      <c r="F21" s="112">
        <v>0</v>
      </c>
      <c r="G21" s="112">
        <v>0</v>
      </c>
      <c r="H21" s="112">
        <v>2500000</v>
      </c>
      <c r="I21" s="112">
        <v>0</v>
      </c>
      <c r="J21" s="112">
        <v>2500000</v>
      </c>
      <c r="K21" s="112">
        <v>0</v>
      </c>
      <c r="L21" s="112">
        <v>0</v>
      </c>
      <c r="M21" s="112">
        <v>0</v>
      </c>
      <c r="N21" s="111">
        <f t="shared" si="3"/>
        <v>7201790</v>
      </c>
      <c r="O21" s="112">
        <v>211766</v>
      </c>
      <c r="P21" s="112">
        <v>41293</v>
      </c>
      <c r="Q21" s="112">
        <v>6948731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</row>
    <row r="22" spans="1:22" ht="25.5" customHeight="1">
      <c r="A22" s="12"/>
      <c r="B22" s="12" t="s">
        <v>592</v>
      </c>
      <c r="C22" s="12"/>
      <c r="D22" s="19" t="s">
        <v>596</v>
      </c>
      <c r="E22" s="111">
        <f t="shared" si="2"/>
        <v>10339800</v>
      </c>
      <c r="F22" s="112">
        <v>5640000</v>
      </c>
      <c r="G22" s="112">
        <v>1099800</v>
      </c>
      <c r="H22" s="112">
        <v>3600000</v>
      </c>
      <c r="I22" s="112">
        <v>0</v>
      </c>
      <c r="J22" s="112">
        <v>0</v>
      </c>
      <c r="K22" s="159">
        <v>0</v>
      </c>
      <c r="L22" s="112">
        <v>0</v>
      </c>
      <c r="M22" s="112">
        <v>0</v>
      </c>
      <c r="N22" s="111">
        <f t="shared" si="3"/>
        <v>9151711</v>
      </c>
      <c r="O22" s="112">
        <v>2042471</v>
      </c>
      <c r="P22" s="112">
        <v>438481</v>
      </c>
      <c r="Q22" s="112">
        <v>6650439</v>
      </c>
      <c r="R22" s="112">
        <v>0</v>
      </c>
      <c r="S22" s="112">
        <v>0</v>
      </c>
      <c r="T22" s="159">
        <v>20320</v>
      </c>
      <c r="U22" s="112">
        <v>0</v>
      </c>
      <c r="V22" s="112">
        <v>0</v>
      </c>
    </row>
    <row r="23" spans="1:22" ht="27" customHeight="1">
      <c r="A23" s="12"/>
      <c r="B23" s="12" t="s">
        <v>593</v>
      </c>
      <c r="C23" s="12"/>
      <c r="D23" s="19" t="s">
        <v>861</v>
      </c>
      <c r="E23" s="111">
        <f t="shared" si="2"/>
        <v>950000</v>
      </c>
      <c r="F23" s="112">
        <v>0</v>
      </c>
      <c r="G23" s="112">
        <v>0</v>
      </c>
      <c r="H23" s="112">
        <v>950000</v>
      </c>
      <c r="I23" s="112">
        <v>0</v>
      </c>
      <c r="J23" s="112">
        <v>0</v>
      </c>
      <c r="K23" s="159">
        <v>0</v>
      </c>
      <c r="L23" s="112">
        <v>0</v>
      </c>
      <c r="M23" s="112">
        <v>0</v>
      </c>
      <c r="N23" s="111">
        <f t="shared" si="3"/>
        <v>950000</v>
      </c>
      <c r="O23" s="112">
        <v>0</v>
      </c>
      <c r="P23" s="112">
        <v>0</v>
      </c>
      <c r="Q23" s="112">
        <v>950000</v>
      </c>
      <c r="R23" s="112">
        <v>0</v>
      </c>
      <c r="S23" s="112">
        <v>0</v>
      </c>
      <c r="T23" s="159">
        <v>0</v>
      </c>
      <c r="U23" s="112">
        <v>0</v>
      </c>
      <c r="V23" s="112">
        <v>0</v>
      </c>
    </row>
    <row r="24" spans="1:22" ht="23.25" customHeight="1">
      <c r="A24" s="12"/>
      <c r="B24" s="12" t="s">
        <v>594</v>
      </c>
      <c r="C24" s="12"/>
      <c r="D24" s="19" t="s">
        <v>869</v>
      </c>
      <c r="E24" s="111">
        <f t="shared" si="2"/>
        <v>1000000</v>
      </c>
      <c r="F24" s="112">
        <v>0</v>
      </c>
      <c r="G24" s="112">
        <v>0</v>
      </c>
      <c r="H24" s="112">
        <v>0</v>
      </c>
      <c r="I24" s="112">
        <v>0</v>
      </c>
      <c r="J24" s="112">
        <v>1000000</v>
      </c>
      <c r="K24" s="159">
        <v>0</v>
      </c>
      <c r="L24" s="112">
        <v>0</v>
      </c>
      <c r="M24" s="112">
        <v>0</v>
      </c>
      <c r="N24" s="111">
        <f t="shared" si="3"/>
        <v>1000000</v>
      </c>
      <c r="O24" s="112">
        <v>0</v>
      </c>
      <c r="P24" s="112">
        <v>0</v>
      </c>
      <c r="Q24" s="112">
        <v>0</v>
      </c>
      <c r="R24" s="112">
        <v>0</v>
      </c>
      <c r="S24" s="112">
        <v>1000000</v>
      </c>
      <c r="T24" s="159">
        <v>0</v>
      </c>
      <c r="U24" s="112">
        <v>0</v>
      </c>
      <c r="V24" s="112">
        <v>0</v>
      </c>
    </row>
    <row r="25" spans="1:22" ht="27" customHeight="1">
      <c r="A25" s="12"/>
      <c r="B25" s="12" t="s">
        <v>595</v>
      </c>
      <c r="C25" s="12"/>
      <c r="D25" s="19" t="s">
        <v>972</v>
      </c>
      <c r="E25" s="111">
        <f t="shared" si="2"/>
        <v>2000000</v>
      </c>
      <c r="F25" s="112">
        <v>0</v>
      </c>
      <c r="G25" s="112">
        <v>0</v>
      </c>
      <c r="H25" s="112">
        <v>0</v>
      </c>
      <c r="I25" s="112">
        <v>0</v>
      </c>
      <c r="J25" s="112">
        <v>2000000</v>
      </c>
      <c r="K25" s="159">
        <v>0</v>
      </c>
      <c r="L25" s="112">
        <v>0</v>
      </c>
      <c r="M25" s="112">
        <v>0</v>
      </c>
      <c r="N25" s="111">
        <f t="shared" si="3"/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59">
        <v>0</v>
      </c>
      <c r="U25" s="112">
        <v>0</v>
      </c>
      <c r="V25" s="112">
        <v>0</v>
      </c>
    </row>
    <row r="26" spans="1:22" s="156" customFormat="1" ht="24.75" customHeight="1">
      <c r="A26" s="142"/>
      <c r="B26" s="12" t="s">
        <v>860</v>
      </c>
      <c r="C26" s="142"/>
      <c r="D26" s="160" t="s">
        <v>597</v>
      </c>
      <c r="E26" s="25">
        <f>SUM(F26:M26)</f>
        <v>19800000</v>
      </c>
      <c r="F26" s="158">
        <f>SUM(F27:F33)</f>
        <v>0</v>
      </c>
      <c r="G26" s="158">
        <f aca="true" t="shared" si="4" ref="G26:M26">SUM(G27:G33)</f>
        <v>0</v>
      </c>
      <c r="H26" s="158">
        <f t="shared" si="4"/>
        <v>0</v>
      </c>
      <c r="I26" s="158">
        <f t="shared" si="4"/>
        <v>0</v>
      </c>
      <c r="J26" s="158">
        <f t="shared" si="4"/>
        <v>19800000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25">
        <f>SUM(O26:V26)</f>
        <v>28885000</v>
      </c>
      <c r="O26" s="158">
        <f>SUM(O27:O36)</f>
        <v>0</v>
      </c>
      <c r="P26" s="158">
        <f aca="true" t="shared" si="5" ref="P26:V26">SUM(P27:P36)</f>
        <v>0</v>
      </c>
      <c r="Q26" s="158">
        <f t="shared" si="5"/>
        <v>1953000</v>
      </c>
      <c r="R26" s="158">
        <f t="shared" si="5"/>
        <v>0</v>
      </c>
      <c r="S26" s="158">
        <f t="shared" si="5"/>
        <v>21717000</v>
      </c>
      <c r="T26" s="158">
        <f t="shared" si="5"/>
        <v>0</v>
      </c>
      <c r="U26" s="158">
        <f t="shared" si="5"/>
        <v>0</v>
      </c>
      <c r="V26" s="158">
        <f t="shared" si="5"/>
        <v>5215000</v>
      </c>
    </row>
    <row r="27" spans="1:22" ht="26.25" customHeight="1">
      <c r="A27" s="12"/>
      <c r="B27" s="12"/>
      <c r="C27" s="12" t="s">
        <v>1020</v>
      </c>
      <c r="D27" s="19" t="s">
        <v>598</v>
      </c>
      <c r="E27" s="111">
        <f t="shared" si="2"/>
        <v>10000000</v>
      </c>
      <c r="F27" s="112">
        <v>0</v>
      </c>
      <c r="G27" s="112">
        <v>0</v>
      </c>
      <c r="H27" s="112">
        <v>0</v>
      </c>
      <c r="I27" s="112">
        <v>0</v>
      </c>
      <c r="J27" s="112">
        <v>10000000</v>
      </c>
      <c r="K27" s="112">
        <v>0</v>
      </c>
      <c r="L27" s="112">
        <v>0</v>
      </c>
      <c r="M27" s="112">
        <v>0</v>
      </c>
      <c r="N27" s="111">
        <f t="shared" si="3"/>
        <v>10000000</v>
      </c>
      <c r="O27" s="112">
        <v>0</v>
      </c>
      <c r="P27" s="112">
        <v>0</v>
      </c>
      <c r="Q27" s="112">
        <v>0</v>
      </c>
      <c r="R27" s="112">
        <v>0</v>
      </c>
      <c r="S27" s="112">
        <v>10000000</v>
      </c>
      <c r="T27" s="112">
        <v>0</v>
      </c>
      <c r="U27" s="112">
        <v>0</v>
      </c>
      <c r="V27" s="112">
        <v>0</v>
      </c>
    </row>
    <row r="28" spans="1:22" ht="23.25" customHeight="1">
      <c r="A28" s="12"/>
      <c r="B28" s="12"/>
      <c r="C28" s="12" t="s">
        <v>1021</v>
      </c>
      <c r="D28" s="19" t="s">
        <v>599</v>
      </c>
      <c r="E28" s="111">
        <f t="shared" si="2"/>
        <v>2500000</v>
      </c>
      <c r="F28" s="112">
        <v>0</v>
      </c>
      <c r="G28" s="112">
        <v>0</v>
      </c>
      <c r="H28" s="112">
        <v>0</v>
      </c>
      <c r="I28" s="112">
        <v>0</v>
      </c>
      <c r="J28" s="112">
        <v>2500000</v>
      </c>
      <c r="K28" s="112">
        <v>0</v>
      </c>
      <c r="L28" s="112">
        <v>0</v>
      </c>
      <c r="M28" s="112">
        <v>0</v>
      </c>
      <c r="N28" s="111">
        <f t="shared" si="3"/>
        <v>2500000</v>
      </c>
      <c r="O28" s="112">
        <v>0</v>
      </c>
      <c r="P28" s="112">
        <v>0</v>
      </c>
      <c r="Q28" s="112">
        <v>0</v>
      </c>
      <c r="R28" s="112">
        <v>0</v>
      </c>
      <c r="S28" s="112">
        <v>2500000</v>
      </c>
      <c r="T28" s="112">
        <v>0</v>
      </c>
      <c r="U28" s="112">
        <v>0</v>
      </c>
      <c r="V28" s="112">
        <v>0</v>
      </c>
    </row>
    <row r="29" spans="1:22" ht="24.75" customHeight="1">
      <c r="A29" s="12"/>
      <c r="B29" s="12"/>
      <c r="C29" s="12" t="s">
        <v>1022</v>
      </c>
      <c r="D29" s="19" t="s">
        <v>600</v>
      </c>
      <c r="E29" s="111">
        <f t="shared" si="2"/>
        <v>5000000</v>
      </c>
      <c r="F29" s="112">
        <v>0</v>
      </c>
      <c r="G29" s="112">
        <v>0</v>
      </c>
      <c r="H29" s="112">
        <v>0</v>
      </c>
      <c r="I29" s="112">
        <v>0</v>
      </c>
      <c r="J29" s="112">
        <v>5000000</v>
      </c>
      <c r="K29" s="112">
        <v>0</v>
      </c>
      <c r="L29" s="112">
        <v>0</v>
      </c>
      <c r="M29" s="112">
        <v>0</v>
      </c>
      <c r="N29" s="111">
        <f t="shared" si="3"/>
        <v>5000000</v>
      </c>
      <c r="O29" s="112">
        <v>0</v>
      </c>
      <c r="P29" s="112">
        <v>0</v>
      </c>
      <c r="Q29" s="112">
        <v>1953000</v>
      </c>
      <c r="R29" s="112">
        <v>0</v>
      </c>
      <c r="S29" s="112">
        <v>3047000</v>
      </c>
      <c r="T29" s="112">
        <v>0</v>
      </c>
      <c r="U29" s="112">
        <v>0</v>
      </c>
      <c r="V29" s="112">
        <v>0</v>
      </c>
    </row>
    <row r="30" spans="1:22" ht="30" customHeight="1">
      <c r="A30" s="12"/>
      <c r="B30" s="12"/>
      <c r="C30" s="12" t="s">
        <v>1023</v>
      </c>
      <c r="D30" s="19" t="s">
        <v>601</v>
      </c>
      <c r="E30" s="111">
        <f t="shared" si="2"/>
        <v>800000</v>
      </c>
      <c r="F30" s="112">
        <v>0</v>
      </c>
      <c r="G30" s="112">
        <v>0</v>
      </c>
      <c r="H30" s="112">
        <v>0</v>
      </c>
      <c r="I30" s="112">
        <v>0</v>
      </c>
      <c r="J30" s="112">
        <v>800000</v>
      </c>
      <c r="K30" s="112">
        <v>0</v>
      </c>
      <c r="L30" s="112">
        <v>0</v>
      </c>
      <c r="M30" s="112">
        <v>0</v>
      </c>
      <c r="N30" s="111">
        <f t="shared" si="3"/>
        <v>800000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800000</v>
      </c>
    </row>
    <row r="31" spans="1:22" ht="23.25" customHeight="1">
      <c r="A31" s="12"/>
      <c r="B31" s="12"/>
      <c r="C31" s="12" t="s">
        <v>1024</v>
      </c>
      <c r="D31" s="19" t="s">
        <v>820</v>
      </c>
      <c r="E31" s="111">
        <f t="shared" si="2"/>
        <v>1500000</v>
      </c>
      <c r="F31" s="112">
        <v>0</v>
      </c>
      <c r="G31" s="112">
        <v>0</v>
      </c>
      <c r="H31" s="112">
        <v>0</v>
      </c>
      <c r="I31" s="112">
        <v>0</v>
      </c>
      <c r="J31" s="112">
        <v>1500000</v>
      </c>
      <c r="K31" s="112">
        <v>0</v>
      </c>
      <c r="L31" s="112">
        <v>0</v>
      </c>
      <c r="M31" s="112">
        <v>0</v>
      </c>
      <c r="N31" s="111">
        <f t="shared" si="3"/>
        <v>5215000</v>
      </c>
      <c r="O31" s="112">
        <v>0</v>
      </c>
      <c r="P31" s="112">
        <v>0</v>
      </c>
      <c r="Q31" s="112">
        <v>0</v>
      </c>
      <c r="R31" s="112">
        <v>0</v>
      </c>
      <c r="S31" s="112">
        <v>800000</v>
      </c>
      <c r="T31" s="112">
        <v>0</v>
      </c>
      <c r="U31" s="112">
        <v>0</v>
      </c>
      <c r="V31" s="112">
        <v>4415000</v>
      </c>
    </row>
    <row r="32" spans="1:22" ht="21.75" customHeight="1">
      <c r="A32" s="12"/>
      <c r="B32" s="12"/>
      <c r="C32" s="12" t="s">
        <v>1025</v>
      </c>
      <c r="D32" s="19" t="s">
        <v>602</v>
      </c>
      <c r="E32" s="111">
        <f t="shared" si="2"/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1">
        <f t="shared" si="3"/>
        <v>3270000</v>
      </c>
      <c r="O32" s="112">
        <v>0</v>
      </c>
      <c r="P32" s="112">
        <v>0</v>
      </c>
      <c r="Q32" s="112">
        <v>0</v>
      </c>
      <c r="R32" s="112">
        <v>0</v>
      </c>
      <c r="S32" s="112">
        <v>3270000</v>
      </c>
      <c r="T32" s="112">
        <v>0</v>
      </c>
      <c r="U32" s="112">
        <v>0</v>
      </c>
      <c r="V32" s="112">
        <v>0</v>
      </c>
    </row>
    <row r="33" spans="1:22" ht="33.75" customHeight="1">
      <c r="A33" s="12"/>
      <c r="B33" s="12"/>
      <c r="C33" s="12" t="s">
        <v>1067</v>
      </c>
      <c r="D33" s="19" t="s">
        <v>1068</v>
      </c>
      <c r="E33" s="111">
        <f t="shared" si="2"/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1">
        <f t="shared" si="3"/>
        <v>500000</v>
      </c>
      <c r="O33" s="112">
        <v>0</v>
      </c>
      <c r="P33" s="112">
        <v>0</v>
      </c>
      <c r="Q33" s="112">
        <v>0</v>
      </c>
      <c r="R33" s="112">
        <v>0</v>
      </c>
      <c r="S33" s="112">
        <v>500000</v>
      </c>
      <c r="T33" s="112">
        <v>0</v>
      </c>
      <c r="U33" s="112">
        <v>0</v>
      </c>
      <c r="V33" s="112">
        <v>0</v>
      </c>
    </row>
    <row r="34" spans="1:22" ht="33.75" customHeight="1">
      <c r="A34" s="12"/>
      <c r="B34" s="12"/>
      <c r="C34" s="12" t="s">
        <v>1200</v>
      </c>
      <c r="D34" s="19" t="s">
        <v>1201</v>
      </c>
      <c r="E34" s="111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1">
        <f t="shared" si="3"/>
        <v>1000000</v>
      </c>
      <c r="O34" s="112">
        <v>0</v>
      </c>
      <c r="P34" s="112">
        <v>0</v>
      </c>
      <c r="Q34" s="112">
        <v>0</v>
      </c>
      <c r="R34" s="112">
        <v>0</v>
      </c>
      <c r="S34" s="112">
        <v>1000000</v>
      </c>
      <c r="T34" s="112">
        <v>0</v>
      </c>
      <c r="U34" s="112">
        <v>0</v>
      </c>
      <c r="V34" s="112">
        <v>0</v>
      </c>
    </row>
    <row r="35" spans="1:22" ht="33.75" customHeight="1">
      <c r="A35" s="12"/>
      <c r="B35" s="12"/>
      <c r="C35" s="12" t="s">
        <v>1217</v>
      </c>
      <c r="D35" s="19" t="s">
        <v>1223</v>
      </c>
      <c r="E35" s="111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1">
        <f t="shared" si="3"/>
        <v>100000</v>
      </c>
      <c r="O35" s="112">
        <v>0</v>
      </c>
      <c r="P35" s="112">
        <v>0</v>
      </c>
      <c r="Q35" s="112">
        <v>0</v>
      </c>
      <c r="R35" s="112">
        <v>0</v>
      </c>
      <c r="S35" s="112">
        <v>100000</v>
      </c>
      <c r="T35" s="112">
        <v>0</v>
      </c>
      <c r="U35" s="112">
        <v>0</v>
      </c>
      <c r="V35" s="112">
        <v>0</v>
      </c>
    </row>
    <row r="36" spans="1:22" ht="33.75" customHeight="1">
      <c r="A36" s="12"/>
      <c r="B36" s="12"/>
      <c r="C36" s="12" t="s">
        <v>1218</v>
      </c>
      <c r="D36" s="19" t="s">
        <v>1224</v>
      </c>
      <c r="E36" s="111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1">
        <f t="shared" si="3"/>
        <v>500000</v>
      </c>
      <c r="O36" s="112">
        <v>0</v>
      </c>
      <c r="P36" s="112">
        <v>0</v>
      </c>
      <c r="Q36" s="112">
        <v>0</v>
      </c>
      <c r="R36" s="112">
        <v>0</v>
      </c>
      <c r="S36" s="112">
        <v>500000</v>
      </c>
      <c r="T36" s="112">
        <v>0</v>
      </c>
      <c r="U36" s="112">
        <v>0</v>
      </c>
      <c r="V36" s="112">
        <v>0</v>
      </c>
    </row>
    <row r="37" spans="1:22" ht="33.75" customHeight="1">
      <c r="A37" s="12"/>
      <c r="B37" s="12" t="s">
        <v>1203</v>
      </c>
      <c r="C37" s="12"/>
      <c r="D37" s="19" t="s">
        <v>1202</v>
      </c>
      <c r="E37" s="111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1">
        <f t="shared" si="3"/>
        <v>15000000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15000000</v>
      </c>
    </row>
    <row r="38" spans="1:22" ht="33.75" customHeight="1">
      <c r="A38" s="12"/>
      <c r="B38" s="12" t="s">
        <v>1206</v>
      </c>
      <c r="C38" s="12"/>
      <c r="D38" s="19" t="s">
        <v>1207</v>
      </c>
      <c r="E38" s="111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1">
        <f t="shared" si="3"/>
        <v>1850000</v>
      </c>
      <c r="O38" s="112">
        <v>0</v>
      </c>
      <c r="P38" s="112">
        <v>0</v>
      </c>
      <c r="Q38" s="112">
        <v>0</v>
      </c>
      <c r="R38" s="112">
        <v>0</v>
      </c>
      <c r="S38" s="112">
        <v>1850000</v>
      </c>
      <c r="T38" s="112">
        <v>0</v>
      </c>
      <c r="U38" s="112">
        <v>0</v>
      </c>
      <c r="V38" s="112">
        <v>0</v>
      </c>
    </row>
    <row r="39" spans="1:22" ht="33.75" customHeight="1">
      <c r="A39" s="12"/>
      <c r="B39" s="12" t="s">
        <v>1208</v>
      </c>
      <c r="C39" s="12"/>
      <c r="D39" s="19" t="s">
        <v>1209</v>
      </c>
      <c r="E39" s="111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1">
        <f t="shared" si="3"/>
        <v>5000000</v>
      </c>
      <c r="O39" s="112">
        <v>0</v>
      </c>
      <c r="P39" s="112">
        <v>0</v>
      </c>
      <c r="Q39" s="112">
        <v>0</v>
      </c>
      <c r="R39" s="112">
        <v>0</v>
      </c>
      <c r="S39" s="112">
        <v>5000000</v>
      </c>
      <c r="T39" s="112">
        <v>0</v>
      </c>
      <c r="U39" s="112">
        <v>0</v>
      </c>
      <c r="V39" s="112">
        <v>0</v>
      </c>
    </row>
    <row r="40" spans="1:22" ht="33.75" customHeight="1">
      <c r="A40" s="12"/>
      <c r="B40" s="12" t="s">
        <v>1210</v>
      </c>
      <c r="C40" s="12"/>
      <c r="D40" s="19" t="s">
        <v>1222</v>
      </c>
      <c r="E40" s="111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1">
        <f t="shared" si="3"/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</row>
    <row r="41" spans="1:22" ht="33.75" customHeight="1">
      <c r="A41" s="12"/>
      <c r="B41" s="12" t="s">
        <v>1211</v>
      </c>
      <c r="C41" s="12"/>
      <c r="D41" s="19" t="s">
        <v>1212</v>
      </c>
      <c r="E41" s="111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1">
        <f t="shared" si="3"/>
        <v>65000000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65000000</v>
      </c>
    </row>
    <row r="42" spans="1:22" ht="33.75" customHeight="1">
      <c r="A42" s="12"/>
      <c r="B42" s="12" t="s">
        <v>1213</v>
      </c>
      <c r="C42" s="12"/>
      <c r="D42" s="19" t="s">
        <v>1214</v>
      </c>
      <c r="E42" s="111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1">
        <f t="shared" si="3"/>
        <v>3000000</v>
      </c>
      <c r="O42" s="112">
        <v>0</v>
      </c>
      <c r="P42" s="112">
        <v>0</v>
      </c>
      <c r="Q42" s="112">
        <v>0</v>
      </c>
      <c r="R42" s="112">
        <v>0</v>
      </c>
      <c r="S42" s="112">
        <v>3000000</v>
      </c>
      <c r="T42" s="112">
        <v>0</v>
      </c>
      <c r="U42" s="112">
        <v>0</v>
      </c>
      <c r="V42" s="112">
        <v>0</v>
      </c>
    </row>
    <row r="43" spans="1:22" ht="33.75" customHeight="1">
      <c r="A43" s="12"/>
      <c r="B43" s="12" t="s">
        <v>1215</v>
      </c>
      <c r="C43" s="12"/>
      <c r="D43" s="19" t="s">
        <v>1216</v>
      </c>
      <c r="E43" s="111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1">
        <f t="shared" si="3"/>
        <v>11455400</v>
      </c>
      <c r="O43" s="112">
        <v>0</v>
      </c>
      <c r="P43" s="112">
        <v>0</v>
      </c>
      <c r="Q43" s="112">
        <v>11455400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</row>
    <row r="44" spans="1:22" ht="18">
      <c r="A44" s="12" t="s">
        <v>113</v>
      </c>
      <c r="B44" s="12"/>
      <c r="C44" s="12"/>
      <c r="D44" s="99" t="s">
        <v>42</v>
      </c>
      <c r="E44" s="25">
        <f t="shared" si="2"/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25">
        <f t="shared" si="3"/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</row>
    <row r="45" spans="1:22" ht="18">
      <c r="A45" s="12" t="s">
        <v>114</v>
      </c>
      <c r="B45" s="12"/>
      <c r="C45" s="12"/>
      <c r="D45" s="99" t="s">
        <v>44</v>
      </c>
      <c r="E45" s="25">
        <f t="shared" si="2"/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25">
        <v>0</v>
      </c>
      <c r="N45" s="25">
        <f t="shared" si="3"/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25">
        <v>0</v>
      </c>
    </row>
    <row r="46" spans="1:22" ht="33.75" customHeight="1">
      <c r="A46" s="326" t="s">
        <v>326</v>
      </c>
      <c r="B46" s="326"/>
      <c r="C46" s="326"/>
      <c r="D46" s="326"/>
      <c r="E46" s="25">
        <f t="shared" si="2"/>
        <v>86423200</v>
      </c>
      <c r="F46" s="144">
        <f aca="true" t="shared" si="6" ref="F46:M46">F10+F44+F45</f>
        <v>22540000</v>
      </c>
      <c r="G46" s="144">
        <f t="shared" si="6"/>
        <v>4309200</v>
      </c>
      <c r="H46" s="144">
        <f t="shared" si="6"/>
        <v>23274000</v>
      </c>
      <c r="I46" s="144">
        <f t="shared" si="6"/>
        <v>0</v>
      </c>
      <c r="J46" s="144">
        <f t="shared" si="6"/>
        <v>36300000</v>
      </c>
      <c r="K46" s="144">
        <f t="shared" si="6"/>
        <v>0</v>
      </c>
      <c r="L46" s="144">
        <f t="shared" si="6"/>
        <v>0</v>
      </c>
      <c r="M46" s="144">
        <f t="shared" si="6"/>
        <v>0</v>
      </c>
      <c r="N46" s="25">
        <f t="shared" si="3"/>
        <v>211509617</v>
      </c>
      <c r="O46" s="144">
        <f aca="true" t="shared" si="7" ref="O46:V46">O10+O44+O45</f>
        <v>3133093</v>
      </c>
      <c r="P46" s="144">
        <f t="shared" si="7"/>
        <v>4406452</v>
      </c>
      <c r="Q46" s="144">
        <f t="shared" si="7"/>
        <v>60076752</v>
      </c>
      <c r="R46" s="144">
        <f t="shared" si="7"/>
        <v>0</v>
      </c>
      <c r="S46" s="144">
        <f>S10+S44+S45</f>
        <v>58658000</v>
      </c>
      <c r="T46" s="144">
        <f t="shared" si="7"/>
        <v>20320</v>
      </c>
      <c r="U46" s="144">
        <f t="shared" si="7"/>
        <v>0</v>
      </c>
      <c r="V46" s="144">
        <f t="shared" si="7"/>
        <v>85215000</v>
      </c>
    </row>
    <row r="49" ht="12.75">
      <c r="N49" s="155"/>
    </row>
    <row r="51" ht="12.75">
      <c r="N51" s="155"/>
    </row>
  </sheetData>
  <sheetProtection selectLockedCells="1" selectUnlockedCells="1"/>
  <mergeCells count="17">
    <mergeCell ref="A1:V1"/>
    <mergeCell ref="A2:V2"/>
    <mergeCell ref="A3:V3"/>
    <mergeCell ref="A4:V4"/>
    <mergeCell ref="N7:N9"/>
    <mergeCell ref="A46:D46"/>
    <mergeCell ref="B7:B9"/>
    <mergeCell ref="D7:D9"/>
    <mergeCell ref="F7:M7"/>
    <mergeCell ref="F8:J8"/>
    <mergeCell ref="A7:A9"/>
    <mergeCell ref="K8:M8"/>
    <mergeCell ref="E7:E9"/>
    <mergeCell ref="C7:C9"/>
    <mergeCell ref="O7:V7"/>
    <mergeCell ref="O8:S8"/>
    <mergeCell ref="T8:V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4"/>
  <sheetViews>
    <sheetView view="pageBreakPreview" zoomScale="66" zoomScaleNormal="80" zoomScaleSheetLayoutView="66" zoomScalePageLayoutView="0" workbookViewId="0" topLeftCell="A1">
      <pane xSplit="4" ySplit="9" topLeftCell="E2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3.28125" style="0" customWidth="1"/>
    <col min="4" max="4" width="74.28125" style="0" customWidth="1"/>
    <col min="5" max="5" width="19.421875" style="0" customWidth="1"/>
    <col min="6" max="6" width="14.57421875" style="0" customWidth="1"/>
    <col min="7" max="7" width="16.140625" style="0" customWidth="1"/>
    <col min="8" max="9" width="14.57421875" style="0" customWidth="1"/>
    <col min="10" max="10" width="21.140625" style="0" customWidth="1"/>
    <col min="11" max="12" width="14.57421875" style="0" customWidth="1"/>
    <col min="13" max="13" width="18.7109375" style="0" customWidth="1"/>
    <col min="14" max="14" width="19.7109375" style="0" customWidth="1"/>
    <col min="15" max="15" width="13.140625" style="0" customWidth="1"/>
    <col min="16" max="16" width="17.28125" style="0" customWidth="1"/>
    <col min="17" max="17" width="15.421875" style="0" customWidth="1"/>
    <col min="19" max="19" width="20.421875" style="0" customWidth="1"/>
    <col min="20" max="20" width="12.7109375" style="0" customWidth="1"/>
    <col min="21" max="21" width="13.57421875" style="0" customWidth="1"/>
    <col min="22" max="22" width="20.140625" style="0" customWidth="1"/>
  </cols>
  <sheetData>
    <row r="1" spans="1:22" ht="18">
      <c r="A1" s="262" t="s">
        <v>1266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</row>
    <row r="2" spans="1:22" ht="18">
      <c r="A2" s="366" t="s">
        <v>1062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</row>
    <row r="3" spans="1:22" ht="18" customHeight="1">
      <c r="A3" s="358" t="s">
        <v>603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</row>
    <row r="4" spans="1:22" ht="18">
      <c r="A4" s="359" t="s">
        <v>604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2"/>
      <c r="V5" s="244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6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6" t="s">
        <v>181</v>
      </c>
    </row>
    <row r="7" spans="1:22" ht="12.75" customHeight="1">
      <c r="A7" s="273" t="s">
        <v>24</v>
      </c>
      <c r="B7" s="273" t="s">
        <v>185</v>
      </c>
      <c r="C7" s="273" t="s">
        <v>366</v>
      </c>
      <c r="D7" s="274" t="s">
        <v>25</v>
      </c>
      <c r="E7" s="274" t="s">
        <v>853</v>
      </c>
      <c r="F7" s="325" t="s">
        <v>26</v>
      </c>
      <c r="G7" s="325"/>
      <c r="H7" s="325"/>
      <c r="I7" s="325"/>
      <c r="J7" s="325"/>
      <c r="K7" s="325"/>
      <c r="L7" s="325"/>
      <c r="M7" s="325"/>
      <c r="N7" s="274" t="s">
        <v>1049</v>
      </c>
      <c r="O7" s="325" t="s">
        <v>1047</v>
      </c>
      <c r="P7" s="325"/>
      <c r="Q7" s="325"/>
      <c r="R7" s="325"/>
      <c r="S7" s="325"/>
      <c r="T7" s="325"/>
      <c r="U7" s="325"/>
      <c r="V7" s="325"/>
    </row>
    <row r="8" spans="1:22" ht="12.75" customHeight="1">
      <c r="A8" s="273"/>
      <c r="B8" s="273"/>
      <c r="C8" s="273"/>
      <c r="D8" s="274"/>
      <c r="E8" s="274"/>
      <c r="F8" s="363" t="s">
        <v>27</v>
      </c>
      <c r="G8" s="364"/>
      <c r="H8" s="364"/>
      <c r="I8" s="364"/>
      <c r="J8" s="365"/>
      <c r="K8" s="267" t="s">
        <v>28</v>
      </c>
      <c r="L8" s="267"/>
      <c r="M8" s="267"/>
      <c r="N8" s="274"/>
      <c r="O8" s="267" t="s">
        <v>27</v>
      </c>
      <c r="P8" s="267"/>
      <c r="Q8" s="267"/>
      <c r="R8" s="267"/>
      <c r="S8" s="267"/>
      <c r="T8" s="267" t="s">
        <v>28</v>
      </c>
      <c r="U8" s="267"/>
      <c r="V8" s="267"/>
    </row>
    <row r="9" spans="1:22" ht="84" customHeight="1">
      <c r="A9" s="273"/>
      <c r="B9" s="273"/>
      <c r="C9" s="273"/>
      <c r="D9" s="274"/>
      <c r="E9" s="274"/>
      <c r="F9" s="7" t="s">
        <v>29</v>
      </c>
      <c r="G9" s="7" t="s">
        <v>30</v>
      </c>
      <c r="H9" s="7" t="s">
        <v>31</v>
      </c>
      <c r="I9" s="7" t="s">
        <v>32</v>
      </c>
      <c r="J9" s="7" t="s">
        <v>33</v>
      </c>
      <c r="K9" s="7" t="s">
        <v>34</v>
      </c>
      <c r="L9" s="7" t="s">
        <v>35</v>
      </c>
      <c r="M9" s="7" t="s">
        <v>36</v>
      </c>
      <c r="N9" s="274"/>
      <c r="O9" s="7" t="s">
        <v>29</v>
      </c>
      <c r="P9" s="7" t="s">
        <v>30</v>
      </c>
      <c r="Q9" s="7" t="s">
        <v>31</v>
      </c>
      <c r="R9" s="7" t="s">
        <v>32</v>
      </c>
      <c r="S9" s="7" t="s">
        <v>33</v>
      </c>
      <c r="T9" s="7" t="s">
        <v>34</v>
      </c>
      <c r="U9" s="7" t="s">
        <v>35</v>
      </c>
      <c r="V9" s="7" t="s">
        <v>36</v>
      </c>
    </row>
    <row r="10" spans="1:22" ht="18">
      <c r="A10" s="12" t="s">
        <v>117</v>
      </c>
      <c r="B10" s="12"/>
      <c r="C10" s="12"/>
      <c r="D10" s="99" t="s">
        <v>40</v>
      </c>
      <c r="E10" s="25">
        <f>SUM(F10:M10)</f>
        <v>2303800000</v>
      </c>
      <c r="F10" s="144">
        <f aca="true" t="shared" si="0" ref="F10:M10">F11</f>
        <v>0</v>
      </c>
      <c r="G10" s="144">
        <f t="shared" si="0"/>
        <v>0</v>
      </c>
      <c r="H10" s="144">
        <f t="shared" si="0"/>
        <v>0</v>
      </c>
      <c r="I10" s="144">
        <f t="shared" si="0"/>
        <v>0</v>
      </c>
      <c r="J10" s="144">
        <f t="shared" si="0"/>
        <v>2196500000</v>
      </c>
      <c r="K10" s="144">
        <f t="shared" si="0"/>
        <v>0</v>
      </c>
      <c r="L10" s="144">
        <f t="shared" si="0"/>
        <v>0</v>
      </c>
      <c r="M10" s="144">
        <f t="shared" si="0"/>
        <v>107300000</v>
      </c>
      <c r="N10" s="25">
        <f aca="true" t="shared" si="1" ref="N10:N50">SUM(O10:V10)</f>
        <v>2466100000</v>
      </c>
      <c r="O10" s="144">
        <f aca="true" t="shared" si="2" ref="O10:V10">O11</f>
        <v>0</v>
      </c>
      <c r="P10" s="144">
        <f t="shared" si="2"/>
        <v>0</v>
      </c>
      <c r="Q10" s="144">
        <f t="shared" si="2"/>
        <v>0</v>
      </c>
      <c r="R10" s="144">
        <f t="shared" si="2"/>
        <v>0</v>
      </c>
      <c r="S10" s="144">
        <f t="shared" si="2"/>
        <v>2306100000</v>
      </c>
      <c r="T10" s="144">
        <f t="shared" si="2"/>
        <v>0</v>
      </c>
      <c r="U10" s="144">
        <f t="shared" si="2"/>
        <v>0</v>
      </c>
      <c r="V10" s="144">
        <f t="shared" si="2"/>
        <v>160000000</v>
      </c>
    </row>
    <row r="11" spans="1:22" ht="30">
      <c r="A11" s="12"/>
      <c r="B11" s="12" t="s">
        <v>605</v>
      </c>
      <c r="C11" s="12"/>
      <c r="D11" s="19" t="s">
        <v>606</v>
      </c>
      <c r="E11" s="25">
        <f>SUM(F11:M11)</f>
        <v>2303800000</v>
      </c>
      <c r="F11" s="158">
        <f aca="true" t="shared" si="3" ref="F11:M11">SUM(F12:F22)</f>
        <v>0</v>
      </c>
      <c r="G11" s="158">
        <f t="shared" si="3"/>
        <v>0</v>
      </c>
      <c r="H11" s="158">
        <f t="shared" si="3"/>
        <v>0</v>
      </c>
      <c r="I11" s="158">
        <f t="shared" si="3"/>
        <v>0</v>
      </c>
      <c r="J11" s="158">
        <f t="shared" si="3"/>
        <v>2196500000</v>
      </c>
      <c r="K11" s="158">
        <f t="shared" si="3"/>
        <v>0</v>
      </c>
      <c r="L11" s="158">
        <f t="shared" si="3"/>
        <v>0</v>
      </c>
      <c r="M11" s="158">
        <f t="shared" si="3"/>
        <v>107300000</v>
      </c>
      <c r="N11" s="25">
        <f t="shared" si="1"/>
        <v>2466100000</v>
      </c>
      <c r="O11" s="158">
        <f aca="true" t="shared" si="4" ref="O11:V11">SUM(O12:O22)</f>
        <v>0</v>
      </c>
      <c r="P11" s="158">
        <f t="shared" si="4"/>
        <v>0</v>
      </c>
      <c r="Q11" s="158">
        <f t="shared" si="4"/>
        <v>0</v>
      </c>
      <c r="R11" s="158">
        <f t="shared" si="4"/>
        <v>0</v>
      </c>
      <c r="S11" s="158">
        <f t="shared" si="4"/>
        <v>2306100000</v>
      </c>
      <c r="T11" s="158">
        <f t="shared" si="4"/>
        <v>0</v>
      </c>
      <c r="U11" s="158">
        <f t="shared" si="4"/>
        <v>0</v>
      </c>
      <c r="V11" s="158">
        <f t="shared" si="4"/>
        <v>160000000</v>
      </c>
    </row>
    <row r="12" spans="1:22" ht="18">
      <c r="A12" s="12"/>
      <c r="B12" s="12"/>
      <c r="C12" s="12" t="s">
        <v>607</v>
      </c>
      <c r="D12" s="19" t="s">
        <v>1029</v>
      </c>
      <c r="E12" s="111">
        <f aca="true" t="shared" si="5" ref="E12:E39">SUM(F12:M12)</f>
        <v>135000000</v>
      </c>
      <c r="F12" s="112">
        <v>0</v>
      </c>
      <c r="G12" s="112">
        <v>0</v>
      </c>
      <c r="H12" s="112">
        <v>0</v>
      </c>
      <c r="I12" s="112">
        <v>0</v>
      </c>
      <c r="J12" s="112">
        <v>120000000</v>
      </c>
      <c r="K12" s="112">
        <v>0</v>
      </c>
      <c r="L12" s="112">
        <v>0</v>
      </c>
      <c r="M12" s="112">
        <v>15000000</v>
      </c>
      <c r="N12" s="111">
        <f t="shared" si="1"/>
        <v>135000000</v>
      </c>
      <c r="O12" s="112">
        <v>0</v>
      </c>
      <c r="P12" s="112">
        <v>0</v>
      </c>
      <c r="Q12" s="112">
        <v>0</v>
      </c>
      <c r="R12" s="112">
        <v>0</v>
      </c>
      <c r="S12" s="112">
        <v>120000000</v>
      </c>
      <c r="T12" s="112">
        <v>0</v>
      </c>
      <c r="U12" s="112">
        <v>0</v>
      </c>
      <c r="V12" s="112">
        <v>15000000</v>
      </c>
    </row>
    <row r="13" spans="1:22" ht="18">
      <c r="A13" s="12"/>
      <c r="B13" s="12"/>
      <c r="C13" s="12" t="s">
        <v>969</v>
      </c>
      <c r="D13" s="19" t="s">
        <v>609</v>
      </c>
      <c r="E13" s="111">
        <f t="shared" si="5"/>
        <v>61000000</v>
      </c>
      <c r="F13" s="112">
        <v>0</v>
      </c>
      <c r="G13" s="112">
        <v>0</v>
      </c>
      <c r="H13" s="112">
        <v>0</v>
      </c>
      <c r="I13" s="112">
        <v>0</v>
      </c>
      <c r="J13" s="112">
        <v>60000000</v>
      </c>
      <c r="K13" s="112">
        <v>0</v>
      </c>
      <c r="L13" s="112">
        <v>0</v>
      </c>
      <c r="M13" s="112">
        <v>1000000</v>
      </c>
      <c r="N13" s="111">
        <f t="shared" si="1"/>
        <v>61000000</v>
      </c>
      <c r="O13" s="112">
        <v>0</v>
      </c>
      <c r="P13" s="112">
        <v>0</v>
      </c>
      <c r="Q13" s="112">
        <v>0</v>
      </c>
      <c r="R13" s="112">
        <v>0</v>
      </c>
      <c r="S13" s="112">
        <v>60000000</v>
      </c>
      <c r="T13" s="112">
        <v>0</v>
      </c>
      <c r="U13" s="112">
        <v>0</v>
      </c>
      <c r="V13" s="112">
        <v>1000000</v>
      </c>
    </row>
    <row r="14" spans="1:22" ht="18">
      <c r="A14" s="12"/>
      <c r="B14" s="12"/>
      <c r="C14" s="12" t="s">
        <v>608</v>
      </c>
      <c r="D14" s="19" t="s">
        <v>611</v>
      </c>
      <c r="E14" s="111">
        <f t="shared" si="5"/>
        <v>550000000</v>
      </c>
      <c r="F14" s="112">
        <v>0</v>
      </c>
      <c r="G14" s="112">
        <v>0</v>
      </c>
      <c r="H14" s="112">
        <v>0</v>
      </c>
      <c r="I14" s="112">
        <v>0</v>
      </c>
      <c r="J14" s="112">
        <v>550000000</v>
      </c>
      <c r="K14" s="112">
        <v>0</v>
      </c>
      <c r="L14" s="112">
        <v>0</v>
      </c>
      <c r="M14" s="112">
        <v>0</v>
      </c>
      <c r="N14" s="111">
        <f t="shared" si="1"/>
        <v>550000000</v>
      </c>
      <c r="O14" s="112">
        <v>0</v>
      </c>
      <c r="P14" s="112">
        <v>0</v>
      </c>
      <c r="Q14" s="112">
        <v>0</v>
      </c>
      <c r="R14" s="112">
        <v>0</v>
      </c>
      <c r="S14" s="112">
        <v>550000000</v>
      </c>
      <c r="T14" s="112">
        <v>0</v>
      </c>
      <c r="U14" s="112">
        <v>0</v>
      </c>
      <c r="V14" s="112">
        <v>0</v>
      </c>
    </row>
    <row r="15" spans="1:22" ht="30">
      <c r="A15" s="12"/>
      <c r="B15" s="12"/>
      <c r="C15" s="12" t="s">
        <v>610</v>
      </c>
      <c r="D15" s="19" t="s">
        <v>613</v>
      </c>
      <c r="E15" s="111">
        <f t="shared" si="5"/>
        <v>30000000</v>
      </c>
      <c r="F15" s="112">
        <v>0</v>
      </c>
      <c r="G15" s="112">
        <v>0</v>
      </c>
      <c r="H15" s="112">
        <v>0</v>
      </c>
      <c r="I15" s="112">
        <v>0</v>
      </c>
      <c r="J15" s="112">
        <v>30000000</v>
      </c>
      <c r="K15" s="112">
        <v>0</v>
      </c>
      <c r="L15" s="112">
        <v>0</v>
      </c>
      <c r="M15" s="112">
        <v>0</v>
      </c>
      <c r="N15" s="111">
        <f t="shared" si="1"/>
        <v>30000000</v>
      </c>
      <c r="O15" s="112">
        <v>0</v>
      </c>
      <c r="P15" s="112">
        <v>0</v>
      </c>
      <c r="Q15" s="112">
        <v>0</v>
      </c>
      <c r="R15" s="112">
        <v>0</v>
      </c>
      <c r="S15" s="112">
        <v>30000000</v>
      </c>
      <c r="T15" s="112">
        <v>0</v>
      </c>
      <c r="U15" s="112">
        <v>0</v>
      </c>
      <c r="V15" s="112">
        <v>0</v>
      </c>
    </row>
    <row r="16" spans="1:22" ht="30">
      <c r="A16" s="12"/>
      <c r="B16" s="12"/>
      <c r="C16" s="12" t="s">
        <v>612</v>
      </c>
      <c r="D16" s="19" t="s">
        <v>615</v>
      </c>
      <c r="E16" s="111">
        <f t="shared" si="5"/>
        <v>50000000</v>
      </c>
      <c r="F16" s="112">
        <v>0</v>
      </c>
      <c r="G16" s="112">
        <v>0</v>
      </c>
      <c r="H16" s="112">
        <v>0</v>
      </c>
      <c r="I16" s="112">
        <v>0</v>
      </c>
      <c r="J16" s="112">
        <v>50000000</v>
      </c>
      <c r="K16" s="112">
        <v>0</v>
      </c>
      <c r="L16" s="112">
        <v>0</v>
      </c>
      <c r="M16" s="112">
        <v>0</v>
      </c>
      <c r="N16" s="111">
        <f t="shared" si="1"/>
        <v>50000000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50000000</v>
      </c>
    </row>
    <row r="17" spans="1:22" ht="18">
      <c r="A17" s="12"/>
      <c r="B17" s="12"/>
      <c r="C17" s="12" t="s">
        <v>614</v>
      </c>
      <c r="D17" s="19" t="s">
        <v>617</v>
      </c>
      <c r="E17" s="111">
        <f t="shared" si="5"/>
        <v>159000000</v>
      </c>
      <c r="F17" s="112">
        <v>0</v>
      </c>
      <c r="G17" s="112">
        <v>0</v>
      </c>
      <c r="H17" s="112">
        <v>0</v>
      </c>
      <c r="I17" s="112">
        <v>0</v>
      </c>
      <c r="J17" s="112">
        <v>154000000</v>
      </c>
      <c r="K17" s="112">
        <v>0</v>
      </c>
      <c r="L17" s="112">
        <v>0</v>
      </c>
      <c r="M17" s="112">
        <v>5000000</v>
      </c>
      <c r="N17" s="111">
        <f t="shared" si="1"/>
        <v>159000000</v>
      </c>
      <c r="O17" s="112">
        <v>0</v>
      </c>
      <c r="P17" s="112">
        <v>0</v>
      </c>
      <c r="Q17" s="112">
        <v>0</v>
      </c>
      <c r="R17" s="112">
        <v>0</v>
      </c>
      <c r="S17" s="112">
        <v>145300000</v>
      </c>
      <c r="T17" s="112">
        <v>0</v>
      </c>
      <c r="U17" s="112">
        <v>0</v>
      </c>
      <c r="V17" s="112">
        <v>13700000</v>
      </c>
    </row>
    <row r="18" spans="1:22" ht="18">
      <c r="A18" s="12"/>
      <c r="B18" s="12"/>
      <c r="C18" s="12" t="s">
        <v>616</v>
      </c>
      <c r="D18" s="19" t="s">
        <v>619</v>
      </c>
      <c r="E18" s="111">
        <f t="shared" si="5"/>
        <v>200000000</v>
      </c>
      <c r="F18" s="112">
        <v>0</v>
      </c>
      <c r="G18" s="112">
        <v>0</v>
      </c>
      <c r="H18" s="112">
        <v>0</v>
      </c>
      <c r="I18" s="112">
        <v>0</v>
      </c>
      <c r="J18" s="216">
        <v>200000000</v>
      </c>
      <c r="K18" s="112">
        <v>0</v>
      </c>
      <c r="L18" s="112">
        <v>0</v>
      </c>
      <c r="M18" s="112">
        <v>0</v>
      </c>
      <c r="N18" s="111">
        <f t="shared" si="1"/>
        <v>300000000</v>
      </c>
      <c r="O18" s="112">
        <v>0</v>
      </c>
      <c r="P18" s="112">
        <v>0</v>
      </c>
      <c r="Q18" s="112">
        <v>0</v>
      </c>
      <c r="R18" s="112">
        <v>0</v>
      </c>
      <c r="S18" s="216">
        <v>300000000</v>
      </c>
      <c r="T18" s="112">
        <v>0</v>
      </c>
      <c r="U18" s="112">
        <v>0</v>
      </c>
      <c r="V18" s="112">
        <v>0</v>
      </c>
    </row>
    <row r="19" spans="1:22" ht="18">
      <c r="A19" s="12"/>
      <c r="B19" s="12"/>
      <c r="C19" s="12" t="s">
        <v>618</v>
      </c>
      <c r="D19" s="19" t="s">
        <v>621</v>
      </c>
      <c r="E19" s="111">
        <f t="shared" si="5"/>
        <v>70000000</v>
      </c>
      <c r="F19" s="112">
        <v>0</v>
      </c>
      <c r="G19" s="112">
        <v>0</v>
      </c>
      <c r="H19" s="112">
        <v>0</v>
      </c>
      <c r="I19" s="112">
        <v>0</v>
      </c>
      <c r="J19" s="216">
        <v>64000000</v>
      </c>
      <c r="K19" s="216">
        <v>0</v>
      </c>
      <c r="L19" s="216">
        <v>0</v>
      </c>
      <c r="M19" s="216">
        <v>6000000</v>
      </c>
      <c r="N19" s="111">
        <f t="shared" si="1"/>
        <v>114800000</v>
      </c>
      <c r="O19" s="112">
        <v>0</v>
      </c>
      <c r="P19" s="112">
        <v>0</v>
      </c>
      <c r="Q19" s="112">
        <v>0</v>
      </c>
      <c r="R19" s="112">
        <v>0</v>
      </c>
      <c r="S19" s="216">
        <v>114800000</v>
      </c>
      <c r="T19" s="216">
        <v>0</v>
      </c>
      <c r="U19" s="216">
        <v>0</v>
      </c>
      <c r="V19" s="216">
        <v>0</v>
      </c>
    </row>
    <row r="20" spans="1:22" ht="18">
      <c r="A20" s="12"/>
      <c r="B20" s="12"/>
      <c r="C20" s="12" t="s">
        <v>620</v>
      </c>
      <c r="D20" s="19" t="s">
        <v>623</v>
      </c>
      <c r="E20" s="111">
        <f t="shared" si="5"/>
        <v>550000000</v>
      </c>
      <c r="F20" s="112">
        <v>0</v>
      </c>
      <c r="G20" s="112">
        <v>0</v>
      </c>
      <c r="H20" s="112">
        <v>0</v>
      </c>
      <c r="I20" s="112">
        <v>0</v>
      </c>
      <c r="J20" s="112">
        <v>500000000</v>
      </c>
      <c r="K20" s="112">
        <v>0</v>
      </c>
      <c r="L20" s="112">
        <v>0</v>
      </c>
      <c r="M20" s="112">
        <v>50000000</v>
      </c>
      <c r="N20" s="111">
        <f t="shared" si="1"/>
        <v>542500000</v>
      </c>
      <c r="O20" s="112">
        <v>0</v>
      </c>
      <c r="P20" s="112">
        <v>0</v>
      </c>
      <c r="Q20" s="112">
        <v>0</v>
      </c>
      <c r="R20" s="112">
        <v>0</v>
      </c>
      <c r="S20" s="112">
        <v>492500000</v>
      </c>
      <c r="T20" s="112">
        <v>0</v>
      </c>
      <c r="U20" s="112">
        <v>0</v>
      </c>
      <c r="V20" s="112">
        <v>50000000</v>
      </c>
    </row>
    <row r="21" spans="1:22" ht="18">
      <c r="A21" s="12"/>
      <c r="B21" s="12"/>
      <c r="C21" s="12" t="s">
        <v>622</v>
      </c>
      <c r="D21" s="19" t="s">
        <v>1030</v>
      </c>
      <c r="E21" s="111">
        <f t="shared" si="5"/>
        <v>298500000</v>
      </c>
      <c r="F21" s="112">
        <v>0</v>
      </c>
      <c r="G21" s="112">
        <v>0</v>
      </c>
      <c r="H21" s="112">
        <v>0</v>
      </c>
      <c r="I21" s="112">
        <v>0</v>
      </c>
      <c r="J21" s="216">
        <v>283500000</v>
      </c>
      <c r="K21" s="216">
        <v>0</v>
      </c>
      <c r="L21" s="216">
        <v>0</v>
      </c>
      <c r="M21" s="216">
        <v>15000000</v>
      </c>
      <c r="N21" s="111">
        <f t="shared" si="1"/>
        <v>323500000</v>
      </c>
      <c r="O21" s="112">
        <v>0</v>
      </c>
      <c r="P21" s="112">
        <v>0</v>
      </c>
      <c r="Q21" s="112">
        <v>0</v>
      </c>
      <c r="R21" s="112">
        <v>0</v>
      </c>
      <c r="S21" s="216">
        <f>283500000+25000000</f>
        <v>308500000</v>
      </c>
      <c r="T21" s="216">
        <v>0</v>
      </c>
      <c r="U21" s="216">
        <v>0</v>
      </c>
      <c r="V21" s="216">
        <v>15000000</v>
      </c>
    </row>
    <row r="22" spans="1:22" ht="18">
      <c r="A22" s="12"/>
      <c r="B22" s="12"/>
      <c r="C22" s="12" t="s">
        <v>624</v>
      </c>
      <c r="D22" s="19" t="s">
        <v>625</v>
      </c>
      <c r="E22" s="111">
        <f t="shared" si="5"/>
        <v>200300000</v>
      </c>
      <c r="F22" s="112">
        <v>0</v>
      </c>
      <c r="G22" s="112">
        <v>0</v>
      </c>
      <c r="H22" s="112">
        <v>0</v>
      </c>
      <c r="I22" s="112">
        <v>0</v>
      </c>
      <c r="J22" s="112">
        <v>185000000</v>
      </c>
      <c r="K22" s="112">
        <v>0</v>
      </c>
      <c r="L22" s="112">
        <v>0</v>
      </c>
      <c r="M22" s="112">
        <v>15300000</v>
      </c>
      <c r="N22" s="111">
        <f t="shared" si="1"/>
        <v>200300000</v>
      </c>
      <c r="O22" s="112">
        <v>0</v>
      </c>
      <c r="P22" s="112">
        <v>0</v>
      </c>
      <c r="Q22" s="112">
        <v>0</v>
      </c>
      <c r="R22" s="112">
        <v>0</v>
      </c>
      <c r="S22" s="112">
        <v>185000000</v>
      </c>
      <c r="T22" s="112">
        <v>0</v>
      </c>
      <c r="U22" s="112">
        <v>0</v>
      </c>
      <c r="V22" s="112">
        <v>15300000</v>
      </c>
    </row>
    <row r="23" spans="1:22" ht="18">
      <c r="A23" s="12" t="s">
        <v>118</v>
      </c>
      <c r="B23" s="12"/>
      <c r="C23" s="12"/>
      <c r="D23" s="99" t="s">
        <v>42</v>
      </c>
      <c r="E23" s="25">
        <f t="shared" si="5"/>
        <v>347839231</v>
      </c>
      <c r="F23" s="144">
        <f aca="true" t="shared" si="6" ref="F23:M23">F24+F33+F40</f>
        <v>0</v>
      </c>
      <c r="G23" s="144">
        <f t="shared" si="6"/>
        <v>0</v>
      </c>
      <c r="H23" s="144">
        <f t="shared" si="6"/>
        <v>20970000</v>
      </c>
      <c r="I23" s="144">
        <f t="shared" si="6"/>
        <v>0</v>
      </c>
      <c r="J23" s="144">
        <f t="shared" si="6"/>
        <v>326869231</v>
      </c>
      <c r="K23" s="144">
        <f t="shared" si="6"/>
        <v>0</v>
      </c>
      <c r="L23" s="144">
        <f t="shared" si="6"/>
        <v>0</v>
      </c>
      <c r="M23" s="144">
        <f t="shared" si="6"/>
        <v>0</v>
      </c>
      <c r="N23" s="25">
        <f t="shared" si="1"/>
        <v>480523860</v>
      </c>
      <c r="O23" s="144">
        <f aca="true" t="shared" si="7" ref="O23:V23">O24+O33+O40</f>
        <v>0</v>
      </c>
      <c r="P23" s="144">
        <f t="shared" si="7"/>
        <v>0</v>
      </c>
      <c r="Q23" s="144">
        <f t="shared" si="7"/>
        <v>23054629</v>
      </c>
      <c r="R23" s="144">
        <f t="shared" si="7"/>
        <v>0</v>
      </c>
      <c r="S23" s="144">
        <f t="shared" si="7"/>
        <v>415969231</v>
      </c>
      <c r="T23" s="144">
        <f t="shared" si="7"/>
        <v>0</v>
      </c>
      <c r="U23" s="144">
        <f t="shared" si="7"/>
        <v>0</v>
      </c>
      <c r="V23" s="144">
        <f t="shared" si="7"/>
        <v>41500000</v>
      </c>
    </row>
    <row r="24" spans="1:22" ht="18">
      <c r="A24" s="12"/>
      <c r="B24" s="12" t="s">
        <v>626</v>
      </c>
      <c r="C24" s="12"/>
      <c r="D24" s="99" t="s">
        <v>627</v>
      </c>
      <c r="E24" s="25">
        <f t="shared" si="5"/>
        <v>210769231</v>
      </c>
      <c r="F24" s="144">
        <f>SUM(F25:F32)</f>
        <v>0</v>
      </c>
      <c r="G24" s="144">
        <f aca="true" t="shared" si="8" ref="G24:M24">SUM(G25:G32)</f>
        <v>0</v>
      </c>
      <c r="H24" s="144">
        <f t="shared" si="8"/>
        <v>0</v>
      </c>
      <c r="I24" s="144">
        <f t="shared" si="8"/>
        <v>0</v>
      </c>
      <c r="J24" s="144">
        <f t="shared" si="8"/>
        <v>210769231</v>
      </c>
      <c r="K24" s="144">
        <f t="shared" si="8"/>
        <v>0</v>
      </c>
      <c r="L24" s="144">
        <f t="shared" si="8"/>
        <v>0</v>
      </c>
      <c r="M24" s="144">
        <f t="shared" si="8"/>
        <v>0</v>
      </c>
      <c r="N24" s="25">
        <f t="shared" si="1"/>
        <v>339769231</v>
      </c>
      <c r="O24" s="144">
        <f>SUM(O25:O32)</f>
        <v>0</v>
      </c>
      <c r="P24" s="144">
        <f aca="true" t="shared" si="9" ref="P24:V24">SUM(P25:P32)</f>
        <v>0</v>
      </c>
      <c r="Q24" s="144">
        <f t="shared" si="9"/>
        <v>0</v>
      </c>
      <c r="R24" s="144">
        <f t="shared" si="9"/>
        <v>0</v>
      </c>
      <c r="S24" s="144">
        <f t="shared" si="9"/>
        <v>299769231</v>
      </c>
      <c r="T24" s="144">
        <f t="shared" si="9"/>
        <v>0</v>
      </c>
      <c r="U24" s="144">
        <f t="shared" si="9"/>
        <v>0</v>
      </c>
      <c r="V24" s="144">
        <f t="shared" si="9"/>
        <v>40000000</v>
      </c>
    </row>
    <row r="25" spans="1:22" s="161" customFormat="1" ht="18">
      <c r="A25" s="12"/>
      <c r="B25" s="12"/>
      <c r="C25" s="12" t="s">
        <v>628</v>
      </c>
      <c r="D25" s="19" t="s">
        <v>1028</v>
      </c>
      <c r="E25" s="111">
        <f t="shared" si="5"/>
        <v>20000000</v>
      </c>
      <c r="F25" s="112">
        <v>0</v>
      </c>
      <c r="G25" s="112">
        <v>0</v>
      </c>
      <c r="H25" s="112">
        <v>0</v>
      </c>
      <c r="I25" s="112">
        <v>0</v>
      </c>
      <c r="J25" s="112">
        <v>20000000</v>
      </c>
      <c r="K25" s="112">
        <v>0</v>
      </c>
      <c r="L25" s="112">
        <v>0</v>
      </c>
      <c r="M25" s="112">
        <v>0</v>
      </c>
      <c r="N25" s="111">
        <f t="shared" si="1"/>
        <v>40000000</v>
      </c>
      <c r="O25" s="112">
        <v>0</v>
      </c>
      <c r="P25" s="112">
        <v>0</v>
      </c>
      <c r="Q25" s="112">
        <v>0</v>
      </c>
      <c r="R25" s="112">
        <v>0</v>
      </c>
      <c r="S25" s="112">
        <v>40000000</v>
      </c>
      <c r="T25" s="112">
        <v>0</v>
      </c>
      <c r="U25" s="112">
        <v>0</v>
      </c>
      <c r="V25" s="112">
        <v>0</v>
      </c>
    </row>
    <row r="26" spans="1:22" ht="30">
      <c r="A26" s="12"/>
      <c r="B26" s="12"/>
      <c r="C26" s="12" t="s">
        <v>629</v>
      </c>
      <c r="D26" s="19" t="s">
        <v>631</v>
      </c>
      <c r="E26" s="111">
        <f t="shared" si="5"/>
        <v>2131176</v>
      </c>
      <c r="F26" s="112">
        <v>0</v>
      </c>
      <c r="G26" s="112">
        <v>0</v>
      </c>
      <c r="H26" s="112">
        <v>0</v>
      </c>
      <c r="I26" s="112">
        <v>0</v>
      </c>
      <c r="J26" s="112">
        <v>2131176</v>
      </c>
      <c r="K26" s="112">
        <v>0</v>
      </c>
      <c r="L26" s="112">
        <v>0</v>
      </c>
      <c r="M26" s="112">
        <v>0</v>
      </c>
      <c r="N26" s="111">
        <f t="shared" si="1"/>
        <v>21131176</v>
      </c>
      <c r="O26" s="112">
        <v>0</v>
      </c>
      <c r="P26" s="112">
        <v>0</v>
      </c>
      <c r="Q26" s="112">
        <v>0</v>
      </c>
      <c r="R26" s="112">
        <v>0</v>
      </c>
      <c r="S26" s="112">
        <v>21131176</v>
      </c>
      <c r="T26" s="112">
        <v>0</v>
      </c>
      <c r="U26" s="112">
        <v>0</v>
      </c>
      <c r="V26" s="112">
        <v>0</v>
      </c>
    </row>
    <row r="27" spans="1:22" ht="18">
      <c r="A27" s="12"/>
      <c r="B27" s="12"/>
      <c r="C27" s="12" t="s">
        <v>630</v>
      </c>
      <c r="D27" s="19" t="s">
        <v>633</v>
      </c>
      <c r="E27" s="111">
        <f t="shared" si="5"/>
        <v>27650567</v>
      </c>
      <c r="F27" s="112">
        <v>0</v>
      </c>
      <c r="G27" s="112">
        <v>0</v>
      </c>
      <c r="H27" s="112">
        <v>0</v>
      </c>
      <c r="I27" s="112">
        <v>0</v>
      </c>
      <c r="J27" s="112">
        <v>27650567</v>
      </c>
      <c r="K27" s="112">
        <v>0</v>
      </c>
      <c r="L27" s="112">
        <v>0</v>
      </c>
      <c r="M27" s="112">
        <v>0</v>
      </c>
      <c r="N27" s="111">
        <f t="shared" si="1"/>
        <v>27650567</v>
      </c>
      <c r="O27" s="112">
        <v>0</v>
      </c>
      <c r="P27" s="112">
        <v>0</v>
      </c>
      <c r="Q27" s="112">
        <v>0</v>
      </c>
      <c r="R27" s="112">
        <v>0</v>
      </c>
      <c r="S27" s="112">
        <v>27650567</v>
      </c>
      <c r="T27" s="112">
        <v>0</v>
      </c>
      <c r="U27" s="112">
        <v>0</v>
      </c>
      <c r="V27" s="112">
        <v>0</v>
      </c>
    </row>
    <row r="28" spans="1:22" ht="18">
      <c r="A28" s="12"/>
      <c r="B28" s="12"/>
      <c r="C28" s="12" t="s">
        <v>632</v>
      </c>
      <c r="D28" s="19" t="s">
        <v>1027</v>
      </c>
      <c r="E28" s="111">
        <f t="shared" si="5"/>
        <v>40000000</v>
      </c>
      <c r="F28" s="112">
        <v>0</v>
      </c>
      <c r="G28" s="112">
        <v>0</v>
      </c>
      <c r="H28" s="112">
        <v>0</v>
      </c>
      <c r="I28" s="112">
        <v>0</v>
      </c>
      <c r="J28" s="112">
        <v>40000000</v>
      </c>
      <c r="K28" s="112">
        <v>0</v>
      </c>
      <c r="L28" s="112">
        <v>0</v>
      </c>
      <c r="M28" s="112">
        <v>0</v>
      </c>
      <c r="N28" s="111">
        <f t="shared" si="1"/>
        <v>90000000</v>
      </c>
      <c r="O28" s="112">
        <v>0</v>
      </c>
      <c r="P28" s="112">
        <v>0</v>
      </c>
      <c r="Q28" s="112">
        <v>0</v>
      </c>
      <c r="R28" s="112">
        <v>0</v>
      </c>
      <c r="S28" s="112">
        <v>60000000</v>
      </c>
      <c r="T28" s="112">
        <v>0</v>
      </c>
      <c r="U28" s="112">
        <v>0</v>
      </c>
      <c r="V28" s="112">
        <v>30000000</v>
      </c>
    </row>
    <row r="29" spans="1:22" ht="18">
      <c r="A29" s="12"/>
      <c r="B29" s="12"/>
      <c r="C29" s="12" t="s">
        <v>634</v>
      </c>
      <c r="D29" s="19" t="s">
        <v>636</v>
      </c>
      <c r="E29" s="111">
        <f t="shared" si="5"/>
        <v>50000000</v>
      </c>
      <c r="F29" s="112">
        <v>0</v>
      </c>
      <c r="G29" s="112">
        <v>0</v>
      </c>
      <c r="H29" s="112">
        <v>0</v>
      </c>
      <c r="I29" s="112">
        <v>0</v>
      </c>
      <c r="J29" s="112">
        <v>50000000</v>
      </c>
      <c r="K29" s="112">
        <v>0</v>
      </c>
      <c r="L29" s="112">
        <v>0</v>
      </c>
      <c r="M29" s="112">
        <v>0</v>
      </c>
      <c r="N29" s="111">
        <f t="shared" si="1"/>
        <v>50000000</v>
      </c>
      <c r="O29" s="112">
        <v>0</v>
      </c>
      <c r="P29" s="112">
        <v>0</v>
      </c>
      <c r="Q29" s="112">
        <v>0</v>
      </c>
      <c r="R29" s="112">
        <v>0</v>
      </c>
      <c r="S29" s="112">
        <v>40000000</v>
      </c>
      <c r="T29" s="112">
        <v>0</v>
      </c>
      <c r="U29" s="112">
        <v>0</v>
      </c>
      <c r="V29" s="112">
        <v>10000000</v>
      </c>
    </row>
    <row r="30" spans="1:22" ht="18">
      <c r="A30" s="12"/>
      <c r="B30" s="12"/>
      <c r="C30" s="12" t="s">
        <v>635</v>
      </c>
      <c r="D30" s="163" t="s">
        <v>638</v>
      </c>
      <c r="E30" s="111">
        <f t="shared" si="5"/>
        <v>30000000</v>
      </c>
      <c r="F30" s="112">
        <v>0</v>
      </c>
      <c r="G30" s="112">
        <v>0</v>
      </c>
      <c r="H30" s="112">
        <v>0</v>
      </c>
      <c r="I30" s="112">
        <v>0</v>
      </c>
      <c r="J30" s="112">
        <v>30000000</v>
      </c>
      <c r="K30" s="112">
        <v>0</v>
      </c>
      <c r="L30" s="112">
        <v>0</v>
      </c>
      <c r="M30" s="112">
        <v>0</v>
      </c>
      <c r="N30" s="111">
        <f t="shared" si="1"/>
        <v>70000000</v>
      </c>
      <c r="O30" s="112">
        <v>0</v>
      </c>
      <c r="P30" s="112">
        <v>0</v>
      </c>
      <c r="Q30" s="112">
        <v>0</v>
      </c>
      <c r="R30" s="112">
        <v>0</v>
      </c>
      <c r="S30" s="112">
        <v>70000000</v>
      </c>
      <c r="T30" s="112">
        <v>0</v>
      </c>
      <c r="U30" s="112">
        <v>0</v>
      </c>
      <c r="V30" s="112">
        <v>0</v>
      </c>
    </row>
    <row r="31" spans="1:22" ht="18">
      <c r="A31" s="12"/>
      <c r="B31" s="12"/>
      <c r="C31" s="12" t="s">
        <v>637</v>
      </c>
      <c r="D31" s="163" t="s">
        <v>1026</v>
      </c>
      <c r="E31" s="111">
        <f t="shared" si="5"/>
        <v>40000000</v>
      </c>
      <c r="F31" s="112">
        <v>0</v>
      </c>
      <c r="G31" s="112">
        <v>0</v>
      </c>
      <c r="H31" s="112">
        <v>0</v>
      </c>
      <c r="I31" s="112">
        <v>0</v>
      </c>
      <c r="J31" s="112">
        <v>40000000</v>
      </c>
      <c r="K31" s="112">
        <v>0</v>
      </c>
      <c r="L31" s="112">
        <v>0</v>
      </c>
      <c r="M31" s="112">
        <v>0</v>
      </c>
      <c r="N31" s="111">
        <f t="shared" si="1"/>
        <v>40000000</v>
      </c>
      <c r="O31" s="112">
        <v>0</v>
      </c>
      <c r="P31" s="112">
        <v>0</v>
      </c>
      <c r="Q31" s="112">
        <v>0</v>
      </c>
      <c r="R31" s="112">
        <v>0</v>
      </c>
      <c r="S31" s="112">
        <v>40000000</v>
      </c>
      <c r="T31" s="112">
        <v>0</v>
      </c>
      <c r="U31" s="112">
        <v>0</v>
      </c>
      <c r="V31" s="112">
        <v>0</v>
      </c>
    </row>
    <row r="32" spans="1:22" ht="18">
      <c r="A32" s="12"/>
      <c r="B32" s="12"/>
      <c r="C32" s="12" t="s">
        <v>1019</v>
      </c>
      <c r="D32" s="163" t="s">
        <v>639</v>
      </c>
      <c r="E32" s="111">
        <f t="shared" si="5"/>
        <v>987488</v>
      </c>
      <c r="F32" s="112">
        <v>0</v>
      </c>
      <c r="G32" s="112">
        <v>0</v>
      </c>
      <c r="H32" s="112">
        <v>0</v>
      </c>
      <c r="I32" s="112">
        <v>0</v>
      </c>
      <c r="J32" s="112">
        <v>987488</v>
      </c>
      <c r="K32" s="112">
        <v>0</v>
      </c>
      <c r="L32" s="112">
        <v>0</v>
      </c>
      <c r="M32" s="112">
        <v>0</v>
      </c>
      <c r="N32" s="111">
        <f t="shared" si="1"/>
        <v>987488</v>
      </c>
      <c r="O32" s="112">
        <v>0</v>
      </c>
      <c r="P32" s="112">
        <v>0</v>
      </c>
      <c r="Q32" s="112">
        <v>0</v>
      </c>
      <c r="R32" s="112">
        <v>0</v>
      </c>
      <c r="S32" s="112">
        <v>987488</v>
      </c>
      <c r="T32" s="112">
        <v>0</v>
      </c>
      <c r="U32" s="112">
        <v>0</v>
      </c>
      <c r="V32" s="112">
        <v>0</v>
      </c>
    </row>
    <row r="33" spans="1:22" ht="18">
      <c r="A33" s="12"/>
      <c r="B33" s="12" t="s">
        <v>640</v>
      </c>
      <c r="C33" s="12"/>
      <c r="D33" s="99" t="s">
        <v>641</v>
      </c>
      <c r="E33" s="25">
        <f t="shared" si="5"/>
        <v>116100000</v>
      </c>
      <c r="F33" s="144">
        <f aca="true" t="shared" si="10" ref="F33:M33">SUM(F34:F39)</f>
        <v>0</v>
      </c>
      <c r="G33" s="144">
        <f t="shared" si="10"/>
        <v>0</v>
      </c>
      <c r="H33" s="144">
        <f t="shared" si="10"/>
        <v>0</v>
      </c>
      <c r="I33" s="144">
        <f t="shared" si="10"/>
        <v>0</v>
      </c>
      <c r="J33" s="144">
        <f t="shared" si="10"/>
        <v>116100000</v>
      </c>
      <c r="K33" s="144">
        <f t="shared" si="10"/>
        <v>0</v>
      </c>
      <c r="L33" s="144">
        <f t="shared" si="10"/>
        <v>0</v>
      </c>
      <c r="M33" s="144">
        <f t="shared" si="10"/>
        <v>0</v>
      </c>
      <c r="N33" s="25">
        <f t="shared" si="1"/>
        <v>117700000</v>
      </c>
      <c r="O33" s="144">
        <f aca="true" t="shared" si="11" ref="O33:V33">SUM(O34:O39)</f>
        <v>0</v>
      </c>
      <c r="P33" s="144">
        <f t="shared" si="11"/>
        <v>0</v>
      </c>
      <c r="Q33" s="144">
        <f t="shared" si="11"/>
        <v>0</v>
      </c>
      <c r="R33" s="144">
        <f t="shared" si="11"/>
        <v>0</v>
      </c>
      <c r="S33" s="144">
        <f t="shared" si="11"/>
        <v>116200000</v>
      </c>
      <c r="T33" s="144">
        <f t="shared" si="11"/>
        <v>0</v>
      </c>
      <c r="U33" s="144">
        <f t="shared" si="11"/>
        <v>0</v>
      </c>
      <c r="V33" s="144">
        <f t="shared" si="11"/>
        <v>1500000</v>
      </c>
    </row>
    <row r="34" spans="1:22" ht="18">
      <c r="A34" s="12"/>
      <c r="B34" s="12"/>
      <c r="C34" s="12" t="s">
        <v>642</v>
      </c>
      <c r="D34" s="19" t="s">
        <v>643</v>
      </c>
      <c r="E34" s="111">
        <f t="shared" si="5"/>
        <v>10000000</v>
      </c>
      <c r="F34" s="112">
        <v>0</v>
      </c>
      <c r="G34" s="112">
        <v>0</v>
      </c>
      <c r="H34" s="112">
        <v>0</v>
      </c>
      <c r="I34" s="112">
        <v>0</v>
      </c>
      <c r="J34" s="112">
        <v>10000000</v>
      </c>
      <c r="K34" s="112">
        <v>0</v>
      </c>
      <c r="L34" s="112">
        <v>0</v>
      </c>
      <c r="M34" s="112">
        <v>0</v>
      </c>
      <c r="N34" s="111">
        <f t="shared" si="1"/>
        <v>9100000</v>
      </c>
      <c r="O34" s="112">
        <v>0</v>
      </c>
      <c r="P34" s="112">
        <v>0</v>
      </c>
      <c r="Q34" s="112">
        <v>0</v>
      </c>
      <c r="R34" s="112">
        <v>0</v>
      </c>
      <c r="S34" s="112">
        <v>7600000</v>
      </c>
      <c r="T34" s="112">
        <v>0</v>
      </c>
      <c r="U34" s="112">
        <v>0</v>
      </c>
      <c r="V34" s="112">
        <v>1500000</v>
      </c>
    </row>
    <row r="35" spans="1:22" ht="18">
      <c r="A35" s="12"/>
      <c r="B35" s="12"/>
      <c r="C35" s="12" t="s">
        <v>644</v>
      </c>
      <c r="D35" s="19" t="s">
        <v>645</v>
      </c>
      <c r="E35" s="111">
        <f t="shared" si="5"/>
        <v>10000000</v>
      </c>
      <c r="F35" s="112">
        <v>0</v>
      </c>
      <c r="G35" s="112">
        <v>0</v>
      </c>
      <c r="H35" s="112">
        <v>0</v>
      </c>
      <c r="I35" s="112">
        <v>0</v>
      </c>
      <c r="J35" s="112">
        <v>10000000</v>
      </c>
      <c r="K35" s="112">
        <v>0</v>
      </c>
      <c r="L35" s="112">
        <v>0</v>
      </c>
      <c r="M35" s="112">
        <v>0</v>
      </c>
      <c r="N35" s="111">
        <f t="shared" si="1"/>
        <v>12500000</v>
      </c>
      <c r="O35" s="112">
        <v>0</v>
      </c>
      <c r="P35" s="112">
        <v>0</v>
      </c>
      <c r="Q35" s="112">
        <v>0</v>
      </c>
      <c r="R35" s="112">
        <v>0</v>
      </c>
      <c r="S35" s="112">
        <v>12500000</v>
      </c>
      <c r="T35" s="112">
        <v>0</v>
      </c>
      <c r="U35" s="112">
        <v>0</v>
      </c>
      <c r="V35" s="112">
        <v>0</v>
      </c>
    </row>
    <row r="36" spans="1:22" ht="18">
      <c r="A36" s="12"/>
      <c r="B36" s="12"/>
      <c r="C36" s="12" t="s">
        <v>646</v>
      </c>
      <c r="D36" s="19" t="s">
        <v>648</v>
      </c>
      <c r="E36" s="111">
        <f t="shared" si="5"/>
        <v>16100000</v>
      </c>
      <c r="F36" s="112">
        <v>0</v>
      </c>
      <c r="G36" s="112">
        <v>0</v>
      </c>
      <c r="H36" s="112">
        <v>0</v>
      </c>
      <c r="I36" s="112">
        <v>0</v>
      </c>
      <c r="J36" s="112">
        <v>16100000</v>
      </c>
      <c r="K36" s="112">
        <v>0</v>
      </c>
      <c r="L36" s="112">
        <v>0</v>
      </c>
      <c r="M36" s="112">
        <v>0</v>
      </c>
      <c r="N36" s="111">
        <f t="shared" si="1"/>
        <v>16100000</v>
      </c>
      <c r="O36" s="112">
        <v>0</v>
      </c>
      <c r="P36" s="112">
        <v>0</v>
      </c>
      <c r="Q36" s="112">
        <v>0</v>
      </c>
      <c r="R36" s="112">
        <v>0</v>
      </c>
      <c r="S36" s="112">
        <v>16100000</v>
      </c>
      <c r="T36" s="112">
        <v>0</v>
      </c>
      <c r="U36" s="112">
        <v>0</v>
      </c>
      <c r="V36" s="112">
        <v>0</v>
      </c>
    </row>
    <row r="37" spans="1:22" ht="18">
      <c r="A37" s="12"/>
      <c r="B37" s="12"/>
      <c r="C37" s="12" t="s">
        <v>647</v>
      </c>
      <c r="D37" s="19" t="s">
        <v>1032</v>
      </c>
      <c r="E37" s="111">
        <f t="shared" si="5"/>
        <v>25000000</v>
      </c>
      <c r="F37" s="112">
        <v>0</v>
      </c>
      <c r="G37" s="112">
        <v>0</v>
      </c>
      <c r="H37" s="112">
        <v>0</v>
      </c>
      <c r="I37" s="112">
        <v>0</v>
      </c>
      <c r="J37" s="112">
        <v>25000000</v>
      </c>
      <c r="K37" s="112">
        <v>0</v>
      </c>
      <c r="L37" s="112">
        <v>0</v>
      </c>
      <c r="M37" s="112">
        <v>0</v>
      </c>
      <c r="N37" s="111">
        <f t="shared" si="1"/>
        <v>25000000</v>
      </c>
      <c r="O37" s="112">
        <v>0</v>
      </c>
      <c r="P37" s="112">
        <v>0</v>
      </c>
      <c r="Q37" s="112">
        <v>0</v>
      </c>
      <c r="R37" s="112">
        <v>0</v>
      </c>
      <c r="S37" s="112">
        <v>25000000</v>
      </c>
      <c r="T37" s="112">
        <v>0</v>
      </c>
      <c r="U37" s="112">
        <v>0</v>
      </c>
      <c r="V37" s="112">
        <v>0</v>
      </c>
    </row>
    <row r="38" spans="1:22" ht="18">
      <c r="A38" s="12"/>
      <c r="B38" s="12"/>
      <c r="C38" s="12" t="s">
        <v>649</v>
      </c>
      <c r="D38" s="19" t="s">
        <v>1031</v>
      </c>
      <c r="E38" s="111">
        <f t="shared" si="5"/>
        <v>50000000</v>
      </c>
      <c r="F38" s="112">
        <v>0</v>
      </c>
      <c r="G38" s="112">
        <v>0</v>
      </c>
      <c r="H38" s="112">
        <v>0</v>
      </c>
      <c r="I38" s="112">
        <v>0</v>
      </c>
      <c r="J38" s="112">
        <v>50000000</v>
      </c>
      <c r="K38" s="112">
        <v>0</v>
      </c>
      <c r="L38" s="112">
        <v>0</v>
      </c>
      <c r="M38" s="112">
        <v>0</v>
      </c>
      <c r="N38" s="111">
        <f t="shared" si="1"/>
        <v>50000000</v>
      </c>
      <c r="O38" s="112">
        <v>0</v>
      </c>
      <c r="P38" s="112">
        <v>0</v>
      </c>
      <c r="Q38" s="112">
        <v>0</v>
      </c>
      <c r="R38" s="112">
        <v>0</v>
      </c>
      <c r="S38" s="112">
        <v>50000000</v>
      </c>
      <c r="T38" s="112">
        <v>0</v>
      </c>
      <c r="U38" s="112">
        <v>0</v>
      </c>
      <c r="V38" s="112">
        <v>0</v>
      </c>
    </row>
    <row r="39" spans="1:22" ht="18">
      <c r="A39" s="12"/>
      <c r="B39" s="12"/>
      <c r="C39" s="12" t="s">
        <v>650</v>
      </c>
      <c r="D39" s="19" t="s">
        <v>651</v>
      </c>
      <c r="E39" s="111">
        <f t="shared" si="5"/>
        <v>5000000</v>
      </c>
      <c r="F39" s="112">
        <v>0</v>
      </c>
      <c r="G39" s="112">
        <v>0</v>
      </c>
      <c r="H39" s="112">
        <v>0</v>
      </c>
      <c r="I39" s="112">
        <v>0</v>
      </c>
      <c r="J39" s="112">
        <v>5000000</v>
      </c>
      <c r="K39" s="112">
        <v>0</v>
      </c>
      <c r="L39" s="112">
        <v>0</v>
      </c>
      <c r="M39" s="112">
        <v>0</v>
      </c>
      <c r="N39" s="111">
        <f t="shared" si="1"/>
        <v>5000000</v>
      </c>
      <c r="O39" s="112">
        <v>0</v>
      </c>
      <c r="P39" s="112">
        <v>0</v>
      </c>
      <c r="Q39" s="112">
        <v>0</v>
      </c>
      <c r="R39" s="112">
        <v>0</v>
      </c>
      <c r="S39" s="112">
        <v>5000000</v>
      </c>
      <c r="T39" s="112">
        <v>0</v>
      </c>
      <c r="U39" s="112">
        <v>0</v>
      </c>
      <c r="V39" s="112">
        <v>0</v>
      </c>
    </row>
    <row r="40" spans="1:22" s="156" customFormat="1" ht="18">
      <c r="A40" s="142"/>
      <c r="B40" s="12" t="s">
        <v>652</v>
      </c>
      <c r="C40" s="12"/>
      <c r="D40" s="99" t="s">
        <v>653</v>
      </c>
      <c r="E40" s="25">
        <f aca="true" t="shared" si="12" ref="E40:E50">SUM(F40:M40)</f>
        <v>20970000</v>
      </c>
      <c r="F40" s="144">
        <f aca="true" t="shared" si="13" ref="F40:M40">SUM(F41:F47)</f>
        <v>0</v>
      </c>
      <c r="G40" s="144">
        <f t="shared" si="13"/>
        <v>0</v>
      </c>
      <c r="H40" s="144">
        <f t="shared" si="13"/>
        <v>20970000</v>
      </c>
      <c r="I40" s="144">
        <f t="shared" si="13"/>
        <v>0</v>
      </c>
      <c r="J40" s="144">
        <f t="shared" si="13"/>
        <v>0</v>
      </c>
      <c r="K40" s="144">
        <f t="shared" si="13"/>
        <v>0</v>
      </c>
      <c r="L40" s="144">
        <f t="shared" si="13"/>
        <v>0</v>
      </c>
      <c r="M40" s="144">
        <f t="shared" si="13"/>
        <v>0</v>
      </c>
      <c r="N40" s="25">
        <f t="shared" si="1"/>
        <v>23054629</v>
      </c>
      <c r="O40" s="144">
        <f aca="true" t="shared" si="14" ref="O40:V40">SUM(O41:O47)</f>
        <v>0</v>
      </c>
      <c r="P40" s="144">
        <f t="shared" si="14"/>
        <v>0</v>
      </c>
      <c r="Q40" s="144">
        <f t="shared" si="14"/>
        <v>23054629</v>
      </c>
      <c r="R40" s="144">
        <f t="shared" si="14"/>
        <v>0</v>
      </c>
      <c r="S40" s="144">
        <f t="shared" si="14"/>
        <v>0</v>
      </c>
      <c r="T40" s="144">
        <f t="shared" si="14"/>
        <v>0</v>
      </c>
      <c r="U40" s="144">
        <f t="shared" si="14"/>
        <v>0</v>
      </c>
      <c r="V40" s="144">
        <f t="shared" si="14"/>
        <v>0</v>
      </c>
    </row>
    <row r="41" spans="1:22" ht="18">
      <c r="A41" s="12"/>
      <c r="B41" s="12"/>
      <c r="C41" s="12" t="s">
        <v>654</v>
      </c>
      <c r="D41" s="19" t="s">
        <v>655</v>
      </c>
      <c r="E41" s="111">
        <f t="shared" si="12"/>
        <v>5100000</v>
      </c>
      <c r="F41" s="112">
        <v>0</v>
      </c>
      <c r="G41" s="112">
        <v>0</v>
      </c>
      <c r="H41" s="112">
        <v>5100000</v>
      </c>
      <c r="I41" s="112">
        <v>0</v>
      </c>
      <c r="J41" s="162">
        <v>0</v>
      </c>
      <c r="K41" s="112">
        <v>0</v>
      </c>
      <c r="L41" s="112">
        <v>0</v>
      </c>
      <c r="M41" s="112">
        <v>0</v>
      </c>
      <c r="N41" s="111">
        <f t="shared" si="1"/>
        <v>6060390</v>
      </c>
      <c r="O41" s="112">
        <v>0</v>
      </c>
      <c r="P41" s="112">
        <v>0</v>
      </c>
      <c r="Q41" s="112">
        <v>6060390</v>
      </c>
      <c r="R41" s="112">
        <v>0</v>
      </c>
      <c r="S41" s="162">
        <v>0</v>
      </c>
      <c r="T41" s="112">
        <v>0</v>
      </c>
      <c r="U41" s="112">
        <v>0</v>
      </c>
      <c r="V41" s="112">
        <v>0</v>
      </c>
    </row>
    <row r="42" spans="1:22" ht="30" customHeight="1">
      <c r="A42" s="12"/>
      <c r="B42" s="12"/>
      <c r="C42" s="12" t="s">
        <v>656</v>
      </c>
      <c r="D42" s="19" t="s">
        <v>657</v>
      </c>
      <c r="E42" s="111">
        <f t="shared" si="12"/>
        <v>10000000</v>
      </c>
      <c r="F42" s="112">
        <v>0</v>
      </c>
      <c r="G42" s="112">
        <v>0</v>
      </c>
      <c r="H42" s="112">
        <v>10000000</v>
      </c>
      <c r="I42" s="112">
        <v>0</v>
      </c>
      <c r="J42" s="162">
        <v>0</v>
      </c>
      <c r="K42" s="112">
        <v>0</v>
      </c>
      <c r="L42" s="112">
        <v>0</v>
      </c>
      <c r="M42" s="112">
        <v>0</v>
      </c>
      <c r="N42" s="111">
        <f t="shared" si="1"/>
        <v>10003644</v>
      </c>
      <c r="O42" s="112">
        <v>0</v>
      </c>
      <c r="P42" s="112">
        <v>0</v>
      </c>
      <c r="Q42" s="112">
        <v>10003644</v>
      </c>
      <c r="R42" s="112">
        <v>0</v>
      </c>
      <c r="S42" s="162">
        <v>0</v>
      </c>
      <c r="T42" s="112">
        <v>0</v>
      </c>
      <c r="U42" s="112">
        <v>0</v>
      </c>
      <c r="V42" s="112">
        <v>0</v>
      </c>
    </row>
    <row r="43" spans="1:22" ht="18">
      <c r="A43" s="12"/>
      <c r="B43" s="12"/>
      <c r="C43" s="12" t="s">
        <v>658</v>
      </c>
      <c r="D43" s="19" t="s">
        <v>659</v>
      </c>
      <c r="E43" s="111">
        <f t="shared" si="12"/>
        <v>5200000</v>
      </c>
      <c r="F43" s="112">
        <v>0</v>
      </c>
      <c r="G43" s="112">
        <v>0</v>
      </c>
      <c r="H43" s="112">
        <v>5200000</v>
      </c>
      <c r="I43" s="112">
        <v>0</v>
      </c>
      <c r="J43" s="162">
        <v>0</v>
      </c>
      <c r="K43" s="112">
        <v>0</v>
      </c>
      <c r="L43" s="112">
        <v>0</v>
      </c>
      <c r="M43" s="112">
        <v>0</v>
      </c>
      <c r="N43" s="111">
        <f t="shared" si="1"/>
        <v>6264239</v>
      </c>
      <c r="O43" s="112">
        <v>0</v>
      </c>
      <c r="P43" s="112">
        <v>0</v>
      </c>
      <c r="Q43" s="112">
        <v>6264239</v>
      </c>
      <c r="R43" s="112">
        <v>0</v>
      </c>
      <c r="S43" s="162">
        <v>0</v>
      </c>
      <c r="T43" s="112">
        <v>0</v>
      </c>
      <c r="U43" s="112">
        <v>0</v>
      </c>
      <c r="V43" s="112">
        <v>0</v>
      </c>
    </row>
    <row r="44" spans="1:22" ht="30">
      <c r="A44" s="12"/>
      <c r="B44" s="12"/>
      <c r="C44" s="12" t="s">
        <v>660</v>
      </c>
      <c r="D44" s="19" t="s">
        <v>661</v>
      </c>
      <c r="E44" s="111">
        <f t="shared" si="12"/>
        <v>500000</v>
      </c>
      <c r="F44" s="112">
        <v>0</v>
      </c>
      <c r="G44" s="112">
        <v>0</v>
      </c>
      <c r="H44" s="112">
        <v>500000</v>
      </c>
      <c r="I44" s="112">
        <v>0</v>
      </c>
      <c r="J44" s="162">
        <v>0</v>
      </c>
      <c r="K44" s="112">
        <v>0</v>
      </c>
      <c r="L44" s="112">
        <v>0</v>
      </c>
      <c r="M44" s="112">
        <v>0</v>
      </c>
      <c r="N44" s="111">
        <f t="shared" si="1"/>
        <v>500000</v>
      </c>
      <c r="O44" s="112">
        <v>0</v>
      </c>
      <c r="P44" s="112">
        <v>0</v>
      </c>
      <c r="Q44" s="112">
        <v>500000</v>
      </c>
      <c r="R44" s="112">
        <v>0</v>
      </c>
      <c r="S44" s="162">
        <v>0</v>
      </c>
      <c r="T44" s="112">
        <v>0</v>
      </c>
      <c r="U44" s="112">
        <v>0</v>
      </c>
      <c r="V44" s="112">
        <v>0</v>
      </c>
    </row>
    <row r="45" spans="1:22" ht="18">
      <c r="A45" s="12"/>
      <c r="B45" s="12"/>
      <c r="C45" s="12" t="s">
        <v>662</v>
      </c>
      <c r="D45" s="19" t="s">
        <v>967</v>
      </c>
      <c r="E45" s="111">
        <f t="shared" si="12"/>
        <v>110000</v>
      </c>
      <c r="F45" s="112">
        <v>0</v>
      </c>
      <c r="G45" s="112">
        <v>0</v>
      </c>
      <c r="H45" s="112">
        <v>110000</v>
      </c>
      <c r="I45" s="112">
        <v>0</v>
      </c>
      <c r="J45" s="162">
        <v>0</v>
      </c>
      <c r="K45" s="112">
        <v>0</v>
      </c>
      <c r="L45" s="112">
        <v>0</v>
      </c>
      <c r="M45" s="112">
        <v>0</v>
      </c>
      <c r="N45" s="111">
        <f t="shared" si="1"/>
        <v>106356</v>
      </c>
      <c r="O45" s="112">
        <v>0</v>
      </c>
      <c r="P45" s="112">
        <v>0</v>
      </c>
      <c r="Q45" s="112">
        <v>106356</v>
      </c>
      <c r="R45" s="112">
        <v>0</v>
      </c>
      <c r="S45" s="162">
        <v>0</v>
      </c>
      <c r="T45" s="112">
        <v>0</v>
      </c>
      <c r="U45" s="112">
        <v>0</v>
      </c>
      <c r="V45" s="112">
        <v>0</v>
      </c>
    </row>
    <row r="46" spans="1:22" ht="18">
      <c r="A46" s="12"/>
      <c r="B46" s="12"/>
      <c r="C46" s="12" t="s">
        <v>664</v>
      </c>
      <c r="D46" s="19" t="s">
        <v>663</v>
      </c>
      <c r="E46" s="111">
        <f t="shared" si="12"/>
        <v>10000</v>
      </c>
      <c r="F46" s="112">
        <v>0</v>
      </c>
      <c r="G46" s="112">
        <v>0</v>
      </c>
      <c r="H46" s="112">
        <v>10000</v>
      </c>
      <c r="I46" s="112">
        <v>0</v>
      </c>
      <c r="J46" s="162">
        <v>0</v>
      </c>
      <c r="K46" s="112">
        <v>0</v>
      </c>
      <c r="L46" s="112">
        <v>0</v>
      </c>
      <c r="M46" s="112">
        <v>0</v>
      </c>
      <c r="N46" s="111">
        <f t="shared" si="1"/>
        <v>20000</v>
      </c>
      <c r="O46" s="112">
        <v>0</v>
      </c>
      <c r="P46" s="112">
        <v>0</v>
      </c>
      <c r="Q46" s="112">
        <v>20000</v>
      </c>
      <c r="R46" s="112">
        <v>0</v>
      </c>
      <c r="S46" s="162">
        <v>0</v>
      </c>
      <c r="T46" s="112">
        <v>0</v>
      </c>
      <c r="U46" s="112">
        <v>0</v>
      </c>
      <c r="V46" s="112">
        <v>0</v>
      </c>
    </row>
    <row r="47" spans="1:22" ht="18">
      <c r="A47" s="12"/>
      <c r="B47" s="12"/>
      <c r="C47" s="12" t="s">
        <v>966</v>
      </c>
      <c r="D47" s="19" t="s">
        <v>665</v>
      </c>
      <c r="E47" s="111">
        <f t="shared" si="12"/>
        <v>50000</v>
      </c>
      <c r="F47" s="112">
        <v>0</v>
      </c>
      <c r="G47" s="112">
        <v>0</v>
      </c>
      <c r="H47" s="112">
        <v>50000</v>
      </c>
      <c r="I47" s="112">
        <v>0</v>
      </c>
      <c r="J47" s="162">
        <v>0</v>
      </c>
      <c r="K47" s="112">
        <v>0</v>
      </c>
      <c r="L47" s="112">
        <v>0</v>
      </c>
      <c r="M47" s="112">
        <v>0</v>
      </c>
      <c r="N47" s="111">
        <f t="shared" si="1"/>
        <v>100000</v>
      </c>
      <c r="O47" s="112">
        <v>0</v>
      </c>
      <c r="P47" s="112">
        <v>0</v>
      </c>
      <c r="Q47" s="112">
        <v>100000</v>
      </c>
      <c r="R47" s="112">
        <v>0</v>
      </c>
      <c r="S47" s="162">
        <v>0</v>
      </c>
      <c r="T47" s="112">
        <v>0</v>
      </c>
      <c r="U47" s="112">
        <v>0</v>
      </c>
      <c r="V47" s="112">
        <v>0</v>
      </c>
    </row>
    <row r="48" spans="1:22" ht="18">
      <c r="A48" s="12" t="s">
        <v>119</v>
      </c>
      <c r="B48" s="12"/>
      <c r="C48" s="12"/>
      <c r="D48" s="99" t="s">
        <v>44</v>
      </c>
      <c r="E48" s="25">
        <f t="shared" si="12"/>
        <v>300000000</v>
      </c>
      <c r="F48" s="144">
        <f>F49</f>
        <v>0</v>
      </c>
      <c r="G48" s="144">
        <f aca="true" t="shared" si="15" ref="G48:M48">G49</f>
        <v>0</v>
      </c>
      <c r="H48" s="144">
        <f t="shared" si="15"/>
        <v>0</v>
      </c>
      <c r="I48" s="144">
        <f t="shared" si="15"/>
        <v>0</v>
      </c>
      <c r="J48" s="144">
        <f t="shared" si="15"/>
        <v>300000000</v>
      </c>
      <c r="K48" s="144">
        <f t="shared" si="15"/>
        <v>0</v>
      </c>
      <c r="L48" s="144">
        <f t="shared" si="15"/>
        <v>0</v>
      </c>
      <c r="M48" s="144">
        <f t="shared" si="15"/>
        <v>0</v>
      </c>
      <c r="N48" s="25">
        <f t="shared" si="1"/>
        <v>300000000</v>
      </c>
      <c r="O48" s="144">
        <f>O49</f>
        <v>0</v>
      </c>
      <c r="P48" s="144">
        <f aca="true" t="shared" si="16" ref="P48:V48">P49</f>
        <v>0</v>
      </c>
      <c r="Q48" s="144">
        <f t="shared" si="16"/>
        <v>0</v>
      </c>
      <c r="R48" s="144">
        <f t="shared" si="16"/>
        <v>0</v>
      </c>
      <c r="S48" s="144">
        <f t="shared" si="16"/>
        <v>300000000</v>
      </c>
      <c r="T48" s="144">
        <f t="shared" si="16"/>
        <v>0</v>
      </c>
      <c r="U48" s="144">
        <f t="shared" si="16"/>
        <v>0</v>
      </c>
      <c r="V48" s="144">
        <f t="shared" si="16"/>
        <v>0</v>
      </c>
    </row>
    <row r="49" spans="1:22" ht="30">
      <c r="A49" s="12"/>
      <c r="B49" s="12" t="s">
        <v>984</v>
      </c>
      <c r="C49" s="12"/>
      <c r="D49" s="217" t="s">
        <v>1252</v>
      </c>
      <c r="E49" s="219">
        <f t="shared" si="12"/>
        <v>300000000</v>
      </c>
      <c r="F49" s="218">
        <v>0</v>
      </c>
      <c r="G49" s="218">
        <v>0</v>
      </c>
      <c r="H49" s="218">
        <v>0</v>
      </c>
      <c r="I49" s="218">
        <v>0</v>
      </c>
      <c r="J49" s="218">
        <v>300000000</v>
      </c>
      <c r="K49" s="218">
        <v>0</v>
      </c>
      <c r="L49" s="218">
        <v>0</v>
      </c>
      <c r="M49" s="219">
        <v>0</v>
      </c>
      <c r="N49" s="219">
        <f t="shared" si="1"/>
        <v>300000000</v>
      </c>
      <c r="O49" s="218">
        <v>0</v>
      </c>
      <c r="P49" s="218">
        <v>0</v>
      </c>
      <c r="Q49" s="218">
        <v>0</v>
      </c>
      <c r="R49" s="218">
        <v>0</v>
      </c>
      <c r="S49" s="218">
        <v>300000000</v>
      </c>
      <c r="T49" s="218">
        <v>0</v>
      </c>
      <c r="U49" s="218">
        <v>0</v>
      </c>
      <c r="V49" s="219">
        <v>0</v>
      </c>
    </row>
    <row r="50" spans="1:22" ht="27.75" customHeight="1">
      <c r="A50" s="367" t="s">
        <v>326</v>
      </c>
      <c r="B50" s="368"/>
      <c r="C50" s="368"/>
      <c r="D50" s="369"/>
      <c r="E50" s="25">
        <f t="shared" si="12"/>
        <v>2951639231</v>
      </c>
      <c r="F50" s="144">
        <f aca="true" t="shared" si="17" ref="F50:M50">F10+F23+F48</f>
        <v>0</v>
      </c>
      <c r="G50" s="144">
        <f t="shared" si="17"/>
        <v>0</v>
      </c>
      <c r="H50" s="144">
        <f t="shared" si="17"/>
        <v>20970000</v>
      </c>
      <c r="I50" s="144">
        <f t="shared" si="17"/>
        <v>0</v>
      </c>
      <c r="J50" s="144">
        <f t="shared" si="17"/>
        <v>2823369231</v>
      </c>
      <c r="K50" s="144">
        <f t="shared" si="17"/>
        <v>0</v>
      </c>
      <c r="L50" s="144">
        <f t="shared" si="17"/>
        <v>0</v>
      </c>
      <c r="M50" s="144">
        <f t="shared" si="17"/>
        <v>107300000</v>
      </c>
      <c r="N50" s="25">
        <f t="shared" si="1"/>
        <v>3246623860</v>
      </c>
      <c r="O50" s="144">
        <f aca="true" t="shared" si="18" ref="O50:V50">O10+O23+O48</f>
        <v>0</v>
      </c>
      <c r="P50" s="144">
        <f t="shared" si="18"/>
        <v>0</v>
      </c>
      <c r="Q50" s="144">
        <f t="shared" si="18"/>
        <v>23054629</v>
      </c>
      <c r="R50" s="144">
        <f t="shared" si="18"/>
        <v>0</v>
      </c>
      <c r="S50" s="144">
        <f t="shared" si="18"/>
        <v>3022069231</v>
      </c>
      <c r="T50" s="144">
        <f t="shared" si="18"/>
        <v>0</v>
      </c>
      <c r="U50" s="144">
        <f t="shared" si="18"/>
        <v>0</v>
      </c>
      <c r="V50" s="144">
        <f t="shared" si="18"/>
        <v>201500000</v>
      </c>
    </row>
    <row r="52" ht="12.75" hidden="1"/>
    <row r="53" s="155" customFormat="1" ht="12.75">
      <c r="D53" s="185"/>
    </row>
    <row r="54" s="155" customFormat="1" ht="12.75">
      <c r="D54" s="185"/>
    </row>
    <row r="55" s="155" customFormat="1" ht="12.75"/>
    <row r="56" s="155" customFormat="1" ht="12.75"/>
    <row r="57" s="155" customFormat="1" ht="12.75"/>
  </sheetData>
  <sheetProtection selectLockedCells="1" selectUnlockedCells="1"/>
  <mergeCells count="17">
    <mergeCell ref="A1:V1"/>
    <mergeCell ref="A2:V2"/>
    <mergeCell ref="A3:V3"/>
    <mergeCell ref="A4:V4"/>
    <mergeCell ref="A7:A9"/>
    <mergeCell ref="A50:D50"/>
    <mergeCell ref="B7:B9"/>
    <mergeCell ref="F7:M7"/>
    <mergeCell ref="C7:C9"/>
    <mergeCell ref="D7:D9"/>
    <mergeCell ref="O8:S8"/>
    <mergeCell ref="N7:N9"/>
    <mergeCell ref="K8:M8"/>
    <mergeCell ref="E7:E9"/>
    <mergeCell ref="T8:V8"/>
    <mergeCell ref="F8:J8"/>
    <mergeCell ref="O7:V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44"/>
  <sheetViews>
    <sheetView view="pageBreakPreview" zoomScale="70" zoomScaleNormal="71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U1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48.8515625" style="0" customWidth="1"/>
    <col min="4" max="4" width="19.8515625" style="0" customWidth="1"/>
    <col min="5" max="6" width="14.57421875" style="0" customWidth="1"/>
    <col min="7" max="7" width="18.421875" style="0" customWidth="1"/>
    <col min="8" max="8" width="14.57421875" style="0" customWidth="1"/>
    <col min="9" max="9" width="19.57421875" style="0" customWidth="1"/>
    <col min="10" max="12" width="14.57421875" style="0" customWidth="1"/>
    <col min="13" max="13" width="18.57421875" style="0" customWidth="1"/>
    <col min="14" max="14" width="16.140625" style="0" customWidth="1"/>
    <col min="15" max="15" width="14.57421875" style="0" customWidth="1"/>
    <col min="16" max="16" width="19.00390625" style="0" customWidth="1"/>
    <col min="17" max="17" width="9.28125" style="0" customWidth="1"/>
    <col min="18" max="18" width="19.57421875" style="0" customWidth="1"/>
    <col min="19" max="19" width="13.00390625" style="0" customWidth="1"/>
    <col min="20" max="20" width="15.57421875" style="0" customWidth="1"/>
    <col min="21" max="21" width="16.421875" style="0" customWidth="1"/>
  </cols>
  <sheetData>
    <row r="1" spans="1:21" ht="18">
      <c r="A1" s="262" t="s">
        <v>1267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5" customHeight="1">
      <c r="A2" s="263" t="s">
        <v>1063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ht="18" customHeight="1">
      <c r="A3" s="358" t="s">
        <v>666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</row>
    <row r="4" spans="1:21" ht="18">
      <c r="A4" s="359" t="s">
        <v>667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3" t="s">
        <v>24</v>
      </c>
      <c r="B7" s="273" t="s">
        <v>185</v>
      </c>
      <c r="C7" s="274" t="s">
        <v>25</v>
      </c>
      <c r="D7" s="274" t="s">
        <v>853</v>
      </c>
      <c r="E7" s="325" t="s">
        <v>26</v>
      </c>
      <c r="F7" s="325"/>
      <c r="G7" s="325"/>
      <c r="H7" s="325"/>
      <c r="I7" s="325"/>
      <c r="J7" s="325"/>
      <c r="K7" s="325"/>
      <c r="L7" s="325"/>
      <c r="M7" s="274" t="s">
        <v>1049</v>
      </c>
      <c r="N7" s="325" t="s">
        <v>1047</v>
      </c>
      <c r="O7" s="325"/>
      <c r="P7" s="325"/>
      <c r="Q7" s="325"/>
      <c r="R7" s="325"/>
      <c r="S7" s="325"/>
      <c r="T7" s="325"/>
      <c r="U7" s="325"/>
    </row>
    <row r="8" spans="1:21" ht="12.75" customHeight="1">
      <c r="A8" s="273"/>
      <c r="B8" s="273"/>
      <c r="C8" s="274"/>
      <c r="D8" s="274"/>
      <c r="E8" s="267" t="s">
        <v>27</v>
      </c>
      <c r="F8" s="267"/>
      <c r="G8" s="267"/>
      <c r="H8" s="267"/>
      <c r="I8" s="267"/>
      <c r="J8" s="267" t="s">
        <v>28</v>
      </c>
      <c r="K8" s="267"/>
      <c r="L8" s="267"/>
      <c r="M8" s="274"/>
      <c r="N8" s="267" t="s">
        <v>27</v>
      </c>
      <c r="O8" s="267"/>
      <c r="P8" s="267"/>
      <c r="Q8" s="267"/>
      <c r="R8" s="267"/>
      <c r="S8" s="267" t="s">
        <v>28</v>
      </c>
      <c r="T8" s="267"/>
      <c r="U8" s="267"/>
    </row>
    <row r="9" spans="1:21" ht="97.5" customHeight="1">
      <c r="A9" s="273"/>
      <c r="B9" s="273"/>
      <c r="C9" s="274"/>
      <c r="D9" s="27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142</v>
      </c>
      <c r="B10" s="12"/>
      <c r="C10" s="99" t="s">
        <v>40</v>
      </c>
      <c r="D10" s="25">
        <f>SUM(E10:L10)</f>
        <v>1543231178</v>
      </c>
      <c r="E10" s="144">
        <f aca="true" t="shared" si="0" ref="E10:L10">SUM(E11:E34)</f>
        <v>25127500</v>
      </c>
      <c r="F10" s="144">
        <f t="shared" si="0"/>
        <v>6640000</v>
      </c>
      <c r="G10" s="144">
        <f t="shared" si="0"/>
        <v>806486490</v>
      </c>
      <c r="H10" s="144">
        <f t="shared" si="0"/>
        <v>0</v>
      </c>
      <c r="I10" s="144">
        <f t="shared" si="0"/>
        <v>704977188</v>
      </c>
      <c r="J10" s="144">
        <f t="shared" si="0"/>
        <v>0</v>
      </c>
      <c r="K10" s="144">
        <f t="shared" si="0"/>
        <v>0</v>
      </c>
      <c r="L10" s="144">
        <f t="shared" si="0"/>
        <v>0</v>
      </c>
      <c r="M10" s="25">
        <f>SUM(N10:U10)</f>
        <v>2306009092</v>
      </c>
      <c r="N10" s="144">
        <f aca="true" t="shared" si="1" ref="N10:U10">SUM(N11:N34)</f>
        <v>24255052</v>
      </c>
      <c r="O10" s="144">
        <f t="shared" si="1"/>
        <v>6574632</v>
      </c>
      <c r="P10" s="144">
        <f t="shared" si="1"/>
        <v>985253250</v>
      </c>
      <c r="Q10" s="144">
        <f t="shared" si="1"/>
        <v>0</v>
      </c>
      <c r="R10" s="144">
        <f t="shared" si="1"/>
        <v>1276913213</v>
      </c>
      <c r="S10" s="144">
        <f t="shared" si="1"/>
        <v>7498800</v>
      </c>
      <c r="T10" s="144">
        <f t="shared" si="1"/>
        <v>2514145</v>
      </c>
      <c r="U10" s="144">
        <f t="shared" si="1"/>
        <v>3000000</v>
      </c>
    </row>
    <row r="11" spans="1:21" ht="18">
      <c r="A11" s="12"/>
      <c r="B11" s="12" t="s">
        <v>668</v>
      </c>
      <c r="C11" s="157" t="s">
        <v>669</v>
      </c>
      <c r="D11" s="111">
        <f aca="true" t="shared" si="2" ref="D11:D39">SUM(E11:L11)</f>
        <v>35000000</v>
      </c>
      <c r="E11" s="112">
        <v>0</v>
      </c>
      <c r="F11" s="112">
        <v>0</v>
      </c>
      <c r="G11" s="112">
        <v>35000000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1">
        <f aca="true" t="shared" si="3" ref="M11:M36">SUM(N11:U11)</f>
        <v>35000000</v>
      </c>
      <c r="N11" s="112">
        <v>0</v>
      </c>
      <c r="O11" s="112">
        <v>0</v>
      </c>
      <c r="P11" s="112">
        <v>35000000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</row>
    <row r="12" spans="1:21" ht="18">
      <c r="A12" s="12"/>
      <c r="B12" s="12" t="s">
        <v>670</v>
      </c>
      <c r="C12" s="157" t="s">
        <v>671</v>
      </c>
      <c r="D12" s="111">
        <f t="shared" si="2"/>
        <v>35000000</v>
      </c>
      <c r="E12" s="112">
        <v>0</v>
      </c>
      <c r="F12" s="112">
        <v>0</v>
      </c>
      <c r="G12" s="112">
        <v>35000000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1">
        <f t="shared" si="3"/>
        <v>43500000</v>
      </c>
      <c r="N12" s="112">
        <v>0</v>
      </c>
      <c r="O12" s="112">
        <v>0</v>
      </c>
      <c r="P12" s="112">
        <v>43500000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</row>
    <row r="13" spans="1:21" ht="18">
      <c r="A13" s="12"/>
      <c r="B13" s="12" t="s">
        <v>672</v>
      </c>
      <c r="C13" s="157" t="s">
        <v>673</v>
      </c>
      <c r="D13" s="111">
        <f t="shared" si="2"/>
        <v>400000000</v>
      </c>
      <c r="E13" s="112">
        <v>0</v>
      </c>
      <c r="F13" s="112">
        <v>0</v>
      </c>
      <c r="G13" s="112">
        <v>400000000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1">
        <f t="shared" si="3"/>
        <v>491433880</v>
      </c>
      <c r="N13" s="112">
        <v>0</v>
      </c>
      <c r="O13" s="112">
        <v>0</v>
      </c>
      <c r="P13" s="112">
        <v>491433880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</row>
    <row r="14" spans="1:21" ht="18">
      <c r="A14" s="12"/>
      <c r="B14" s="12" t="s">
        <v>674</v>
      </c>
      <c r="C14" s="19" t="s">
        <v>666</v>
      </c>
      <c r="D14" s="111">
        <f t="shared" si="2"/>
        <v>35000000</v>
      </c>
      <c r="E14" s="112">
        <v>2000000</v>
      </c>
      <c r="F14" s="112">
        <v>1000000</v>
      </c>
      <c r="G14" s="112">
        <v>32000000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1">
        <f t="shared" si="3"/>
        <v>35883575</v>
      </c>
      <c r="N14" s="112">
        <v>1180000</v>
      </c>
      <c r="O14" s="112">
        <v>1007616</v>
      </c>
      <c r="P14" s="112">
        <v>33695959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</row>
    <row r="15" spans="1:21" ht="18">
      <c r="A15" s="12"/>
      <c r="B15" s="12" t="s">
        <v>675</v>
      </c>
      <c r="C15" s="19" t="s">
        <v>676</v>
      </c>
      <c r="D15" s="111">
        <f t="shared" si="2"/>
        <v>31578000</v>
      </c>
      <c r="E15" s="112">
        <v>12000000</v>
      </c>
      <c r="F15" s="112">
        <v>2500000</v>
      </c>
      <c r="G15" s="112">
        <v>17078000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1">
        <f t="shared" si="3"/>
        <v>36021153</v>
      </c>
      <c r="N15" s="112">
        <v>12505800</v>
      </c>
      <c r="O15" s="112">
        <v>2429373</v>
      </c>
      <c r="P15" s="112">
        <v>21085980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</row>
    <row r="16" spans="1:21" ht="30">
      <c r="A16" s="12"/>
      <c r="B16" s="12" t="s">
        <v>677</v>
      </c>
      <c r="C16" s="157" t="s">
        <v>857</v>
      </c>
      <c r="D16" s="111">
        <f t="shared" si="2"/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1">
        <f t="shared" si="3"/>
        <v>404921000</v>
      </c>
      <c r="N16" s="112">
        <v>0</v>
      </c>
      <c r="O16" s="112">
        <v>0</v>
      </c>
      <c r="P16" s="112">
        <v>0</v>
      </c>
      <c r="Q16" s="112">
        <v>0</v>
      </c>
      <c r="R16" s="112">
        <v>404921000</v>
      </c>
      <c r="S16" s="112">
        <v>0</v>
      </c>
      <c r="T16" s="112">
        <v>0</v>
      </c>
      <c r="U16" s="112">
        <v>0</v>
      </c>
    </row>
    <row r="17" spans="1:21" ht="45">
      <c r="A17" s="12"/>
      <c r="B17" s="12" t="s">
        <v>678</v>
      </c>
      <c r="C17" s="157" t="s">
        <v>1247</v>
      </c>
      <c r="D17" s="111">
        <f t="shared" si="2"/>
        <v>150000000</v>
      </c>
      <c r="E17" s="112">
        <v>0</v>
      </c>
      <c r="F17" s="112">
        <v>0</v>
      </c>
      <c r="G17" s="112">
        <v>0</v>
      </c>
      <c r="H17" s="112">
        <v>0</v>
      </c>
      <c r="I17" s="112">
        <v>150000000</v>
      </c>
      <c r="J17" s="112">
        <v>0</v>
      </c>
      <c r="K17" s="112">
        <v>0</v>
      </c>
      <c r="L17" s="112">
        <v>0</v>
      </c>
      <c r="M17" s="111">
        <f t="shared" si="3"/>
        <v>328000000</v>
      </c>
      <c r="N17" s="112">
        <v>0</v>
      </c>
      <c r="O17" s="112">
        <v>0</v>
      </c>
      <c r="P17" s="112">
        <v>0</v>
      </c>
      <c r="Q17" s="112">
        <v>0</v>
      </c>
      <c r="R17" s="112">
        <v>328000000</v>
      </c>
      <c r="S17" s="112">
        <v>0</v>
      </c>
      <c r="T17" s="112">
        <v>0</v>
      </c>
      <c r="U17" s="112">
        <v>0</v>
      </c>
    </row>
    <row r="18" spans="1:21" ht="27.75" customHeight="1">
      <c r="A18" s="12"/>
      <c r="B18" s="12" t="s">
        <v>679</v>
      </c>
      <c r="C18" s="157" t="s">
        <v>1248</v>
      </c>
      <c r="D18" s="111">
        <f t="shared" si="2"/>
        <v>450000000</v>
      </c>
      <c r="E18" s="112">
        <v>0</v>
      </c>
      <c r="F18" s="112">
        <v>0</v>
      </c>
      <c r="G18" s="112">
        <v>0</v>
      </c>
      <c r="H18" s="112">
        <v>0</v>
      </c>
      <c r="I18" s="112">
        <v>450000000</v>
      </c>
      <c r="J18" s="112">
        <v>0</v>
      </c>
      <c r="K18" s="112">
        <v>0</v>
      </c>
      <c r="L18" s="112">
        <v>0</v>
      </c>
      <c r="M18" s="111">
        <f t="shared" si="3"/>
        <v>272000000</v>
      </c>
      <c r="N18" s="112">
        <v>0</v>
      </c>
      <c r="O18" s="112">
        <v>0</v>
      </c>
      <c r="P18" s="112">
        <v>0</v>
      </c>
      <c r="Q18" s="112">
        <v>0</v>
      </c>
      <c r="R18" s="112">
        <v>272000000</v>
      </c>
      <c r="S18" s="112">
        <v>0</v>
      </c>
      <c r="T18" s="112">
        <v>0</v>
      </c>
      <c r="U18" s="112">
        <v>0</v>
      </c>
    </row>
    <row r="19" spans="1:21" ht="18">
      <c r="A19" s="12"/>
      <c r="B19" s="12" t="s">
        <v>680</v>
      </c>
      <c r="C19" s="157" t="s">
        <v>681</v>
      </c>
      <c r="D19" s="111">
        <f t="shared" si="2"/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1">
        <f t="shared" si="3"/>
        <v>129840500</v>
      </c>
      <c r="N19" s="112">
        <v>0</v>
      </c>
      <c r="O19" s="112">
        <v>0</v>
      </c>
      <c r="P19" s="112">
        <v>0</v>
      </c>
      <c r="Q19" s="112">
        <v>0</v>
      </c>
      <c r="R19" s="112">
        <v>129840500</v>
      </c>
      <c r="S19" s="112">
        <v>0</v>
      </c>
      <c r="T19" s="112">
        <v>0</v>
      </c>
      <c r="U19" s="112">
        <v>0</v>
      </c>
    </row>
    <row r="20" spans="1:21" ht="18">
      <c r="A20" s="12"/>
      <c r="B20" s="12" t="s">
        <v>682</v>
      </c>
      <c r="C20" s="157" t="s">
        <v>683</v>
      </c>
      <c r="D20" s="111">
        <f t="shared" si="2"/>
        <v>16267500</v>
      </c>
      <c r="E20" s="112">
        <v>11127500</v>
      </c>
      <c r="F20" s="112">
        <v>3140000</v>
      </c>
      <c r="G20" s="112">
        <v>2000000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1">
        <f t="shared" si="3"/>
        <v>17206895</v>
      </c>
      <c r="N20" s="112">
        <v>10569252</v>
      </c>
      <c r="O20" s="112">
        <v>3137643</v>
      </c>
      <c r="P20" s="112">
        <v>2200000</v>
      </c>
      <c r="Q20" s="112">
        <v>0</v>
      </c>
      <c r="R20" s="112">
        <v>1300000</v>
      </c>
      <c r="S20" s="112">
        <v>0</v>
      </c>
      <c r="T20" s="112">
        <v>0</v>
      </c>
      <c r="U20" s="112">
        <v>0</v>
      </c>
    </row>
    <row r="21" spans="1:21" ht="18">
      <c r="A21" s="12"/>
      <c r="B21" s="12" t="s">
        <v>684</v>
      </c>
      <c r="C21" s="157" t="s">
        <v>685</v>
      </c>
      <c r="D21" s="111">
        <f t="shared" si="2"/>
        <v>10000000</v>
      </c>
      <c r="E21" s="112">
        <v>0</v>
      </c>
      <c r="F21" s="112">
        <v>0</v>
      </c>
      <c r="G21" s="112">
        <v>10000000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1">
        <f t="shared" si="3"/>
        <v>18338024</v>
      </c>
      <c r="N21" s="112">
        <v>0</v>
      </c>
      <c r="O21" s="112">
        <v>0</v>
      </c>
      <c r="P21" s="112">
        <v>8463499</v>
      </c>
      <c r="Q21" s="112">
        <v>0</v>
      </c>
      <c r="R21" s="112">
        <v>9874525</v>
      </c>
      <c r="S21" s="112">
        <v>0</v>
      </c>
      <c r="T21" s="112">
        <v>0</v>
      </c>
      <c r="U21" s="112">
        <v>0</v>
      </c>
    </row>
    <row r="22" spans="1:21" ht="18">
      <c r="A22" s="12"/>
      <c r="B22" s="12" t="s">
        <v>686</v>
      </c>
      <c r="C22" s="157" t="s">
        <v>687</v>
      </c>
      <c r="D22" s="111">
        <f t="shared" si="2"/>
        <v>20000000</v>
      </c>
      <c r="E22" s="112">
        <v>0</v>
      </c>
      <c r="F22" s="112">
        <v>0</v>
      </c>
      <c r="G22" s="112">
        <v>20000000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1">
        <f t="shared" si="3"/>
        <v>35066120</v>
      </c>
      <c r="N22" s="112">
        <v>0</v>
      </c>
      <c r="O22" s="112">
        <v>0</v>
      </c>
      <c r="P22" s="112">
        <v>35066120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</row>
    <row r="23" spans="1:21" ht="30">
      <c r="A23" s="12"/>
      <c r="B23" s="12" t="s">
        <v>688</v>
      </c>
      <c r="C23" s="157" t="s">
        <v>689</v>
      </c>
      <c r="D23" s="111">
        <f t="shared" si="2"/>
        <v>18908490</v>
      </c>
      <c r="E23" s="112">
        <v>0</v>
      </c>
      <c r="F23" s="112">
        <v>0</v>
      </c>
      <c r="G23" s="112">
        <v>18908490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1">
        <f t="shared" si="3"/>
        <v>18908490</v>
      </c>
      <c r="N23" s="112">
        <v>0</v>
      </c>
      <c r="O23" s="112">
        <v>0</v>
      </c>
      <c r="P23" s="112">
        <v>18908490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</row>
    <row r="24" spans="1:21" ht="34.5" customHeight="1">
      <c r="A24" s="12"/>
      <c r="B24" s="12" t="s">
        <v>690</v>
      </c>
      <c r="C24" s="157" t="s">
        <v>1039</v>
      </c>
      <c r="D24" s="111">
        <f t="shared" si="2"/>
        <v>500000</v>
      </c>
      <c r="E24" s="112">
        <v>0</v>
      </c>
      <c r="F24" s="112">
        <v>0</v>
      </c>
      <c r="G24" s="112">
        <v>500000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1">
        <f t="shared" si="3"/>
        <v>500000</v>
      </c>
      <c r="N24" s="112">
        <v>0</v>
      </c>
      <c r="O24" s="112">
        <v>0</v>
      </c>
      <c r="P24" s="112">
        <v>500000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</row>
    <row r="25" spans="1:21" ht="24" customHeight="1">
      <c r="A25" s="12"/>
      <c r="B25" s="12" t="s">
        <v>691</v>
      </c>
      <c r="C25" s="157" t="s">
        <v>692</v>
      </c>
      <c r="D25" s="111">
        <f t="shared" si="2"/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1">
        <f t="shared" si="3"/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</row>
    <row r="26" spans="1:21" ht="30">
      <c r="A26" s="12"/>
      <c r="B26" s="12" t="s">
        <v>693</v>
      </c>
      <c r="C26" s="157" t="s">
        <v>694</v>
      </c>
      <c r="D26" s="111">
        <f t="shared" si="2"/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1">
        <f t="shared" si="3"/>
        <v>53226247</v>
      </c>
      <c r="N26" s="112">
        <v>0</v>
      </c>
      <c r="O26" s="112">
        <v>0</v>
      </c>
      <c r="P26" s="112">
        <v>50712102</v>
      </c>
      <c r="Q26" s="112">
        <v>0</v>
      </c>
      <c r="R26" s="112">
        <v>0</v>
      </c>
      <c r="S26" s="112">
        <v>0</v>
      </c>
      <c r="T26" s="112">
        <v>2514145</v>
      </c>
      <c r="U26" s="112">
        <v>0</v>
      </c>
    </row>
    <row r="27" spans="1:21" ht="18">
      <c r="A27" s="12"/>
      <c r="B27" s="12" t="s">
        <v>695</v>
      </c>
      <c r="C27" s="157" t="s">
        <v>696</v>
      </c>
      <c r="D27" s="111">
        <f t="shared" si="2"/>
        <v>1000000</v>
      </c>
      <c r="E27" s="112">
        <v>0</v>
      </c>
      <c r="F27" s="112">
        <v>0</v>
      </c>
      <c r="G27" s="112">
        <v>1000000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1">
        <f t="shared" si="3"/>
        <v>1000000</v>
      </c>
      <c r="N27" s="112">
        <v>0</v>
      </c>
      <c r="O27" s="112">
        <v>0</v>
      </c>
      <c r="P27" s="112">
        <v>1000000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</row>
    <row r="28" spans="1:21" ht="18">
      <c r="A28" s="12"/>
      <c r="B28" s="12" t="s">
        <v>697</v>
      </c>
      <c r="C28" s="157" t="s">
        <v>698</v>
      </c>
      <c r="D28" s="111">
        <f t="shared" si="2"/>
        <v>2000000</v>
      </c>
      <c r="E28" s="112">
        <v>0</v>
      </c>
      <c r="F28" s="112">
        <v>0</v>
      </c>
      <c r="G28" s="112">
        <v>2000000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1">
        <f t="shared" si="3"/>
        <v>2000000</v>
      </c>
      <c r="N28" s="112">
        <v>0</v>
      </c>
      <c r="O28" s="112">
        <v>0</v>
      </c>
      <c r="P28" s="112">
        <v>2000000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</row>
    <row r="29" spans="1:21" ht="30">
      <c r="A29" s="12"/>
      <c r="B29" s="12" t="s">
        <v>699</v>
      </c>
      <c r="C29" s="157" t="s">
        <v>700</v>
      </c>
      <c r="D29" s="111">
        <f t="shared" si="2"/>
        <v>1000000</v>
      </c>
      <c r="E29" s="112">
        <v>0</v>
      </c>
      <c r="F29" s="112">
        <v>0</v>
      </c>
      <c r="G29" s="112">
        <v>1000000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1">
        <f t="shared" si="3"/>
        <v>1000000</v>
      </c>
      <c r="N29" s="112">
        <v>0</v>
      </c>
      <c r="O29" s="112">
        <v>0</v>
      </c>
      <c r="P29" s="112">
        <v>1000000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</row>
    <row r="30" spans="1:21" ht="30">
      <c r="A30" s="12"/>
      <c r="B30" s="12" t="s">
        <v>701</v>
      </c>
      <c r="C30" s="157" t="s">
        <v>702</v>
      </c>
      <c r="D30" s="111">
        <f t="shared" si="2"/>
        <v>10000000</v>
      </c>
      <c r="E30" s="112">
        <v>0</v>
      </c>
      <c r="F30" s="112">
        <v>0</v>
      </c>
      <c r="G30" s="112">
        <v>10000000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1">
        <f t="shared" si="3"/>
        <v>37500000</v>
      </c>
      <c r="N30" s="112">
        <v>0</v>
      </c>
      <c r="O30" s="112">
        <v>0</v>
      </c>
      <c r="P30" s="112">
        <v>1001200</v>
      </c>
      <c r="Q30" s="112">
        <v>0</v>
      </c>
      <c r="R30" s="112">
        <v>26000000</v>
      </c>
      <c r="S30" s="112">
        <v>7498800</v>
      </c>
      <c r="T30" s="112">
        <v>0</v>
      </c>
      <c r="U30" s="112">
        <v>3000000</v>
      </c>
    </row>
    <row r="31" spans="1:21" ht="45">
      <c r="A31" s="12"/>
      <c r="B31" s="12" t="s">
        <v>703</v>
      </c>
      <c r="C31" s="157" t="s">
        <v>704</v>
      </c>
      <c r="D31" s="111">
        <f t="shared" si="2"/>
        <v>2000000</v>
      </c>
      <c r="E31" s="112">
        <v>0</v>
      </c>
      <c r="F31" s="112">
        <v>0</v>
      </c>
      <c r="G31" s="112">
        <v>2000000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1">
        <f t="shared" si="3"/>
        <v>2000000</v>
      </c>
      <c r="N31" s="112">
        <v>0</v>
      </c>
      <c r="O31" s="112">
        <v>0</v>
      </c>
      <c r="P31" s="112">
        <v>2000000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</row>
    <row r="32" spans="1:21" ht="30.75" customHeight="1">
      <c r="A32" s="12"/>
      <c r="B32" s="12" t="s">
        <v>705</v>
      </c>
      <c r="C32" s="157" t="s">
        <v>706</v>
      </c>
      <c r="D32" s="111">
        <f t="shared" si="2"/>
        <v>104977188</v>
      </c>
      <c r="E32" s="112">
        <v>0</v>
      </c>
      <c r="F32" s="112">
        <v>0</v>
      </c>
      <c r="G32" s="112">
        <v>0</v>
      </c>
      <c r="H32" s="112">
        <v>0</v>
      </c>
      <c r="I32" s="112">
        <v>104977188</v>
      </c>
      <c r="J32" s="112">
        <v>0</v>
      </c>
      <c r="K32" s="112">
        <v>0</v>
      </c>
      <c r="L32" s="112">
        <v>0</v>
      </c>
      <c r="M32" s="111">
        <f t="shared" si="3"/>
        <v>104977188</v>
      </c>
      <c r="N32" s="112">
        <v>0</v>
      </c>
      <c r="O32" s="112">
        <v>0</v>
      </c>
      <c r="P32" s="112">
        <v>0</v>
      </c>
      <c r="Q32" s="112">
        <v>0</v>
      </c>
      <c r="R32" s="112">
        <v>104977188</v>
      </c>
      <c r="S32" s="112">
        <v>0</v>
      </c>
      <c r="T32" s="112">
        <v>0</v>
      </c>
      <c r="U32" s="112">
        <v>0</v>
      </c>
    </row>
    <row r="33" spans="1:21" ht="22.5" customHeight="1">
      <c r="A33" s="12"/>
      <c r="B33" s="12" t="s">
        <v>707</v>
      </c>
      <c r="C33" s="157" t="s">
        <v>709</v>
      </c>
      <c r="D33" s="111">
        <f t="shared" si="2"/>
        <v>80000000</v>
      </c>
      <c r="E33" s="112">
        <v>0</v>
      </c>
      <c r="F33" s="112">
        <v>0</v>
      </c>
      <c r="G33" s="112">
        <v>80000000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1">
        <f t="shared" si="3"/>
        <v>80000000</v>
      </c>
      <c r="N33" s="112">
        <v>0</v>
      </c>
      <c r="O33" s="112">
        <v>0</v>
      </c>
      <c r="P33" s="112">
        <v>80000000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</row>
    <row r="34" spans="1:21" ht="21" customHeight="1">
      <c r="A34" s="12"/>
      <c r="B34" s="12" t="s">
        <v>708</v>
      </c>
      <c r="C34" s="19" t="s">
        <v>710</v>
      </c>
      <c r="D34" s="111">
        <f t="shared" si="2"/>
        <v>140000000</v>
      </c>
      <c r="E34" s="112">
        <v>0</v>
      </c>
      <c r="F34" s="112">
        <v>0</v>
      </c>
      <c r="G34" s="112">
        <v>140000000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1">
        <f t="shared" si="3"/>
        <v>157686020</v>
      </c>
      <c r="N34" s="112">
        <v>0</v>
      </c>
      <c r="O34" s="112">
        <v>0</v>
      </c>
      <c r="P34" s="112">
        <v>157686020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</row>
    <row r="35" spans="1:21" ht="18">
      <c r="A35" s="12" t="s">
        <v>143</v>
      </c>
      <c r="B35" s="12"/>
      <c r="C35" s="99" t="s">
        <v>42</v>
      </c>
      <c r="D35" s="25">
        <f t="shared" si="2"/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25">
        <f t="shared" si="3"/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</row>
    <row r="36" spans="1:21" ht="18">
      <c r="A36" s="12" t="s">
        <v>144</v>
      </c>
      <c r="B36" s="12"/>
      <c r="C36" s="99" t="s">
        <v>44</v>
      </c>
      <c r="D36" s="25">
        <f t="shared" si="2"/>
        <v>13000000</v>
      </c>
      <c r="E36" s="144">
        <f>SUM(E37+E38)</f>
        <v>0</v>
      </c>
      <c r="F36" s="144">
        <f aca="true" t="shared" si="4" ref="F36:L36">SUM(F37+F38)</f>
        <v>0</v>
      </c>
      <c r="G36" s="144">
        <f t="shared" si="4"/>
        <v>13000000</v>
      </c>
      <c r="H36" s="144">
        <f t="shared" si="4"/>
        <v>0</v>
      </c>
      <c r="I36" s="144">
        <f t="shared" si="4"/>
        <v>0</v>
      </c>
      <c r="J36" s="144">
        <f t="shared" si="4"/>
        <v>0</v>
      </c>
      <c r="K36" s="144">
        <f t="shared" si="4"/>
        <v>0</v>
      </c>
      <c r="L36" s="144">
        <f t="shared" si="4"/>
        <v>0</v>
      </c>
      <c r="M36" s="25">
        <f t="shared" si="3"/>
        <v>13007930</v>
      </c>
      <c r="N36" s="144">
        <f>SUM(N37+N38)</f>
        <v>11040</v>
      </c>
      <c r="O36" s="144">
        <f aca="true" t="shared" si="5" ref="O36:U36">SUM(O37+O38)</f>
        <v>4820</v>
      </c>
      <c r="P36" s="144">
        <f t="shared" si="5"/>
        <v>12992070</v>
      </c>
      <c r="Q36" s="144">
        <f t="shared" si="5"/>
        <v>0</v>
      </c>
      <c r="R36" s="144">
        <f t="shared" si="5"/>
        <v>0</v>
      </c>
      <c r="S36" s="144">
        <f t="shared" si="5"/>
        <v>0</v>
      </c>
      <c r="T36" s="144">
        <f t="shared" si="5"/>
        <v>0</v>
      </c>
      <c r="U36" s="144">
        <f t="shared" si="5"/>
        <v>0</v>
      </c>
    </row>
    <row r="37" spans="1:21" ht="30">
      <c r="A37" s="12"/>
      <c r="B37" s="12" t="s">
        <v>711</v>
      </c>
      <c r="C37" s="19" t="s">
        <v>712</v>
      </c>
      <c r="D37" s="111">
        <f>SUM(E37:L37)</f>
        <v>8000000</v>
      </c>
      <c r="E37" s="158">
        <v>0</v>
      </c>
      <c r="F37" s="158">
        <v>0</v>
      </c>
      <c r="G37" s="112">
        <v>8000000</v>
      </c>
      <c r="H37" s="158">
        <v>0</v>
      </c>
      <c r="I37" s="158">
        <v>0</v>
      </c>
      <c r="J37" s="158">
        <v>0</v>
      </c>
      <c r="K37" s="158">
        <v>0</v>
      </c>
      <c r="L37" s="164">
        <v>0</v>
      </c>
      <c r="M37" s="111">
        <f>SUM(N37:U37)</f>
        <v>8007930</v>
      </c>
      <c r="N37" s="112">
        <v>11040</v>
      </c>
      <c r="O37" s="112">
        <v>4820</v>
      </c>
      <c r="P37" s="112">
        <v>7992070</v>
      </c>
      <c r="Q37" s="158">
        <v>0</v>
      </c>
      <c r="R37" s="158">
        <v>0</v>
      </c>
      <c r="S37" s="158">
        <v>0</v>
      </c>
      <c r="T37" s="158">
        <v>0</v>
      </c>
      <c r="U37" s="164">
        <v>0</v>
      </c>
    </row>
    <row r="38" spans="1:21" s="165" customFormat="1" ht="18">
      <c r="A38" s="12"/>
      <c r="B38" s="12" t="s">
        <v>958</v>
      </c>
      <c r="C38" s="19" t="s">
        <v>959</v>
      </c>
      <c r="D38" s="111">
        <f t="shared" si="2"/>
        <v>5000000</v>
      </c>
      <c r="E38" s="158">
        <v>0</v>
      </c>
      <c r="F38" s="158">
        <v>0</v>
      </c>
      <c r="G38" s="112">
        <v>5000000</v>
      </c>
      <c r="H38" s="158">
        <v>0</v>
      </c>
      <c r="I38" s="158">
        <v>0</v>
      </c>
      <c r="J38" s="158">
        <v>0</v>
      </c>
      <c r="K38" s="158">
        <v>0</v>
      </c>
      <c r="L38" s="164">
        <v>0</v>
      </c>
      <c r="M38" s="111">
        <f>SUM(N38:U38)</f>
        <v>5000000</v>
      </c>
      <c r="N38" s="112">
        <v>0</v>
      </c>
      <c r="O38" s="112">
        <v>0</v>
      </c>
      <c r="P38" s="112">
        <v>5000000</v>
      </c>
      <c r="Q38" s="158">
        <v>0</v>
      </c>
      <c r="R38" s="158">
        <v>0</v>
      </c>
      <c r="S38" s="158">
        <v>0</v>
      </c>
      <c r="T38" s="158">
        <v>0</v>
      </c>
      <c r="U38" s="164">
        <v>0</v>
      </c>
    </row>
    <row r="39" spans="1:21" ht="30.75" customHeight="1">
      <c r="A39" s="326" t="s">
        <v>326</v>
      </c>
      <c r="B39" s="326"/>
      <c r="C39" s="326"/>
      <c r="D39" s="25">
        <f t="shared" si="2"/>
        <v>1556231178</v>
      </c>
      <c r="E39" s="144">
        <f aca="true" t="shared" si="6" ref="E39:L39">E10+E35+E36</f>
        <v>25127500</v>
      </c>
      <c r="F39" s="144">
        <f t="shared" si="6"/>
        <v>6640000</v>
      </c>
      <c r="G39" s="144">
        <f t="shared" si="6"/>
        <v>819486490</v>
      </c>
      <c r="H39" s="144">
        <f t="shared" si="6"/>
        <v>0</v>
      </c>
      <c r="I39" s="144">
        <f t="shared" si="6"/>
        <v>704977188</v>
      </c>
      <c r="J39" s="144">
        <f t="shared" si="6"/>
        <v>0</v>
      </c>
      <c r="K39" s="144">
        <f t="shared" si="6"/>
        <v>0</v>
      </c>
      <c r="L39" s="144">
        <f t="shared" si="6"/>
        <v>0</v>
      </c>
      <c r="M39" s="25">
        <f>SUM(N39:U39)</f>
        <v>2319017022</v>
      </c>
      <c r="N39" s="144">
        <f aca="true" t="shared" si="7" ref="N39:U39">N10+N35+N36</f>
        <v>24266092</v>
      </c>
      <c r="O39" s="144">
        <f t="shared" si="7"/>
        <v>6579452</v>
      </c>
      <c r="P39" s="144">
        <f t="shared" si="7"/>
        <v>998245320</v>
      </c>
      <c r="Q39" s="144">
        <f t="shared" si="7"/>
        <v>0</v>
      </c>
      <c r="R39" s="144">
        <f t="shared" si="7"/>
        <v>1276913213</v>
      </c>
      <c r="S39" s="144">
        <f t="shared" si="7"/>
        <v>7498800</v>
      </c>
      <c r="T39" s="144">
        <f t="shared" si="7"/>
        <v>2514145</v>
      </c>
      <c r="U39" s="144">
        <f t="shared" si="7"/>
        <v>3000000</v>
      </c>
    </row>
    <row r="41" s="176" customFormat="1" ht="15">
      <c r="C41" s="186"/>
    </row>
    <row r="42" s="176" customFormat="1" ht="15">
      <c r="C42" s="186"/>
    </row>
    <row r="43" s="155" customFormat="1" ht="12.75">
      <c r="C43" s="185"/>
    </row>
    <row r="44" s="155" customFormat="1" ht="12.75">
      <c r="C44" s="185"/>
    </row>
  </sheetData>
  <sheetProtection selectLockedCells="1" selectUnlockedCells="1"/>
  <mergeCells count="16">
    <mergeCell ref="A39:C39"/>
    <mergeCell ref="E8:I8"/>
    <mergeCell ref="J8:L8"/>
    <mergeCell ref="N7:U7"/>
    <mergeCell ref="N8:R8"/>
    <mergeCell ref="S8:U8"/>
    <mergeCell ref="A7:A9"/>
    <mergeCell ref="M7:M9"/>
    <mergeCell ref="B7:B9"/>
    <mergeCell ref="A1:U1"/>
    <mergeCell ref="A2:U2"/>
    <mergeCell ref="A3:U3"/>
    <mergeCell ref="A4:U4"/>
    <mergeCell ref="C7:C9"/>
    <mergeCell ref="D7:D9"/>
    <mergeCell ref="E7:L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7"/>
  <sheetViews>
    <sheetView view="pageBreakPreview" zoomScale="80" zoomScaleNormal="71" zoomScaleSheetLayoutView="80" zoomScalePageLayoutView="0" workbookViewId="0" topLeftCell="A1">
      <selection activeCell="A1" sqref="A1:U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4" width="20.421875" style="0" customWidth="1"/>
    <col min="5" max="5" width="17.57421875" style="0" customWidth="1"/>
    <col min="6" max="6" width="14.57421875" style="0" customWidth="1"/>
    <col min="7" max="7" width="17.57421875" style="0" customWidth="1"/>
    <col min="8" max="8" width="14.57421875" style="0" customWidth="1"/>
    <col min="9" max="9" width="17.57421875" style="0" customWidth="1"/>
    <col min="10" max="12" width="14.57421875" style="0" customWidth="1"/>
    <col min="13" max="13" width="18.7109375" style="0" customWidth="1"/>
    <col min="14" max="14" width="17.00390625" style="0" customWidth="1"/>
    <col min="15" max="15" width="18.28125" style="0" customWidth="1"/>
    <col min="16" max="16" width="16.8515625" style="0" customWidth="1"/>
    <col min="17" max="17" width="13.28125" style="0" customWidth="1"/>
    <col min="18" max="18" width="19.00390625" style="0" customWidth="1"/>
    <col min="19" max="19" width="13.8515625" style="0" bestFit="1" customWidth="1"/>
    <col min="20" max="20" width="14.00390625" style="0" customWidth="1"/>
    <col min="21" max="21" width="16.140625" style="0" customWidth="1"/>
  </cols>
  <sheetData>
    <row r="1" spans="1:21" ht="18">
      <c r="A1" s="262" t="s">
        <v>1268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5">
      <c r="A2" s="370" t="s">
        <v>1251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</row>
    <row r="3" spans="1:21" ht="18" customHeight="1">
      <c r="A3" s="358" t="s">
        <v>713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</row>
    <row r="4" spans="1:21" ht="18">
      <c r="A4" s="359" t="s">
        <v>714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44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16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3" t="s">
        <v>24</v>
      </c>
      <c r="B7" s="273" t="s">
        <v>185</v>
      </c>
      <c r="C7" s="274" t="s">
        <v>25</v>
      </c>
      <c r="D7" s="274" t="s">
        <v>853</v>
      </c>
      <c r="E7" s="325" t="s">
        <v>26</v>
      </c>
      <c r="F7" s="325"/>
      <c r="G7" s="325"/>
      <c r="H7" s="325"/>
      <c r="I7" s="325"/>
      <c r="J7" s="325"/>
      <c r="K7" s="325"/>
      <c r="L7" s="325"/>
      <c r="M7" s="274" t="s">
        <v>1049</v>
      </c>
      <c r="N7" s="325" t="s">
        <v>1047</v>
      </c>
      <c r="O7" s="325"/>
      <c r="P7" s="325"/>
      <c r="Q7" s="325"/>
      <c r="R7" s="325"/>
      <c r="S7" s="325"/>
      <c r="T7" s="325"/>
      <c r="U7" s="325"/>
    </row>
    <row r="8" spans="1:21" ht="12.75" customHeight="1">
      <c r="A8" s="273"/>
      <c r="B8" s="273"/>
      <c r="C8" s="274"/>
      <c r="D8" s="274"/>
      <c r="E8" s="267" t="s">
        <v>27</v>
      </c>
      <c r="F8" s="267"/>
      <c r="G8" s="267"/>
      <c r="H8" s="267"/>
      <c r="I8" s="267"/>
      <c r="J8" s="267" t="s">
        <v>28</v>
      </c>
      <c r="K8" s="267"/>
      <c r="L8" s="267"/>
      <c r="M8" s="274"/>
      <c r="N8" s="267" t="s">
        <v>27</v>
      </c>
      <c r="O8" s="267"/>
      <c r="P8" s="267"/>
      <c r="Q8" s="267"/>
      <c r="R8" s="267"/>
      <c r="S8" s="267" t="s">
        <v>28</v>
      </c>
      <c r="T8" s="267"/>
      <c r="U8" s="267"/>
    </row>
    <row r="9" spans="1:21" ht="89.25">
      <c r="A9" s="273"/>
      <c r="B9" s="273"/>
      <c r="C9" s="274"/>
      <c r="D9" s="27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147</v>
      </c>
      <c r="B10" s="12"/>
      <c r="C10" s="99" t="s">
        <v>40</v>
      </c>
      <c r="D10" s="25">
        <f aca="true" t="shared" si="0" ref="D10:D24">SUM(E10:L10)</f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25">
        <v>0</v>
      </c>
      <c r="M10" s="25">
        <f aca="true" t="shared" si="1" ref="M10:M24">SUM(N10:U10)</f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25">
        <v>0</v>
      </c>
    </row>
    <row r="11" spans="1:21" ht="18">
      <c r="A11" s="12" t="s">
        <v>148</v>
      </c>
      <c r="B11" s="12"/>
      <c r="C11" s="99" t="s">
        <v>42</v>
      </c>
      <c r="D11" s="25">
        <f t="shared" si="0"/>
        <v>380700000</v>
      </c>
      <c r="E11" s="144">
        <f aca="true" t="shared" si="2" ref="E11:L11">SUM(E12:E22)</f>
        <v>45000000</v>
      </c>
      <c r="F11" s="144">
        <f t="shared" si="2"/>
        <v>17000000</v>
      </c>
      <c r="G11" s="144">
        <f t="shared" si="2"/>
        <v>166200000</v>
      </c>
      <c r="H11" s="144">
        <f t="shared" si="2"/>
        <v>0</v>
      </c>
      <c r="I11" s="144">
        <f t="shared" si="2"/>
        <v>150000000</v>
      </c>
      <c r="J11" s="144">
        <f t="shared" si="2"/>
        <v>2500000</v>
      </c>
      <c r="K11" s="144">
        <f t="shared" si="2"/>
        <v>0</v>
      </c>
      <c r="L11" s="144">
        <f t="shared" si="2"/>
        <v>0</v>
      </c>
      <c r="M11" s="25">
        <f t="shared" si="1"/>
        <v>426837921</v>
      </c>
      <c r="N11" s="144">
        <f aca="true" t="shared" si="3" ref="N11:U11">SUM(N12:N22)</f>
        <v>43417502</v>
      </c>
      <c r="O11" s="144">
        <f t="shared" si="3"/>
        <v>19527879</v>
      </c>
      <c r="P11" s="144">
        <f t="shared" si="3"/>
        <v>240590948</v>
      </c>
      <c r="Q11" s="144">
        <f t="shared" si="3"/>
        <v>0</v>
      </c>
      <c r="R11" s="144">
        <f t="shared" si="3"/>
        <v>113570000</v>
      </c>
      <c r="S11" s="144">
        <f t="shared" si="3"/>
        <v>9731592</v>
      </c>
      <c r="T11" s="144">
        <f t="shared" si="3"/>
        <v>0</v>
      </c>
      <c r="U11" s="144">
        <f t="shared" si="3"/>
        <v>0</v>
      </c>
    </row>
    <row r="12" spans="1:21" ht="30">
      <c r="A12" s="12"/>
      <c r="B12" s="12" t="s">
        <v>715</v>
      </c>
      <c r="C12" s="19" t="s">
        <v>716</v>
      </c>
      <c r="D12" s="111">
        <f t="shared" si="0"/>
        <v>30000000</v>
      </c>
      <c r="E12" s="112">
        <v>4000000</v>
      </c>
      <c r="F12" s="112">
        <v>1000000</v>
      </c>
      <c r="G12" s="112">
        <v>25000000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1">
        <f t="shared" si="1"/>
        <v>44250286</v>
      </c>
      <c r="N12" s="112">
        <v>2980000</v>
      </c>
      <c r="O12" s="112">
        <v>545490</v>
      </c>
      <c r="P12" s="112">
        <v>40724796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</row>
    <row r="13" spans="1:21" ht="45">
      <c r="A13" s="12"/>
      <c r="B13" s="12" t="s">
        <v>717</v>
      </c>
      <c r="C13" s="19" t="s">
        <v>956</v>
      </c>
      <c r="D13" s="111">
        <f t="shared" si="0"/>
        <v>70000000</v>
      </c>
      <c r="E13" s="112">
        <v>30000000</v>
      </c>
      <c r="F13" s="112">
        <v>10000000</v>
      </c>
      <c r="G13" s="112">
        <v>30000000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1">
        <f t="shared" si="1"/>
        <v>74798637</v>
      </c>
      <c r="N13" s="112">
        <v>20361941</v>
      </c>
      <c r="O13" s="112">
        <v>11742211</v>
      </c>
      <c r="P13" s="112">
        <v>42694485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</row>
    <row r="14" spans="1:21" ht="18">
      <c r="A14" s="12"/>
      <c r="B14" s="12" t="s">
        <v>718</v>
      </c>
      <c r="C14" s="19" t="s">
        <v>719</v>
      </c>
      <c r="D14" s="111">
        <f t="shared" si="0"/>
        <v>170000000</v>
      </c>
      <c r="E14" s="112">
        <v>3000000</v>
      </c>
      <c r="F14" s="112">
        <v>1000000</v>
      </c>
      <c r="G14" s="112">
        <v>16000000</v>
      </c>
      <c r="H14" s="112">
        <v>0</v>
      </c>
      <c r="I14" s="112">
        <v>150000000</v>
      </c>
      <c r="J14" s="112">
        <v>0</v>
      </c>
      <c r="K14" s="112">
        <v>0</v>
      </c>
      <c r="L14" s="112">
        <v>0</v>
      </c>
      <c r="M14" s="111">
        <f t="shared" si="1"/>
        <v>157602812</v>
      </c>
      <c r="N14" s="112">
        <v>11530880</v>
      </c>
      <c r="O14" s="112">
        <v>4747410</v>
      </c>
      <c r="P14" s="112">
        <v>26824522</v>
      </c>
      <c r="Q14" s="112">
        <v>0</v>
      </c>
      <c r="R14" s="112">
        <v>113570000</v>
      </c>
      <c r="S14" s="112">
        <v>930000</v>
      </c>
      <c r="T14" s="112">
        <v>0</v>
      </c>
      <c r="U14" s="112">
        <v>0</v>
      </c>
    </row>
    <row r="15" spans="1:21" ht="18">
      <c r="A15" s="12"/>
      <c r="B15" s="12" t="s">
        <v>720</v>
      </c>
      <c r="C15" s="19" t="s">
        <v>721</v>
      </c>
      <c r="D15" s="111">
        <f t="shared" si="0"/>
        <v>12000000</v>
      </c>
      <c r="E15" s="112">
        <v>2000000</v>
      </c>
      <c r="F15" s="112">
        <v>500000</v>
      </c>
      <c r="G15" s="112">
        <v>7000000</v>
      </c>
      <c r="H15" s="112">
        <v>0</v>
      </c>
      <c r="I15" s="112">
        <v>0</v>
      </c>
      <c r="J15" s="112">
        <v>2500000</v>
      </c>
      <c r="K15" s="112">
        <v>0</v>
      </c>
      <c r="L15" s="112">
        <v>0</v>
      </c>
      <c r="M15" s="111">
        <f t="shared" si="1"/>
        <v>15101201</v>
      </c>
      <c r="N15" s="112">
        <v>1441227</v>
      </c>
      <c r="O15" s="112">
        <v>450223</v>
      </c>
      <c r="P15" s="112">
        <v>8023701</v>
      </c>
      <c r="Q15" s="112">
        <v>0</v>
      </c>
      <c r="R15" s="112">
        <v>0</v>
      </c>
      <c r="S15" s="112">
        <v>5186050</v>
      </c>
      <c r="T15" s="112">
        <v>0</v>
      </c>
      <c r="U15" s="112">
        <v>0</v>
      </c>
    </row>
    <row r="16" spans="1:21" ht="30">
      <c r="A16" s="12"/>
      <c r="B16" s="12" t="s">
        <v>722</v>
      </c>
      <c r="C16" s="19" t="s">
        <v>723</v>
      </c>
      <c r="D16" s="111">
        <f t="shared" si="0"/>
        <v>2000000</v>
      </c>
      <c r="E16" s="112">
        <v>1000000</v>
      </c>
      <c r="F16" s="112">
        <v>500000</v>
      </c>
      <c r="G16" s="112">
        <v>500000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1">
        <f t="shared" si="1"/>
        <v>920410</v>
      </c>
      <c r="N16" s="112">
        <v>228410</v>
      </c>
      <c r="O16" s="112">
        <v>0</v>
      </c>
      <c r="P16" s="112">
        <v>692000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</row>
    <row r="17" spans="1:21" ht="30">
      <c r="A17" s="12"/>
      <c r="B17" s="12" t="s">
        <v>724</v>
      </c>
      <c r="C17" s="19" t="s">
        <v>725</v>
      </c>
      <c r="D17" s="111">
        <f t="shared" si="0"/>
        <v>30000000</v>
      </c>
      <c r="E17" s="112">
        <v>3000000</v>
      </c>
      <c r="F17" s="112">
        <v>2000000</v>
      </c>
      <c r="G17" s="112">
        <v>25000000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1">
        <f t="shared" si="1"/>
        <v>63831420</v>
      </c>
      <c r="N17" s="112">
        <v>1440604</v>
      </c>
      <c r="O17" s="112">
        <v>403359</v>
      </c>
      <c r="P17" s="112">
        <v>61987457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</row>
    <row r="18" spans="1:21" ht="18">
      <c r="A18" s="12"/>
      <c r="B18" s="12" t="s">
        <v>726</v>
      </c>
      <c r="C18" s="19" t="s">
        <v>727</v>
      </c>
      <c r="D18" s="111">
        <f t="shared" si="0"/>
        <v>25000000</v>
      </c>
      <c r="E18" s="112">
        <v>0</v>
      </c>
      <c r="F18" s="112">
        <v>0</v>
      </c>
      <c r="G18" s="112">
        <v>25000000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1">
        <f t="shared" si="1"/>
        <v>30031589</v>
      </c>
      <c r="N18" s="112">
        <v>0</v>
      </c>
      <c r="O18" s="112">
        <v>0</v>
      </c>
      <c r="P18" s="112">
        <v>26416047</v>
      </c>
      <c r="Q18" s="112">
        <v>0</v>
      </c>
      <c r="R18" s="112">
        <v>0</v>
      </c>
      <c r="S18" s="112">
        <v>3615542</v>
      </c>
      <c r="T18" s="112">
        <v>0</v>
      </c>
      <c r="U18" s="112">
        <v>0</v>
      </c>
    </row>
    <row r="19" spans="1:21" ht="18">
      <c r="A19" s="12"/>
      <c r="B19" s="12" t="s">
        <v>728</v>
      </c>
      <c r="C19" s="19" t="s">
        <v>858</v>
      </c>
      <c r="D19" s="111">
        <f t="shared" si="0"/>
        <v>10000000</v>
      </c>
      <c r="E19" s="112">
        <v>0</v>
      </c>
      <c r="F19" s="112">
        <v>0</v>
      </c>
      <c r="G19" s="112">
        <v>10000000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1">
        <f t="shared" si="1"/>
        <v>5397500</v>
      </c>
      <c r="N19" s="112">
        <v>0</v>
      </c>
      <c r="O19" s="112">
        <v>0</v>
      </c>
      <c r="P19" s="112">
        <v>5397500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</row>
    <row r="20" spans="1:21" ht="18">
      <c r="A20" s="12"/>
      <c r="B20" s="12" t="s">
        <v>729</v>
      </c>
      <c r="C20" s="19" t="s">
        <v>730</v>
      </c>
      <c r="D20" s="111">
        <f t="shared" si="0"/>
        <v>8000000</v>
      </c>
      <c r="E20" s="112">
        <v>2000000</v>
      </c>
      <c r="F20" s="112">
        <v>2000000</v>
      </c>
      <c r="G20" s="112">
        <v>4000000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1">
        <f t="shared" si="1"/>
        <v>8653139</v>
      </c>
      <c r="N20" s="112">
        <v>4785000</v>
      </c>
      <c r="O20" s="112">
        <v>1478889</v>
      </c>
      <c r="P20" s="112">
        <v>2389250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</row>
    <row r="21" spans="1:21" ht="18">
      <c r="A21" s="12"/>
      <c r="B21" s="12" t="s">
        <v>731</v>
      </c>
      <c r="C21" s="19" t="s">
        <v>732</v>
      </c>
      <c r="D21" s="111">
        <f t="shared" si="0"/>
        <v>12700000</v>
      </c>
      <c r="E21" s="112">
        <v>0</v>
      </c>
      <c r="F21" s="112">
        <v>0</v>
      </c>
      <c r="G21" s="112">
        <v>12700000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1">
        <f t="shared" si="1"/>
        <v>12700000</v>
      </c>
      <c r="N21" s="112">
        <v>0</v>
      </c>
      <c r="O21" s="112">
        <v>0</v>
      </c>
      <c r="P21" s="112">
        <v>12700000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</row>
    <row r="22" spans="1:21" ht="30">
      <c r="A22" s="12"/>
      <c r="B22" s="12" t="s">
        <v>733</v>
      </c>
      <c r="C22" s="19" t="s">
        <v>957</v>
      </c>
      <c r="D22" s="111">
        <f t="shared" si="0"/>
        <v>11000000</v>
      </c>
      <c r="E22" s="112">
        <v>0</v>
      </c>
      <c r="F22" s="112">
        <v>0</v>
      </c>
      <c r="G22" s="112">
        <v>11000000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1">
        <f t="shared" si="1"/>
        <v>13550927</v>
      </c>
      <c r="N22" s="112">
        <v>649440</v>
      </c>
      <c r="O22" s="112">
        <v>160297</v>
      </c>
      <c r="P22" s="112">
        <v>12741190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</row>
    <row r="23" spans="1:21" ht="18">
      <c r="A23" s="12" t="s">
        <v>149</v>
      </c>
      <c r="B23" s="12"/>
      <c r="C23" s="99" t="s">
        <v>44</v>
      </c>
      <c r="D23" s="25">
        <f t="shared" si="0"/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25">
        <v>0</v>
      </c>
      <c r="M23" s="25">
        <f t="shared" si="1"/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25">
        <v>0</v>
      </c>
    </row>
    <row r="24" spans="1:21" ht="27" customHeight="1">
      <c r="A24" s="326" t="s">
        <v>326</v>
      </c>
      <c r="B24" s="326"/>
      <c r="C24" s="326"/>
      <c r="D24" s="25">
        <f t="shared" si="0"/>
        <v>380700000</v>
      </c>
      <c r="E24" s="144">
        <f aca="true" t="shared" si="4" ref="E24:L24">E10+E11+E23</f>
        <v>45000000</v>
      </c>
      <c r="F24" s="144">
        <f t="shared" si="4"/>
        <v>17000000</v>
      </c>
      <c r="G24" s="144">
        <f t="shared" si="4"/>
        <v>166200000</v>
      </c>
      <c r="H24" s="144">
        <f t="shared" si="4"/>
        <v>0</v>
      </c>
      <c r="I24" s="144">
        <f t="shared" si="4"/>
        <v>150000000</v>
      </c>
      <c r="J24" s="144">
        <f t="shared" si="4"/>
        <v>2500000</v>
      </c>
      <c r="K24" s="144">
        <f t="shared" si="4"/>
        <v>0</v>
      </c>
      <c r="L24" s="144">
        <f t="shared" si="4"/>
        <v>0</v>
      </c>
      <c r="M24" s="25">
        <f t="shared" si="1"/>
        <v>426837921</v>
      </c>
      <c r="N24" s="144">
        <f aca="true" t="shared" si="5" ref="N24:U24">N10+N11+N23</f>
        <v>43417502</v>
      </c>
      <c r="O24" s="144">
        <f t="shared" si="5"/>
        <v>19527879</v>
      </c>
      <c r="P24" s="144">
        <f t="shared" si="5"/>
        <v>240590948</v>
      </c>
      <c r="Q24" s="144">
        <f t="shared" si="5"/>
        <v>0</v>
      </c>
      <c r="R24" s="144">
        <f t="shared" si="5"/>
        <v>113570000</v>
      </c>
      <c r="S24" s="144">
        <f t="shared" si="5"/>
        <v>9731592</v>
      </c>
      <c r="T24" s="144">
        <f t="shared" si="5"/>
        <v>0</v>
      </c>
      <c r="U24" s="144">
        <f t="shared" si="5"/>
        <v>0</v>
      </c>
    </row>
    <row r="27" spans="10:12" ht="12.75">
      <c r="J27" s="34"/>
      <c r="K27" s="34"/>
      <c r="L27" s="34"/>
    </row>
    <row r="28" spans="10:12" ht="12.75">
      <c r="J28" s="34"/>
      <c r="K28" s="34"/>
      <c r="L28" s="34"/>
    </row>
    <row r="29" spans="10:12" ht="12.75">
      <c r="J29" s="34"/>
      <c r="K29" s="34"/>
      <c r="L29" s="34"/>
    </row>
    <row r="30" spans="10:12" ht="12.75">
      <c r="J30" s="34"/>
      <c r="K30" s="34"/>
      <c r="L30" s="34"/>
    </row>
    <row r="31" spans="10:12" ht="12.75">
      <c r="J31" s="34"/>
      <c r="K31" s="34" t="s">
        <v>510</v>
      </c>
      <c r="L31" s="34"/>
    </row>
    <row r="32" spans="10:12" ht="12.75">
      <c r="J32" s="34"/>
      <c r="K32" s="34"/>
      <c r="L32" s="34"/>
    </row>
    <row r="33" spans="10:12" ht="12.75">
      <c r="J33" s="34"/>
      <c r="K33" s="34"/>
      <c r="L33" s="34"/>
    </row>
    <row r="34" spans="10:12" ht="12.75">
      <c r="J34" s="34"/>
      <c r="K34" s="34"/>
      <c r="L34" s="34"/>
    </row>
    <row r="35" spans="10:12" ht="12.75">
      <c r="J35" s="34"/>
      <c r="K35" s="34"/>
      <c r="L35" s="34"/>
    </row>
    <row r="36" spans="10:12" ht="12.75">
      <c r="J36" s="34"/>
      <c r="K36" s="34"/>
      <c r="L36" s="34"/>
    </row>
    <row r="37" spans="10:12" ht="12.75">
      <c r="J37" s="34"/>
      <c r="K37" s="34"/>
      <c r="L37" s="34"/>
    </row>
    <row r="38" spans="10:12" ht="12.75">
      <c r="J38" s="34"/>
      <c r="K38" s="34"/>
      <c r="L38" s="34"/>
    </row>
    <row r="39" spans="10:12" ht="12.75">
      <c r="J39" s="34"/>
      <c r="K39" s="34"/>
      <c r="L39" s="34"/>
    </row>
    <row r="40" spans="10:12" ht="12.75">
      <c r="J40" s="34"/>
      <c r="K40" s="34"/>
      <c r="L40" s="34"/>
    </row>
    <row r="41" spans="10:12" ht="12.75">
      <c r="J41" s="34"/>
      <c r="K41" s="34"/>
      <c r="L41" s="34"/>
    </row>
    <row r="42" spans="10:12" ht="12.75">
      <c r="J42" s="34"/>
      <c r="K42" s="34"/>
      <c r="L42" s="34"/>
    </row>
    <row r="43" spans="10:12" ht="12.75">
      <c r="J43" s="34"/>
      <c r="K43" s="34"/>
      <c r="L43" s="34"/>
    </row>
    <row r="44" spans="10:12" ht="12.75">
      <c r="J44" s="34"/>
      <c r="K44" s="34"/>
      <c r="L44" s="34"/>
    </row>
    <row r="45" spans="10:12" ht="12.75">
      <c r="J45" s="34"/>
      <c r="K45" s="34"/>
      <c r="L45" s="34"/>
    </row>
    <row r="55" spans="11:12" ht="12.75">
      <c r="K55" s="166"/>
      <c r="L55" s="167"/>
    </row>
    <row r="56" spans="11:12" ht="12.75">
      <c r="K56" s="168"/>
      <c r="L56" s="169"/>
    </row>
    <row r="57" spans="11:12" ht="12.75">
      <c r="K57" s="170"/>
      <c r="L57" s="171"/>
    </row>
  </sheetData>
  <sheetProtection selectLockedCells="1" selectUnlockedCells="1"/>
  <mergeCells count="16">
    <mergeCell ref="A24:C24"/>
    <mergeCell ref="E8:I8"/>
    <mergeCell ref="J8:L8"/>
    <mergeCell ref="N7:U7"/>
    <mergeCell ref="N8:R8"/>
    <mergeCell ref="S8:U8"/>
    <mergeCell ref="A7:A9"/>
    <mergeCell ref="M7:M9"/>
    <mergeCell ref="B7:B9"/>
    <mergeCell ref="A1:U1"/>
    <mergeCell ref="A2:U2"/>
    <mergeCell ref="A3:U3"/>
    <mergeCell ref="A4:U4"/>
    <mergeCell ref="C7:C9"/>
    <mergeCell ref="D7:D9"/>
    <mergeCell ref="E7:L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T29"/>
  <sheetViews>
    <sheetView view="pageBreakPreview" zoomScale="74" zoomScaleNormal="74" zoomScaleSheetLayoutView="74" zoomScalePageLayoutView="0" workbookViewId="0" topLeftCell="A1">
      <selection activeCell="A1" sqref="A1:Y1"/>
    </sheetView>
  </sheetViews>
  <sheetFormatPr defaultColWidth="9.140625" defaultRowHeight="12.75" customHeight="1"/>
  <cols>
    <col min="1" max="1" width="4.57421875" style="37" customWidth="1"/>
    <col min="2" max="2" width="5.57421875" style="37" customWidth="1"/>
    <col min="3" max="3" width="14.28125" style="37" customWidth="1"/>
    <col min="4" max="4" width="13.57421875" style="37" customWidth="1"/>
    <col min="5" max="5" width="15.28125" style="37" customWidth="1"/>
    <col min="6" max="6" width="11.57421875" style="37" customWidth="1"/>
    <col min="7" max="7" width="6.140625" style="37" customWidth="1"/>
    <col min="8" max="8" width="16.00390625" style="37" customWidth="1"/>
    <col min="9" max="9" width="13.00390625" style="37" customWidth="1"/>
    <col min="10" max="14" width="12.421875" style="37" customWidth="1"/>
    <col min="15" max="15" width="13.57421875" style="37" customWidth="1"/>
    <col min="16" max="16" width="16.421875" style="37" customWidth="1"/>
    <col min="17" max="17" width="15.7109375" style="37" customWidth="1"/>
    <col min="18" max="18" width="11.28125" style="37" customWidth="1"/>
    <col min="19" max="19" width="11.140625" style="37" customWidth="1"/>
    <col min="20" max="21" width="10.57421875" style="37" bestFit="1" customWidth="1"/>
    <col min="22" max="22" width="14.7109375" style="37" customWidth="1"/>
    <col min="23" max="23" width="14.421875" style="37" customWidth="1"/>
    <col min="24" max="24" width="17.421875" style="37" customWidth="1"/>
    <col min="25" max="25" width="18.421875" style="37" customWidth="1"/>
    <col min="26" max="150" width="9.140625" style="37" customWidth="1"/>
    <col min="151" max="176" width="9.140625" style="38" customWidth="1"/>
  </cols>
  <sheetData>
    <row r="1" spans="1:202" ht="17.25" customHeight="1">
      <c r="A1" s="262" t="s">
        <v>1254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N1" s="39"/>
      <c r="FO1" s="39"/>
      <c r="FP1" s="39"/>
      <c r="FQ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</row>
    <row r="2" spans="1:202" ht="13.5" customHeight="1">
      <c r="A2" s="263" t="s">
        <v>1051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N2" s="39"/>
      <c r="FO2" s="39"/>
      <c r="FP2" s="39"/>
      <c r="FQ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</row>
    <row r="3" spans="1:202" ht="13.5" customHeight="1">
      <c r="A3" s="263" t="s">
        <v>1040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N3" s="39"/>
      <c r="FO3" s="39"/>
      <c r="FP3" s="39"/>
      <c r="FQ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</row>
    <row r="4" spans="1:202" ht="20.25" customHeight="1">
      <c r="A4" s="275" t="s">
        <v>179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N4" s="39"/>
      <c r="FO4" s="39"/>
      <c r="FP4" s="39"/>
      <c r="FQ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</row>
    <row r="5" spans="1:25" s="39" customFormat="1" ht="20.25" customHeight="1">
      <c r="A5" s="276" t="s">
        <v>180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</row>
    <row r="6" spans="3:24" s="39" customFormat="1" ht="13.5" customHeight="1"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X6" s="42" t="s">
        <v>1</v>
      </c>
    </row>
    <row r="7" spans="1:176" ht="12.75" customHeight="1">
      <c r="A7" s="43" t="s">
        <v>2</v>
      </c>
      <c r="B7" s="43" t="s">
        <v>3</v>
      </c>
      <c r="C7" s="43" t="s">
        <v>4</v>
      </c>
      <c r="D7" s="43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3" t="s">
        <v>10</v>
      </c>
      <c r="J7" s="43" t="s">
        <v>11</v>
      </c>
      <c r="K7" s="43" t="s">
        <v>12</v>
      </c>
      <c r="L7" s="43" t="s">
        <v>13</v>
      </c>
      <c r="M7" s="43" t="s">
        <v>14</v>
      </c>
      <c r="N7" s="43" t="s">
        <v>15</v>
      </c>
      <c r="O7" s="43" t="s">
        <v>16</v>
      </c>
      <c r="P7" s="43" t="s">
        <v>17</v>
      </c>
      <c r="Q7" s="43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181</v>
      </c>
      <c r="W7" s="4" t="s">
        <v>182</v>
      </c>
      <c r="X7" s="4" t="s">
        <v>183</v>
      </c>
      <c r="Y7" s="4" t="s">
        <v>184</v>
      </c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</row>
    <row r="8" spans="1:176" ht="12.75" customHeight="1">
      <c r="A8" s="284" t="s">
        <v>185</v>
      </c>
      <c r="B8" s="284" t="s">
        <v>186</v>
      </c>
      <c r="C8" s="279" t="s">
        <v>1230</v>
      </c>
      <c r="D8" s="279" t="s">
        <v>187</v>
      </c>
      <c r="E8" s="279" t="s">
        <v>188</v>
      </c>
      <c r="F8" s="279" t="s">
        <v>189</v>
      </c>
      <c r="G8" s="280" t="s">
        <v>190</v>
      </c>
      <c r="H8" s="279" t="s">
        <v>191</v>
      </c>
      <c r="I8" s="279" t="s">
        <v>192</v>
      </c>
      <c r="J8" s="285" t="s">
        <v>26</v>
      </c>
      <c r="K8" s="285"/>
      <c r="L8" s="285"/>
      <c r="M8" s="285"/>
      <c r="N8" s="285"/>
      <c r="O8" s="285"/>
      <c r="P8" s="285"/>
      <c r="Q8" s="285"/>
      <c r="R8" s="285" t="s">
        <v>1047</v>
      </c>
      <c r="S8" s="285"/>
      <c r="T8" s="285"/>
      <c r="U8" s="285"/>
      <c r="V8" s="285"/>
      <c r="W8" s="285"/>
      <c r="X8" s="285"/>
      <c r="Y8" s="285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spans="1:176" ht="66" customHeight="1">
      <c r="A9" s="284"/>
      <c r="B9" s="284"/>
      <c r="C9" s="279"/>
      <c r="D9" s="279"/>
      <c r="E9" s="279"/>
      <c r="F9" s="279"/>
      <c r="G9" s="280"/>
      <c r="H9" s="279"/>
      <c r="I9" s="279"/>
      <c r="J9" s="279" t="s">
        <v>1044</v>
      </c>
      <c r="K9" s="279"/>
      <c r="L9" s="279"/>
      <c r="M9" s="279"/>
      <c r="N9" s="279"/>
      <c r="O9" s="279" t="s">
        <v>193</v>
      </c>
      <c r="P9" s="279" t="s">
        <v>194</v>
      </c>
      <c r="Q9" s="279" t="s">
        <v>195</v>
      </c>
      <c r="R9" s="279" t="s">
        <v>1048</v>
      </c>
      <c r="S9" s="279"/>
      <c r="T9" s="279"/>
      <c r="U9" s="279"/>
      <c r="V9" s="279"/>
      <c r="W9" s="279" t="s">
        <v>193</v>
      </c>
      <c r="X9" s="279" t="s">
        <v>194</v>
      </c>
      <c r="Y9" s="279" t="s">
        <v>195</v>
      </c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25" s="46" customFormat="1" ht="24.75" customHeight="1">
      <c r="A10" s="284"/>
      <c r="B10" s="284"/>
      <c r="C10" s="279"/>
      <c r="D10" s="279"/>
      <c r="E10" s="279"/>
      <c r="F10" s="279"/>
      <c r="G10" s="280"/>
      <c r="H10" s="279"/>
      <c r="I10" s="279"/>
      <c r="J10" s="45" t="s">
        <v>196</v>
      </c>
      <c r="K10" s="45" t="s">
        <v>197</v>
      </c>
      <c r="L10" s="45" t="s">
        <v>198</v>
      </c>
      <c r="M10" s="44" t="s">
        <v>199</v>
      </c>
      <c r="N10" s="44" t="s">
        <v>200</v>
      </c>
      <c r="O10" s="279"/>
      <c r="P10" s="279"/>
      <c r="Q10" s="279"/>
      <c r="R10" s="45" t="s">
        <v>196</v>
      </c>
      <c r="S10" s="45" t="s">
        <v>197</v>
      </c>
      <c r="T10" s="45" t="s">
        <v>198</v>
      </c>
      <c r="U10" s="44" t="s">
        <v>199</v>
      </c>
      <c r="V10" s="44" t="s">
        <v>200</v>
      </c>
      <c r="W10" s="279"/>
      <c r="X10" s="279"/>
      <c r="Y10" s="279"/>
    </row>
    <row r="11" spans="1:176" ht="15" customHeight="1">
      <c r="A11" s="47" t="s">
        <v>39</v>
      </c>
      <c r="B11" s="48"/>
      <c r="C11" s="278" t="s">
        <v>201</v>
      </c>
      <c r="D11" s="278"/>
      <c r="E11" s="278"/>
      <c r="F11" s="49"/>
      <c r="G11" s="50"/>
      <c r="H11" s="51">
        <f>SUM(H12:H15)</f>
        <v>50500000000</v>
      </c>
      <c r="I11" s="51">
        <f>SUM(I12:I15)</f>
        <v>0</v>
      </c>
      <c r="J11" s="51">
        <f>SUM(J12:J15)</f>
        <v>0</v>
      </c>
      <c r="K11" s="51">
        <f aca="true" t="shared" si="0" ref="K11:Y11">SUM(K12:K15)</f>
        <v>0</v>
      </c>
      <c r="L11" s="51">
        <f t="shared" si="0"/>
        <v>0</v>
      </c>
      <c r="M11" s="51">
        <f t="shared" si="0"/>
        <v>0</v>
      </c>
      <c r="N11" s="51">
        <f t="shared" si="0"/>
        <v>0</v>
      </c>
      <c r="O11" s="51">
        <f t="shared" si="0"/>
        <v>45000000</v>
      </c>
      <c r="P11" s="51">
        <f t="shared" si="0"/>
        <v>0</v>
      </c>
      <c r="Q11" s="51">
        <f t="shared" si="0"/>
        <v>45000000</v>
      </c>
      <c r="R11" s="51">
        <f t="shared" si="0"/>
        <v>0</v>
      </c>
      <c r="S11" s="51">
        <f t="shared" si="0"/>
        <v>0</v>
      </c>
      <c r="T11" s="51">
        <f t="shared" si="0"/>
        <v>0</v>
      </c>
      <c r="U11" s="51">
        <f t="shared" si="0"/>
        <v>0</v>
      </c>
      <c r="V11" s="51">
        <f t="shared" si="0"/>
        <v>0</v>
      </c>
      <c r="W11" s="51">
        <f t="shared" si="0"/>
        <v>68460000</v>
      </c>
      <c r="X11" s="51">
        <f t="shared" si="0"/>
        <v>0</v>
      </c>
      <c r="Y11" s="51">
        <f t="shared" si="0"/>
        <v>68460000</v>
      </c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spans="1:25" s="46" customFormat="1" ht="38.25" customHeight="1">
      <c r="A12" s="52"/>
      <c r="B12" s="52" t="s">
        <v>863</v>
      </c>
      <c r="C12" s="53" t="s">
        <v>203</v>
      </c>
      <c r="D12" s="54" t="s">
        <v>204</v>
      </c>
      <c r="E12" s="54">
        <v>42633</v>
      </c>
      <c r="F12" s="54">
        <v>44276</v>
      </c>
      <c r="G12" s="55" t="s">
        <v>202</v>
      </c>
      <c r="H12" s="56">
        <v>1000000000</v>
      </c>
      <c r="I12" s="57">
        <v>0</v>
      </c>
      <c r="J12" s="57">
        <v>0</v>
      </c>
      <c r="K12" s="56">
        <f>J12</f>
        <v>0</v>
      </c>
      <c r="L12" s="56">
        <f>K12</f>
        <v>0</v>
      </c>
      <c r="M12" s="56">
        <v>0</v>
      </c>
      <c r="N12" s="58">
        <f>SUM(J12:M12)</f>
        <v>0</v>
      </c>
      <c r="O12" s="57">
        <f>'[2]5.1 D (2)'!L11</f>
        <v>11000000</v>
      </c>
      <c r="P12" s="57">
        <f>'[2]5.1 D (2)'!M11</f>
        <v>0</v>
      </c>
      <c r="Q12" s="59">
        <f>SUM(N12:P12)</f>
        <v>11000000</v>
      </c>
      <c r="R12" s="57">
        <v>0</v>
      </c>
      <c r="S12" s="56">
        <v>0</v>
      </c>
      <c r="T12" s="56">
        <v>0</v>
      </c>
      <c r="U12" s="56">
        <v>0</v>
      </c>
      <c r="V12" s="58">
        <v>0</v>
      </c>
      <c r="W12" s="57">
        <f>'[2]5.1 D (2)'!P11</f>
        <v>11000000</v>
      </c>
      <c r="X12" s="57">
        <v>0</v>
      </c>
      <c r="Y12" s="59">
        <f>SUM(V12:X12)</f>
        <v>11000000</v>
      </c>
    </row>
    <row r="13" spans="1:25" s="46" customFormat="1" ht="38.25" customHeight="1">
      <c r="A13" s="52"/>
      <c r="B13" s="52" t="s">
        <v>1015</v>
      </c>
      <c r="C13" s="53" t="s">
        <v>864</v>
      </c>
      <c r="D13" s="54" t="s">
        <v>204</v>
      </c>
      <c r="E13" s="54">
        <v>42887</v>
      </c>
      <c r="F13" s="54">
        <v>47116</v>
      </c>
      <c r="G13" s="55" t="s">
        <v>202</v>
      </c>
      <c r="H13" s="56">
        <v>3000000000</v>
      </c>
      <c r="I13" s="57">
        <v>0</v>
      </c>
      <c r="J13" s="57">
        <v>0</v>
      </c>
      <c r="K13" s="56">
        <v>0</v>
      </c>
      <c r="L13" s="56">
        <v>0</v>
      </c>
      <c r="M13" s="56">
        <v>0</v>
      </c>
      <c r="N13" s="58">
        <f>SUM(J13:M13)</f>
        <v>0</v>
      </c>
      <c r="O13" s="57">
        <f>'[2]5.1 D (2)'!L12</f>
        <v>33000000</v>
      </c>
      <c r="P13" s="57">
        <f>'[2]5.1 D (2)'!M12</f>
        <v>0</v>
      </c>
      <c r="Q13" s="59">
        <f>SUM(N13:P13)</f>
        <v>33000000</v>
      </c>
      <c r="R13" s="57">
        <v>0</v>
      </c>
      <c r="S13" s="56">
        <v>0</v>
      </c>
      <c r="T13" s="56">
        <v>0</v>
      </c>
      <c r="U13" s="56">
        <v>0</v>
      </c>
      <c r="V13" s="58">
        <v>0</v>
      </c>
      <c r="W13" s="57">
        <f>'[2]5.1 D (2)'!P12</f>
        <v>33000000</v>
      </c>
      <c r="X13" s="57">
        <v>0</v>
      </c>
      <c r="Y13" s="59">
        <f>SUM(V13:X13)</f>
        <v>33000000</v>
      </c>
    </row>
    <row r="14" spans="1:25" s="46" customFormat="1" ht="38.25" customHeight="1">
      <c r="A14" s="52"/>
      <c r="B14" s="52" t="s">
        <v>1017</v>
      </c>
      <c r="C14" s="53" t="s">
        <v>1231</v>
      </c>
      <c r="D14" s="54" t="s">
        <v>204</v>
      </c>
      <c r="E14" s="54">
        <v>43277</v>
      </c>
      <c r="F14" s="54">
        <v>47848</v>
      </c>
      <c r="G14" s="55" t="s">
        <v>202</v>
      </c>
      <c r="H14" s="56">
        <v>2500000000</v>
      </c>
      <c r="I14" s="57">
        <v>0</v>
      </c>
      <c r="J14" s="57">
        <v>0</v>
      </c>
      <c r="K14" s="56">
        <v>0</v>
      </c>
      <c r="L14" s="56">
        <v>0</v>
      </c>
      <c r="M14" s="56">
        <v>0</v>
      </c>
      <c r="N14" s="58">
        <v>0</v>
      </c>
      <c r="O14" s="57">
        <v>1000000</v>
      </c>
      <c r="P14" s="57">
        <v>0</v>
      </c>
      <c r="Q14" s="59">
        <f>SUM(N14:P14)</f>
        <v>1000000</v>
      </c>
      <c r="R14" s="57">
        <v>0</v>
      </c>
      <c r="S14" s="56">
        <v>0</v>
      </c>
      <c r="T14" s="56">
        <v>0</v>
      </c>
      <c r="U14" s="56">
        <v>0</v>
      </c>
      <c r="V14" s="58">
        <v>0</v>
      </c>
      <c r="W14" s="57">
        <f>'[2]5.1 D (2)'!P13</f>
        <v>1000000</v>
      </c>
      <c r="X14" s="57">
        <v>0</v>
      </c>
      <c r="Y14" s="59">
        <f>SUM(V14:X14)</f>
        <v>1000000</v>
      </c>
    </row>
    <row r="15" spans="1:25" s="46" customFormat="1" ht="38.25" customHeight="1">
      <c r="A15" s="52"/>
      <c r="B15" s="52" t="s">
        <v>1229</v>
      </c>
      <c r="C15" s="53" t="s">
        <v>1244</v>
      </c>
      <c r="D15" s="54" t="s">
        <v>1245</v>
      </c>
      <c r="E15" s="54">
        <v>43363</v>
      </c>
      <c r="F15" s="54">
        <v>45289</v>
      </c>
      <c r="G15" s="55" t="s">
        <v>202</v>
      </c>
      <c r="H15" s="56">
        <v>44000000000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9">
        <f>SUM(N15:P15)</f>
        <v>0</v>
      </c>
      <c r="R15" s="57">
        <v>0</v>
      </c>
      <c r="S15" s="56">
        <v>0</v>
      </c>
      <c r="T15" s="56">
        <v>0</v>
      </c>
      <c r="U15" s="56">
        <v>0</v>
      </c>
      <c r="V15" s="58">
        <v>0</v>
      </c>
      <c r="W15" s="57">
        <v>23460000</v>
      </c>
      <c r="X15" s="57">
        <v>0</v>
      </c>
      <c r="Y15" s="59">
        <f>SUM(V15:X15)</f>
        <v>23460000</v>
      </c>
    </row>
    <row r="16" spans="1:176" ht="15" customHeight="1">
      <c r="A16" s="47" t="s">
        <v>41</v>
      </c>
      <c r="B16" s="47"/>
      <c r="C16" s="278" t="s">
        <v>205</v>
      </c>
      <c r="D16" s="278"/>
      <c r="E16" s="278"/>
      <c r="F16" s="49"/>
      <c r="G16" s="50"/>
      <c r="H16" s="59">
        <f>SUM(H17:H18)</f>
        <v>2800000000</v>
      </c>
      <c r="I16" s="59">
        <f aca="true" t="shared" si="1" ref="I16:Y16">SUM(I17:I17)</f>
        <v>0</v>
      </c>
      <c r="J16" s="59">
        <f t="shared" si="1"/>
        <v>0</v>
      </c>
      <c r="K16" s="59">
        <f t="shared" si="1"/>
        <v>0</v>
      </c>
      <c r="L16" s="59">
        <f t="shared" si="1"/>
        <v>0</v>
      </c>
      <c r="M16" s="59">
        <f t="shared" si="1"/>
        <v>0</v>
      </c>
      <c r="N16" s="59">
        <f t="shared" si="1"/>
        <v>0</v>
      </c>
      <c r="O16" s="59">
        <f t="shared" si="1"/>
        <v>9000000</v>
      </c>
      <c r="P16" s="59">
        <f t="shared" si="1"/>
        <v>5000000</v>
      </c>
      <c r="Q16" s="59">
        <f t="shared" si="1"/>
        <v>14000000</v>
      </c>
      <c r="R16" s="59">
        <f t="shared" si="1"/>
        <v>0</v>
      </c>
      <c r="S16" s="59">
        <f t="shared" si="1"/>
        <v>0</v>
      </c>
      <c r="T16" s="59">
        <f t="shared" si="1"/>
        <v>0</v>
      </c>
      <c r="U16" s="59">
        <f t="shared" si="1"/>
        <v>0</v>
      </c>
      <c r="V16" s="59">
        <f t="shared" si="1"/>
        <v>0</v>
      </c>
      <c r="W16" s="59">
        <f t="shared" si="1"/>
        <v>9000000</v>
      </c>
      <c r="X16" s="59">
        <f t="shared" si="1"/>
        <v>5000000</v>
      </c>
      <c r="Y16" s="59">
        <f t="shared" si="1"/>
        <v>14000000</v>
      </c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</row>
    <row r="17" spans="1:25" s="46" customFormat="1" ht="41.25" customHeight="1">
      <c r="A17" s="52"/>
      <c r="B17" s="52" t="s">
        <v>206</v>
      </c>
      <c r="C17" s="60" t="s">
        <v>207</v>
      </c>
      <c r="D17" s="53" t="s">
        <v>204</v>
      </c>
      <c r="E17" s="61"/>
      <c r="F17" s="54"/>
      <c r="G17" s="55" t="s">
        <v>202</v>
      </c>
      <c r="H17" s="56">
        <v>2500000000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62">
        <v>0</v>
      </c>
      <c r="O17" s="63">
        <f>'[2]5.1 D (2)'!L16</f>
        <v>9000000</v>
      </c>
      <c r="P17" s="63">
        <f>'[2]5.1 D (2)'!M16</f>
        <v>5000000</v>
      </c>
      <c r="Q17" s="64">
        <f>N17+O17+P17</f>
        <v>14000000</v>
      </c>
      <c r="R17" s="56">
        <v>0</v>
      </c>
      <c r="S17" s="56">
        <v>0</v>
      </c>
      <c r="T17" s="56">
        <v>0</v>
      </c>
      <c r="U17" s="56">
        <v>0</v>
      </c>
      <c r="V17" s="62">
        <v>0</v>
      </c>
      <c r="W17" s="63">
        <f>'[2]5.1 D (2)'!P16</f>
        <v>9000000</v>
      </c>
      <c r="X17" s="63">
        <f>'[2]5.1 D (2)'!Q16</f>
        <v>5000000</v>
      </c>
      <c r="Y17" s="64">
        <f>V17+W17+X17</f>
        <v>14000000</v>
      </c>
    </row>
    <row r="18" spans="1:25" s="46" customFormat="1" ht="41.25" customHeight="1">
      <c r="A18" s="52"/>
      <c r="B18" s="52" t="s">
        <v>208</v>
      </c>
      <c r="C18" s="60" t="s">
        <v>209</v>
      </c>
      <c r="D18" s="53" t="s">
        <v>204</v>
      </c>
      <c r="E18" s="61"/>
      <c r="F18" s="54"/>
      <c r="G18" s="55" t="s">
        <v>202</v>
      </c>
      <c r="H18" s="56">
        <v>300000000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62">
        <v>0</v>
      </c>
      <c r="O18" s="63">
        <f>'[2]5.1 D (2)'!L17</f>
        <v>0</v>
      </c>
      <c r="P18" s="63">
        <f>'[2]5.1 D (2)'!M17</f>
        <v>0</v>
      </c>
      <c r="Q18" s="64">
        <f>N18+O18+P18</f>
        <v>0</v>
      </c>
      <c r="R18" s="56">
        <v>0</v>
      </c>
      <c r="S18" s="56">
        <v>0</v>
      </c>
      <c r="T18" s="56">
        <v>0</v>
      </c>
      <c r="U18" s="56">
        <v>0</v>
      </c>
      <c r="V18" s="62">
        <v>0</v>
      </c>
      <c r="W18" s="63">
        <v>0</v>
      </c>
      <c r="X18" s="63">
        <f>'[2]5.1 D (2)'!Q17</f>
        <v>0</v>
      </c>
      <c r="Y18" s="64">
        <f>V18+W18+X18</f>
        <v>0</v>
      </c>
    </row>
    <row r="19" spans="1:176" ht="15" customHeight="1">
      <c r="A19" s="47" t="s">
        <v>43</v>
      </c>
      <c r="B19" s="47"/>
      <c r="C19" s="283" t="s">
        <v>1232</v>
      </c>
      <c r="D19" s="283"/>
      <c r="E19" s="283"/>
      <c r="F19" s="59"/>
      <c r="G19" s="65"/>
      <c r="H19" s="59">
        <f>SUM(H20)</f>
        <v>200000000</v>
      </c>
      <c r="I19" s="59">
        <f aca="true" t="shared" si="2" ref="I19:Y19">SUM(I20:I20)</f>
        <v>0</v>
      </c>
      <c r="J19" s="59">
        <f t="shared" si="2"/>
        <v>5250000</v>
      </c>
      <c r="K19" s="59">
        <f t="shared" si="2"/>
        <v>5250000</v>
      </c>
      <c r="L19" s="59">
        <f t="shared" si="2"/>
        <v>5250000</v>
      </c>
      <c r="M19" s="59">
        <f t="shared" si="2"/>
        <v>5250000</v>
      </c>
      <c r="N19" s="59">
        <f t="shared" si="2"/>
        <v>21000000</v>
      </c>
      <c r="O19" s="59">
        <f t="shared" si="2"/>
        <v>0</v>
      </c>
      <c r="P19" s="59">
        <f t="shared" si="2"/>
        <v>0</v>
      </c>
      <c r="Q19" s="59">
        <f t="shared" si="2"/>
        <v>21000000</v>
      </c>
      <c r="R19" s="59">
        <f t="shared" si="2"/>
        <v>5250000</v>
      </c>
      <c r="S19" s="59">
        <f t="shared" si="2"/>
        <v>5250000</v>
      </c>
      <c r="T19" s="59">
        <f t="shared" si="2"/>
        <v>5250000</v>
      </c>
      <c r="U19" s="59">
        <f t="shared" si="2"/>
        <v>5250000</v>
      </c>
      <c r="V19" s="59">
        <f t="shared" si="2"/>
        <v>21000000</v>
      </c>
      <c r="W19" s="59">
        <f t="shared" si="2"/>
        <v>0</v>
      </c>
      <c r="X19" s="59">
        <f t="shared" si="2"/>
        <v>0</v>
      </c>
      <c r="Y19" s="59">
        <f t="shared" si="2"/>
        <v>21000000</v>
      </c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</row>
    <row r="20" spans="1:25" s="71" customFormat="1" ht="38.25" customHeight="1">
      <c r="A20" s="52"/>
      <c r="B20" s="52" t="s">
        <v>210</v>
      </c>
      <c r="C20" s="282" t="s">
        <v>1233</v>
      </c>
      <c r="D20" s="282"/>
      <c r="E20" s="282"/>
      <c r="F20" s="66">
        <v>45657</v>
      </c>
      <c r="G20" s="67" t="s">
        <v>202</v>
      </c>
      <c r="H20" s="68">
        <v>200000000</v>
      </c>
      <c r="I20" s="68">
        <v>0</v>
      </c>
      <c r="J20" s="69">
        <f>'[1]5.1 FT, MT'!I10</f>
        <v>5250000</v>
      </c>
      <c r="K20" s="69">
        <f>'[1]5.1 FT, MT'!J10</f>
        <v>5250000</v>
      </c>
      <c r="L20" s="69">
        <f>'[1]5.1 FT, MT'!K10</f>
        <v>5250000</v>
      </c>
      <c r="M20" s="69">
        <f>'[1]5.1 FT, MT'!L10</f>
        <v>5250000</v>
      </c>
      <c r="N20" s="70">
        <f>SUM(J20:M20)</f>
        <v>21000000</v>
      </c>
      <c r="O20" s="68">
        <v>0</v>
      </c>
      <c r="P20" s="68">
        <v>0</v>
      </c>
      <c r="Q20" s="64">
        <f>SUM(N20:P20)</f>
        <v>21000000</v>
      </c>
      <c r="R20" s="69">
        <f>'[2]5.1 FT, MT (2)'!Q10</f>
        <v>5250000</v>
      </c>
      <c r="S20" s="69">
        <f>'[2]5.1 FT, MT (2)'!R10</f>
        <v>5250000</v>
      </c>
      <c r="T20" s="69">
        <f>'[2]5.1 FT, MT (2)'!S10</f>
        <v>5250000</v>
      </c>
      <c r="U20" s="69">
        <f>'[2]5.1 FT, MT (2)'!T10</f>
        <v>5250000</v>
      </c>
      <c r="V20" s="69">
        <f>'[2]5.1 FT, MT (2)'!U10</f>
        <v>21000000</v>
      </c>
      <c r="W20" s="68">
        <v>0</v>
      </c>
      <c r="X20" s="68">
        <v>0</v>
      </c>
      <c r="Y20" s="64">
        <f>SUM(V20:X20)</f>
        <v>21000000</v>
      </c>
    </row>
    <row r="21" spans="1:176" ht="26.25" customHeight="1">
      <c r="A21" s="72" t="s">
        <v>211</v>
      </c>
      <c r="B21" s="72"/>
      <c r="C21" s="283" t="s">
        <v>1234</v>
      </c>
      <c r="D21" s="283"/>
      <c r="E21" s="283"/>
      <c r="F21" s="73"/>
      <c r="G21" s="74"/>
      <c r="H21" s="64">
        <f aca="true" t="shared" si="3" ref="H21:N21">SUM(H22:H22)</f>
        <v>200000000</v>
      </c>
      <c r="I21" s="64">
        <f t="shared" si="3"/>
        <v>0</v>
      </c>
      <c r="J21" s="64">
        <f t="shared" si="3"/>
        <v>0</v>
      </c>
      <c r="K21" s="64">
        <f t="shared" si="3"/>
        <v>0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4">
        <f aca="true" t="shared" si="4" ref="O21:W21">SUM(O22:O22)</f>
        <v>3300000</v>
      </c>
      <c r="P21" s="64">
        <f t="shared" si="4"/>
        <v>0</v>
      </c>
      <c r="Q21" s="64">
        <f t="shared" si="4"/>
        <v>3300000</v>
      </c>
      <c r="R21" s="64">
        <f t="shared" si="4"/>
        <v>0</v>
      </c>
      <c r="S21" s="64">
        <f t="shared" si="4"/>
        <v>0</v>
      </c>
      <c r="T21" s="64">
        <f t="shared" si="4"/>
        <v>0</v>
      </c>
      <c r="U21" s="64">
        <f t="shared" si="4"/>
        <v>0</v>
      </c>
      <c r="V21" s="64">
        <f t="shared" si="4"/>
        <v>0</v>
      </c>
      <c r="W21" s="64">
        <f t="shared" si="4"/>
        <v>3300000</v>
      </c>
      <c r="X21" s="64">
        <v>0</v>
      </c>
      <c r="Y21" s="64">
        <f>SUM(Y22:Y22)</f>
        <v>3300000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</row>
    <row r="22" spans="1:25" s="71" customFormat="1" ht="27" customHeight="1">
      <c r="A22" s="52"/>
      <c r="B22" s="52" t="s">
        <v>212</v>
      </c>
      <c r="C22" s="282" t="s">
        <v>1233</v>
      </c>
      <c r="D22" s="282"/>
      <c r="E22" s="282"/>
      <c r="F22" s="282"/>
      <c r="G22" s="252" t="s">
        <v>202</v>
      </c>
      <c r="H22" s="68">
        <v>200000000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68">
        <v>3300000</v>
      </c>
      <c r="P22" s="70">
        <v>0</v>
      </c>
      <c r="Q22" s="64">
        <f>SUM(O22:P22)</f>
        <v>3300000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68">
        <f>'[2]5.1 FT, MT (2)'!V19</f>
        <v>3300000</v>
      </c>
      <c r="X22" s="70">
        <v>0</v>
      </c>
      <c r="Y22" s="64">
        <f>SUM(W22:X22)</f>
        <v>3300000</v>
      </c>
    </row>
    <row r="23" spans="1:176" ht="38.25" customHeight="1">
      <c r="A23" s="281" t="s">
        <v>213</v>
      </c>
      <c r="B23" s="281"/>
      <c r="C23" s="281"/>
      <c r="D23" s="281"/>
      <c r="E23" s="281"/>
      <c r="F23" s="281"/>
      <c r="G23" s="74"/>
      <c r="H23" s="64">
        <f>SUM(H11,H16,H19,H21)</f>
        <v>53700000000</v>
      </c>
      <c r="I23" s="64">
        <f>SUM(I11,I16,I19,I21)</f>
        <v>0</v>
      </c>
      <c r="J23" s="64">
        <f aca="true" t="shared" si="5" ref="J23:X23">SUM(J11,J16,J19,J21)</f>
        <v>5250000</v>
      </c>
      <c r="K23" s="64">
        <f t="shared" si="5"/>
        <v>5250000</v>
      </c>
      <c r="L23" s="64">
        <f t="shared" si="5"/>
        <v>5250000</v>
      </c>
      <c r="M23" s="64">
        <f t="shared" si="5"/>
        <v>5250000</v>
      </c>
      <c r="N23" s="64">
        <f t="shared" si="5"/>
        <v>21000000</v>
      </c>
      <c r="O23" s="64">
        <f t="shared" si="5"/>
        <v>57300000</v>
      </c>
      <c r="P23" s="64">
        <f t="shared" si="5"/>
        <v>5000000</v>
      </c>
      <c r="Q23" s="64">
        <f t="shared" si="5"/>
        <v>83300000</v>
      </c>
      <c r="R23" s="64">
        <f t="shared" si="5"/>
        <v>5250000</v>
      </c>
      <c r="S23" s="64">
        <f t="shared" si="5"/>
        <v>5250000</v>
      </c>
      <c r="T23" s="64">
        <f t="shared" si="5"/>
        <v>5250000</v>
      </c>
      <c r="U23" s="64">
        <f t="shared" si="5"/>
        <v>5250000</v>
      </c>
      <c r="V23" s="64">
        <f t="shared" si="5"/>
        <v>21000000</v>
      </c>
      <c r="W23" s="64">
        <f t="shared" si="5"/>
        <v>80760000</v>
      </c>
      <c r="X23" s="64">
        <f t="shared" si="5"/>
        <v>5000000</v>
      </c>
      <c r="Y23" s="64">
        <f>SUM(Y11,Y16,Y19,Y21)</f>
        <v>106760000</v>
      </c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</row>
    <row r="25" spans="1:17" ht="12.75" customHeight="1">
      <c r="A25" s="277" t="s">
        <v>1045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</row>
    <row r="27" ht="12.75" customHeight="1">
      <c r="Q27" s="177"/>
    </row>
    <row r="28" ht="12.75" customHeight="1">
      <c r="Q28" s="177"/>
    </row>
    <row r="29" ht="12.75" customHeight="1">
      <c r="Q29" s="177"/>
    </row>
  </sheetData>
  <sheetProtection selectLockedCells="1" selectUnlockedCells="1"/>
  <mergeCells count="32">
    <mergeCell ref="I8:I10"/>
    <mergeCell ref="R8:Y8"/>
    <mergeCell ref="C8:C10"/>
    <mergeCell ref="X9:X10"/>
    <mergeCell ref="W9:W10"/>
    <mergeCell ref="Y9:Y10"/>
    <mergeCell ref="H8:H10"/>
    <mergeCell ref="O9:O10"/>
    <mergeCell ref="J8:Q8"/>
    <mergeCell ref="R9:V9"/>
    <mergeCell ref="P9:P10"/>
    <mergeCell ref="Q9:Q10"/>
    <mergeCell ref="A23:F23"/>
    <mergeCell ref="J9:N9"/>
    <mergeCell ref="C22:F22"/>
    <mergeCell ref="C21:E21"/>
    <mergeCell ref="C20:E20"/>
    <mergeCell ref="A8:A10"/>
    <mergeCell ref="C19:E19"/>
    <mergeCell ref="B8:B10"/>
    <mergeCell ref="C11:E11"/>
    <mergeCell ref="E8:E10"/>
    <mergeCell ref="A1:Y1"/>
    <mergeCell ref="A2:Y2"/>
    <mergeCell ref="A3:Y3"/>
    <mergeCell ref="A4:Y4"/>
    <mergeCell ref="A5:Y5"/>
    <mergeCell ref="A25:Q25"/>
    <mergeCell ref="C16:E16"/>
    <mergeCell ref="F8:F10"/>
    <mergeCell ref="G8:G10"/>
    <mergeCell ref="D8:D10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9"/>
  <sheetViews>
    <sheetView view="pageBreakPreview" zoomScale="71" zoomScaleNormal="71" zoomScaleSheetLayoutView="7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U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51.7109375" style="0" customWidth="1"/>
    <col min="4" max="4" width="16.8515625" style="0" customWidth="1"/>
    <col min="5" max="5" width="14.57421875" style="0" customWidth="1"/>
    <col min="6" max="6" width="15.421875" style="0" customWidth="1"/>
    <col min="7" max="7" width="18.28125" style="0" customWidth="1"/>
    <col min="8" max="8" width="14.57421875" style="0" customWidth="1"/>
    <col min="9" max="9" width="20.7109375" style="0" customWidth="1"/>
    <col min="10" max="12" width="14.57421875" style="0" customWidth="1"/>
    <col min="13" max="13" width="18.57421875" style="0" customWidth="1"/>
    <col min="14" max="14" width="17.00390625" style="0" customWidth="1"/>
    <col min="15" max="15" width="14.421875" style="0" customWidth="1"/>
    <col min="16" max="16" width="18.28125" style="0" customWidth="1"/>
    <col min="18" max="18" width="19.421875" style="0" customWidth="1"/>
    <col min="19" max="19" width="13.8515625" style="0" customWidth="1"/>
    <col min="20" max="20" width="13.00390625" style="0" customWidth="1"/>
    <col min="21" max="21" width="14.140625" style="0" customWidth="1"/>
  </cols>
  <sheetData>
    <row r="1" spans="1:21" ht="18">
      <c r="A1" s="262" t="s">
        <v>1269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8">
      <c r="A2" s="263" t="s">
        <v>1064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ht="18" customHeight="1">
      <c r="A3" s="358" t="s">
        <v>734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</row>
    <row r="4" spans="1:21" ht="18" customHeight="1">
      <c r="A4" s="371" t="s">
        <v>735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44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3" t="s">
        <v>24</v>
      </c>
      <c r="B7" s="273" t="s">
        <v>185</v>
      </c>
      <c r="C7" s="274" t="s">
        <v>25</v>
      </c>
      <c r="D7" s="274" t="s">
        <v>853</v>
      </c>
      <c r="E7" s="325" t="s">
        <v>26</v>
      </c>
      <c r="F7" s="325"/>
      <c r="G7" s="325"/>
      <c r="H7" s="325"/>
      <c r="I7" s="325"/>
      <c r="J7" s="325"/>
      <c r="K7" s="325"/>
      <c r="L7" s="325"/>
      <c r="M7" s="274" t="s">
        <v>1049</v>
      </c>
      <c r="N7" s="325" t="s">
        <v>1047</v>
      </c>
      <c r="O7" s="325"/>
      <c r="P7" s="325"/>
      <c r="Q7" s="325"/>
      <c r="R7" s="325"/>
      <c r="S7" s="325"/>
      <c r="T7" s="325"/>
      <c r="U7" s="325"/>
    </row>
    <row r="8" spans="1:21" ht="12.75" customHeight="1">
      <c r="A8" s="273"/>
      <c r="B8" s="273"/>
      <c r="C8" s="274"/>
      <c r="D8" s="274"/>
      <c r="E8" s="267" t="s">
        <v>27</v>
      </c>
      <c r="F8" s="267"/>
      <c r="G8" s="267"/>
      <c r="H8" s="267"/>
      <c r="I8" s="267"/>
      <c r="J8" s="267" t="s">
        <v>28</v>
      </c>
      <c r="K8" s="267"/>
      <c r="L8" s="267"/>
      <c r="M8" s="274"/>
      <c r="N8" s="267" t="s">
        <v>27</v>
      </c>
      <c r="O8" s="267"/>
      <c r="P8" s="267"/>
      <c r="Q8" s="267"/>
      <c r="R8" s="267"/>
      <c r="S8" s="267" t="s">
        <v>28</v>
      </c>
      <c r="T8" s="267"/>
      <c r="U8" s="267"/>
    </row>
    <row r="9" spans="1:21" ht="89.25">
      <c r="A9" s="273"/>
      <c r="B9" s="273"/>
      <c r="C9" s="274"/>
      <c r="D9" s="27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152</v>
      </c>
      <c r="B10" s="12"/>
      <c r="C10" s="99" t="s">
        <v>40</v>
      </c>
      <c r="D10" s="25">
        <f aca="true" t="shared" si="0" ref="D10:D15">SUM(E10:L10)</f>
        <v>372856499</v>
      </c>
      <c r="E10" s="144">
        <f>SUM(E11:E29)</f>
        <v>12509740</v>
      </c>
      <c r="F10" s="144">
        <f aca="true" t="shared" si="1" ref="F10:L10">SUM(F11:F29)</f>
        <v>3039689</v>
      </c>
      <c r="G10" s="144">
        <f t="shared" si="1"/>
        <v>348073301</v>
      </c>
      <c r="H10" s="144">
        <f t="shared" si="1"/>
        <v>0</v>
      </c>
      <c r="I10" s="144">
        <f t="shared" si="1"/>
        <v>9233769</v>
      </c>
      <c r="J10" s="144">
        <f t="shared" si="1"/>
        <v>0</v>
      </c>
      <c r="K10" s="144">
        <f t="shared" si="1"/>
        <v>0</v>
      </c>
      <c r="L10" s="144">
        <f t="shared" si="1"/>
        <v>0</v>
      </c>
      <c r="M10" s="25">
        <f aca="true" t="shared" si="2" ref="M10:M15">SUM(N10:U10)</f>
        <v>452345850</v>
      </c>
      <c r="N10" s="144">
        <f>SUM(N11:N29)</f>
        <v>16291985</v>
      </c>
      <c r="O10" s="144">
        <f aca="true" t="shared" si="3" ref="O10:U10">SUM(O11:O29)</f>
        <v>4369572</v>
      </c>
      <c r="P10" s="144">
        <f t="shared" si="3"/>
        <v>407508804</v>
      </c>
      <c r="Q10" s="144">
        <f t="shared" si="3"/>
        <v>0</v>
      </c>
      <c r="R10" s="144">
        <f t="shared" si="3"/>
        <v>14466239</v>
      </c>
      <c r="S10" s="144">
        <f t="shared" si="3"/>
        <v>9709250</v>
      </c>
      <c r="T10" s="144">
        <f t="shared" si="3"/>
        <v>0</v>
      </c>
      <c r="U10" s="144">
        <f t="shared" si="3"/>
        <v>0</v>
      </c>
    </row>
    <row r="11" spans="1:21" ht="45">
      <c r="A11" s="12"/>
      <c r="B11" s="12" t="s">
        <v>736</v>
      </c>
      <c r="C11" s="19" t="s">
        <v>737</v>
      </c>
      <c r="D11" s="111">
        <f t="shared" si="0"/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1">
        <f t="shared" si="2"/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</row>
    <row r="12" spans="1:21" ht="39" customHeight="1">
      <c r="A12" s="12"/>
      <c r="B12" s="12" t="s">
        <v>738</v>
      </c>
      <c r="C12" s="19" t="s">
        <v>739</v>
      </c>
      <c r="D12" s="111">
        <f t="shared" si="0"/>
        <v>293758414</v>
      </c>
      <c r="E12" s="112">
        <v>12509740</v>
      </c>
      <c r="F12" s="112">
        <v>2752144</v>
      </c>
      <c r="G12" s="112">
        <v>273624742</v>
      </c>
      <c r="H12" s="112">
        <v>0</v>
      </c>
      <c r="I12" s="112">
        <v>4871788</v>
      </c>
      <c r="J12" s="112">
        <v>0</v>
      </c>
      <c r="K12" s="112">
        <v>0</v>
      </c>
      <c r="L12" s="112">
        <v>0</v>
      </c>
      <c r="M12" s="111">
        <f t="shared" si="2"/>
        <v>293758414</v>
      </c>
      <c r="N12" s="112">
        <v>12509740</v>
      </c>
      <c r="O12" s="112">
        <v>2752144</v>
      </c>
      <c r="P12" s="112">
        <v>273624742</v>
      </c>
      <c r="Q12" s="112">
        <v>0</v>
      </c>
      <c r="R12" s="112">
        <v>4871788</v>
      </c>
      <c r="S12" s="112">
        <v>0</v>
      </c>
      <c r="T12" s="112">
        <v>0</v>
      </c>
      <c r="U12" s="112">
        <v>0</v>
      </c>
    </row>
    <row r="13" spans="1:21" ht="30">
      <c r="A13" s="12"/>
      <c r="B13" s="12" t="s">
        <v>740</v>
      </c>
      <c r="C13" s="19" t="s">
        <v>741</v>
      </c>
      <c r="D13" s="111">
        <f t="shared" si="0"/>
        <v>900000</v>
      </c>
      <c r="E13" s="112">
        <v>0</v>
      </c>
      <c r="F13" s="112">
        <v>0</v>
      </c>
      <c r="G13" s="112">
        <v>900000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1">
        <f t="shared" si="2"/>
        <v>1001750</v>
      </c>
      <c r="N13" s="112">
        <v>0</v>
      </c>
      <c r="O13" s="112">
        <v>0</v>
      </c>
      <c r="P13" s="112">
        <v>1001750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</row>
    <row r="14" spans="1:21" ht="30">
      <c r="A14" s="12"/>
      <c r="B14" s="12" t="s">
        <v>742</v>
      </c>
      <c r="C14" s="19" t="s">
        <v>743</v>
      </c>
      <c r="D14" s="111">
        <f t="shared" si="0"/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1">
        <f t="shared" si="2"/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</row>
    <row r="15" spans="1:21" ht="27.75" customHeight="1">
      <c r="A15" s="12"/>
      <c r="B15" s="12" t="s">
        <v>744</v>
      </c>
      <c r="C15" s="19" t="s">
        <v>870</v>
      </c>
      <c r="D15" s="111">
        <f t="shared" si="0"/>
        <v>17084110</v>
      </c>
      <c r="E15" s="112"/>
      <c r="F15" s="112">
        <v>287545</v>
      </c>
      <c r="G15" s="112">
        <v>13992959</v>
      </c>
      <c r="H15" s="112">
        <v>0</v>
      </c>
      <c r="I15" s="112">
        <v>2803606</v>
      </c>
      <c r="J15" s="112">
        <v>0</v>
      </c>
      <c r="K15" s="112">
        <v>0</v>
      </c>
      <c r="L15" s="112">
        <v>0</v>
      </c>
      <c r="M15" s="111">
        <f t="shared" si="2"/>
        <v>27343725</v>
      </c>
      <c r="N15" s="112">
        <v>1000000</v>
      </c>
      <c r="O15" s="112">
        <v>887545</v>
      </c>
      <c r="P15" s="112">
        <v>16112664</v>
      </c>
      <c r="Q15" s="112">
        <v>0</v>
      </c>
      <c r="R15" s="112">
        <v>9343516</v>
      </c>
      <c r="S15" s="112">
        <v>0</v>
      </c>
      <c r="T15" s="112">
        <v>0</v>
      </c>
      <c r="U15" s="112">
        <v>0</v>
      </c>
    </row>
    <row r="16" spans="1:21" ht="30">
      <c r="A16" s="12"/>
      <c r="B16" s="12" t="s">
        <v>745</v>
      </c>
      <c r="C16" s="19" t="s">
        <v>748</v>
      </c>
      <c r="D16" s="111">
        <f aca="true" t="shared" si="4" ref="D16:D29">SUM(E16:L16)</f>
        <v>1913975</v>
      </c>
      <c r="E16" s="112">
        <v>0</v>
      </c>
      <c r="F16" s="112">
        <v>0</v>
      </c>
      <c r="G16" s="112">
        <v>355600</v>
      </c>
      <c r="H16" s="112">
        <v>0</v>
      </c>
      <c r="I16" s="112">
        <v>1558375</v>
      </c>
      <c r="J16" s="112">
        <v>0</v>
      </c>
      <c r="K16" s="112">
        <v>0</v>
      </c>
      <c r="L16" s="112">
        <v>0</v>
      </c>
      <c r="M16" s="111">
        <f aca="true" t="shared" si="5" ref="M16:M23">SUM(N16:U16)</f>
        <v>1913975</v>
      </c>
      <c r="N16" s="112">
        <v>940245</v>
      </c>
      <c r="O16" s="112">
        <v>406612</v>
      </c>
      <c r="P16" s="112">
        <v>554155</v>
      </c>
      <c r="Q16" s="112">
        <v>0</v>
      </c>
      <c r="R16" s="112">
        <v>12963</v>
      </c>
      <c r="S16" s="112">
        <v>0</v>
      </c>
      <c r="T16" s="112">
        <v>0</v>
      </c>
      <c r="U16" s="112">
        <v>0</v>
      </c>
    </row>
    <row r="17" spans="1:21" ht="71.25" customHeight="1">
      <c r="A17" s="12"/>
      <c r="B17" s="12" t="s">
        <v>747</v>
      </c>
      <c r="C17" s="19" t="s">
        <v>875</v>
      </c>
      <c r="D17" s="111">
        <f t="shared" si="4"/>
        <v>5800000</v>
      </c>
      <c r="E17" s="112">
        <v>0</v>
      </c>
      <c r="F17" s="112">
        <v>0</v>
      </c>
      <c r="G17" s="112">
        <v>5800000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1">
        <f t="shared" si="5"/>
        <v>15790300</v>
      </c>
      <c r="N17" s="112">
        <v>0</v>
      </c>
      <c r="O17" s="112">
        <v>0</v>
      </c>
      <c r="P17" s="112">
        <v>15790300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</row>
    <row r="18" spans="1:21" ht="45">
      <c r="A18" s="12"/>
      <c r="B18" s="12" t="s">
        <v>821</v>
      </c>
      <c r="C18" s="19" t="s">
        <v>828</v>
      </c>
      <c r="D18" s="111">
        <f t="shared" si="4"/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1">
        <f t="shared" si="5"/>
        <v>2839516</v>
      </c>
      <c r="N18" s="112">
        <v>0</v>
      </c>
      <c r="O18" s="112">
        <v>0</v>
      </c>
      <c r="P18" s="112">
        <v>2839516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</row>
    <row r="19" spans="1:21" ht="30">
      <c r="A19" s="12"/>
      <c r="B19" s="12" t="s">
        <v>822</v>
      </c>
      <c r="C19" s="19" t="s">
        <v>829</v>
      </c>
      <c r="D19" s="111">
        <f t="shared" si="4"/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1">
        <f t="shared" si="5"/>
        <v>743643</v>
      </c>
      <c r="N19" s="112">
        <v>0</v>
      </c>
      <c r="O19" s="112">
        <v>0</v>
      </c>
      <c r="P19" s="112">
        <v>743643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</row>
    <row r="20" spans="1:21" ht="30">
      <c r="A20" s="12"/>
      <c r="B20" s="12" t="s">
        <v>823</v>
      </c>
      <c r="C20" s="19" t="s">
        <v>830</v>
      </c>
      <c r="D20" s="111">
        <f t="shared" si="4"/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1">
        <f t="shared" si="5"/>
        <v>657647</v>
      </c>
      <c r="N20" s="112">
        <v>0</v>
      </c>
      <c r="O20" s="112">
        <v>0</v>
      </c>
      <c r="P20" s="112">
        <v>657647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</row>
    <row r="21" spans="1:21" ht="45" customHeight="1">
      <c r="A21" s="12"/>
      <c r="B21" s="12" t="s">
        <v>824</v>
      </c>
      <c r="C21" s="19" t="s">
        <v>831</v>
      </c>
      <c r="D21" s="111">
        <f t="shared" si="4"/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1">
        <f t="shared" si="5"/>
        <v>9409454</v>
      </c>
      <c r="N21" s="112">
        <v>0</v>
      </c>
      <c r="O21" s="112">
        <v>0</v>
      </c>
      <c r="P21" s="112">
        <v>9409454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</row>
    <row r="22" spans="1:21" ht="45" customHeight="1">
      <c r="A22" s="12"/>
      <c r="B22" s="12" t="s">
        <v>825</v>
      </c>
      <c r="C22" s="19" t="s">
        <v>832</v>
      </c>
      <c r="D22" s="111">
        <f t="shared" si="4"/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1">
        <f t="shared" si="5"/>
        <v>21255033</v>
      </c>
      <c r="N22" s="112">
        <v>0</v>
      </c>
      <c r="O22" s="112">
        <v>0</v>
      </c>
      <c r="P22" s="112">
        <v>21255033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</row>
    <row r="23" spans="1:21" ht="45" customHeight="1">
      <c r="A23" s="12"/>
      <c r="B23" s="12" t="s">
        <v>826</v>
      </c>
      <c r="C23" s="19" t="s">
        <v>833</v>
      </c>
      <c r="D23" s="111">
        <f t="shared" si="4"/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1">
        <f t="shared" si="5"/>
        <v>13636141</v>
      </c>
      <c r="N23" s="112">
        <v>0</v>
      </c>
      <c r="O23" s="112">
        <v>0</v>
      </c>
      <c r="P23" s="112">
        <v>13636141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</row>
    <row r="24" spans="1:21" ht="48" customHeight="1">
      <c r="A24" s="12"/>
      <c r="B24" s="12" t="s">
        <v>827</v>
      </c>
      <c r="C24" s="188" t="s">
        <v>1038</v>
      </c>
      <c r="D24" s="111">
        <f>SUM(E24:L24)</f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1">
        <f aca="true" t="shared" si="6" ref="M24:M32">SUM(N24:U24)</f>
        <v>10666252</v>
      </c>
      <c r="N24" s="112">
        <v>1842000</v>
      </c>
      <c r="O24" s="112">
        <v>323271</v>
      </c>
      <c r="P24" s="112">
        <v>6136141</v>
      </c>
      <c r="Q24" s="112">
        <v>0</v>
      </c>
      <c r="R24" s="112">
        <v>0</v>
      </c>
      <c r="S24" s="112">
        <v>2364840</v>
      </c>
      <c r="T24" s="112">
        <v>0</v>
      </c>
      <c r="U24" s="112">
        <v>0</v>
      </c>
    </row>
    <row r="25" spans="1:21" ht="35.25" customHeight="1">
      <c r="A25" s="12"/>
      <c r="B25" s="12" t="s">
        <v>862</v>
      </c>
      <c r="C25" s="19" t="s">
        <v>873</v>
      </c>
      <c r="D25" s="111">
        <f>SUM(E25:L25)</f>
        <v>11200000</v>
      </c>
      <c r="E25" s="112">
        <v>0</v>
      </c>
      <c r="F25" s="112">
        <v>0</v>
      </c>
      <c r="G25" s="112">
        <v>11200000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1">
        <f t="shared" si="6"/>
        <v>11200000</v>
      </c>
      <c r="N25" s="112">
        <v>0</v>
      </c>
      <c r="O25" s="112">
        <v>0</v>
      </c>
      <c r="P25" s="112">
        <v>11003236</v>
      </c>
      <c r="Q25" s="112">
        <v>0</v>
      </c>
      <c r="R25" s="112">
        <v>196764</v>
      </c>
      <c r="S25" s="112">
        <v>0</v>
      </c>
      <c r="T25" s="112">
        <v>0</v>
      </c>
      <c r="U25" s="112">
        <v>0</v>
      </c>
    </row>
    <row r="26" spans="1:21" ht="35.25" customHeight="1">
      <c r="A26" s="12"/>
      <c r="B26" s="12" t="s">
        <v>871</v>
      </c>
      <c r="C26" s="19" t="s">
        <v>874</v>
      </c>
      <c r="D26" s="111">
        <f>SUM(E26:L26)</f>
        <v>11200000</v>
      </c>
      <c r="E26" s="112">
        <v>0</v>
      </c>
      <c r="F26" s="112">
        <v>0</v>
      </c>
      <c r="G26" s="112">
        <v>11200000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1">
        <f t="shared" si="6"/>
        <v>11200000</v>
      </c>
      <c r="N26" s="112">
        <v>0</v>
      </c>
      <c r="O26" s="112">
        <v>0</v>
      </c>
      <c r="P26" s="112">
        <v>11158792</v>
      </c>
      <c r="Q26" s="112">
        <v>0</v>
      </c>
      <c r="R26" s="112">
        <v>41208</v>
      </c>
      <c r="S26" s="112">
        <v>0</v>
      </c>
      <c r="T26" s="112">
        <v>0</v>
      </c>
      <c r="U26" s="112">
        <v>0</v>
      </c>
    </row>
    <row r="27" spans="1:21" ht="18">
      <c r="A27" s="12"/>
      <c r="B27" s="12" t="s">
        <v>872</v>
      </c>
      <c r="C27" s="19" t="s">
        <v>968</v>
      </c>
      <c r="D27" s="111">
        <f>SUM(E27:L27)</f>
        <v>1000000</v>
      </c>
      <c r="E27" s="112">
        <v>0</v>
      </c>
      <c r="F27" s="112">
        <v>0</v>
      </c>
      <c r="G27" s="112">
        <v>1000000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1">
        <f t="shared" si="6"/>
        <v>1000000</v>
      </c>
      <c r="N27" s="112">
        <v>0</v>
      </c>
      <c r="O27" s="112">
        <v>0</v>
      </c>
      <c r="P27" s="112">
        <v>1000000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</row>
    <row r="28" spans="1:21" ht="18">
      <c r="A28" s="12"/>
      <c r="B28" s="12" t="s">
        <v>965</v>
      </c>
      <c r="C28" s="19" t="s">
        <v>746</v>
      </c>
      <c r="D28" s="111">
        <f t="shared" si="4"/>
        <v>30000000</v>
      </c>
      <c r="E28" s="112">
        <v>0</v>
      </c>
      <c r="F28" s="112">
        <v>0</v>
      </c>
      <c r="G28" s="112">
        <v>30000000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1">
        <f t="shared" si="6"/>
        <v>22541140</v>
      </c>
      <c r="N28" s="112">
        <v>0</v>
      </c>
      <c r="O28" s="112">
        <v>0</v>
      </c>
      <c r="P28" s="112">
        <v>22541140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</row>
    <row r="29" spans="1:21" ht="45">
      <c r="A29" s="12"/>
      <c r="B29" s="12" t="s">
        <v>1242</v>
      </c>
      <c r="C29" s="19" t="s">
        <v>1241</v>
      </c>
      <c r="D29" s="111">
        <f t="shared" si="4"/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1">
        <f t="shared" si="6"/>
        <v>7388860</v>
      </c>
      <c r="N29" s="112">
        <v>0</v>
      </c>
      <c r="O29" s="112">
        <v>0</v>
      </c>
      <c r="P29" s="112">
        <v>44450</v>
      </c>
      <c r="Q29" s="112">
        <v>0</v>
      </c>
      <c r="R29" s="112">
        <v>0</v>
      </c>
      <c r="S29" s="112">
        <v>7344410</v>
      </c>
      <c r="T29" s="112">
        <v>0</v>
      </c>
      <c r="U29" s="112">
        <v>0</v>
      </c>
    </row>
    <row r="30" spans="1:21" ht="18">
      <c r="A30" s="12" t="s">
        <v>153</v>
      </c>
      <c r="B30" s="12"/>
      <c r="C30" s="99" t="s">
        <v>42</v>
      </c>
      <c r="D30" s="25">
        <f>SUM(E30:L30)</f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25">
        <f t="shared" si="6"/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  <c r="T30" s="144">
        <v>0</v>
      </c>
      <c r="U30" s="144">
        <v>0</v>
      </c>
    </row>
    <row r="31" spans="1:21" ht="18">
      <c r="A31" s="12" t="s">
        <v>154</v>
      </c>
      <c r="B31" s="12"/>
      <c r="C31" s="99" t="s">
        <v>44</v>
      </c>
      <c r="D31" s="25">
        <f>SUM(E31:L31)</f>
        <v>0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25">
        <v>0</v>
      </c>
      <c r="M31" s="25">
        <f t="shared" si="6"/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25">
        <v>0</v>
      </c>
    </row>
    <row r="32" spans="1:21" ht="33" customHeight="1">
      <c r="A32" s="326" t="s">
        <v>326</v>
      </c>
      <c r="B32" s="326"/>
      <c r="C32" s="326"/>
      <c r="D32" s="25">
        <f>SUM(E32:L32)</f>
        <v>372856499</v>
      </c>
      <c r="E32" s="144">
        <f aca="true" t="shared" si="7" ref="E32:L32">E10+E30+E31</f>
        <v>12509740</v>
      </c>
      <c r="F32" s="144">
        <f t="shared" si="7"/>
        <v>3039689</v>
      </c>
      <c r="G32" s="144">
        <f t="shared" si="7"/>
        <v>348073301</v>
      </c>
      <c r="H32" s="144">
        <f t="shared" si="7"/>
        <v>0</v>
      </c>
      <c r="I32" s="144">
        <f t="shared" si="7"/>
        <v>9233769</v>
      </c>
      <c r="J32" s="144">
        <f t="shared" si="7"/>
        <v>0</v>
      </c>
      <c r="K32" s="144">
        <f t="shared" si="7"/>
        <v>0</v>
      </c>
      <c r="L32" s="144">
        <f t="shared" si="7"/>
        <v>0</v>
      </c>
      <c r="M32" s="25">
        <f t="shared" si="6"/>
        <v>452345850</v>
      </c>
      <c r="N32" s="144">
        <f aca="true" t="shared" si="8" ref="N32:U32">N10+N30+N31</f>
        <v>16291985</v>
      </c>
      <c r="O32" s="144">
        <f t="shared" si="8"/>
        <v>4369572</v>
      </c>
      <c r="P32" s="144">
        <f t="shared" si="8"/>
        <v>407508804</v>
      </c>
      <c r="Q32" s="144">
        <f t="shared" si="8"/>
        <v>0</v>
      </c>
      <c r="R32" s="144">
        <f t="shared" si="8"/>
        <v>14466239</v>
      </c>
      <c r="S32" s="144">
        <f t="shared" si="8"/>
        <v>9709250</v>
      </c>
      <c r="T32" s="144">
        <f t="shared" si="8"/>
        <v>0</v>
      </c>
      <c r="U32" s="144">
        <f t="shared" si="8"/>
        <v>0</v>
      </c>
    </row>
    <row r="33" s="180" customFormat="1" ht="14.25"/>
    <row r="34" s="180" customFormat="1" ht="14.25"/>
    <row r="35" spans="10:12" s="180" customFormat="1" ht="14.25">
      <c r="J35" s="187"/>
      <c r="K35" s="187"/>
      <c r="L35" s="187"/>
    </row>
    <row r="36" spans="10:12" s="180" customFormat="1" ht="14.25">
      <c r="J36" s="187"/>
      <c r="K36" s="187"/>
      <c r="L36" s="187"/>
    </row>
    <row r="37" spans="10:12" s="180" customFormat="1" ht="14.25">
      <c r="J37" s="187"/>
      <c r="K37" s="187"/>
      <c r="L37" s="187"/>
    </row>
    <row r="38" spans="10:12" ht="12.75">
      <c r="J38" s="34"/>
      <c r="K38" s="34"/>
      <c r="L38" s="34"/>
    </row>
    <row r="39" spans="10:12" ht="12.75">
      <c r="J39" s="34"/>
      <c r="K39" s="34" t="s">
        <v>510</v>
      </c>
      <c r="L39" s="34"/>
    </row>
  </sheetData>
  <sheetProtection selectLockedCells="1" selectUnlockedCells="1"/>
  <mergeCells count="16">
    <mergeCell ref="A32:C32"/>
    <mergeCell ref="B7:B9"/>
    <mergeCell ref="E7:L7"/>
    <mergeCell ref="C7:C9"/>
    <mergeCell ref="D7:D9"/>
    <mergeCell ref="E8:I8"/>
    <mergeCell ref="A7:A9"/>
    <mergeCell ref="J8:L8"/>
    <mergeCell ref="A1:U1"/>
    <mergeCell ref="A2:U2"/>
    <mergeCell ref="A3:U3"/>
    <mergeCell ref="A4:U4"/>
    <mergeCell ref="M7:M9"/>
    <mergeCell ref="N7:U7"/>
    <mergeCell ref="N8:R8"/>
    <mergeCell ref="S8:U8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4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40"/>
  <sheetViews>
    <sheetView view="pageBreakPreview" zoomScale="70" zoomScaleNormal="73" zoomScaleSheetLayoutView="70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U1"/>
    </sheetView>
  </sheetViews>
  <sheetFormatPr defaultColWidth="9.140625" defaultRowHeight="12.75"/>
  <cols>
    <col min="1" max="1" width="6.57421875" style="0" customWidth="1"/>
    <col min="3" max="3" width="76.28125" style="0" customWidth="1"/>
    <col min="4" max="4" width="19.8515625" style="0" customWidth="1"/>
    <col min="5" max="5" width="14.57421875" style="0" customWidth="1"/>
    <col min="6" max="6" width="16.421875" style="0" customWidth="1"/>
    <col min="7" max="7" width="18.00390625" style="0" customWidth="1"/>
    <col min="8" max="9" width="14.57421875" style="0" customWidth="1"/>
    <col min="10" max="10" width="19.140625" style="0" customWidth="1"/>
    <col min="11" max="11" width="17.00390625" style="0" customWidth="1"/>
    <col min="12" max="12" width="14.57421875" style="0" customWidth="1"/>
    <col min="13" max="13" width="22.140625" style="0" customWidth="1"/>
    <col min="14" max="14" width="16.140625" style="0" customWidth="1"/>
    <col min="15" max="15" width="15.57421875" style="0" customWidth="1"/>
    <col min="16" max="16" width="23.28125" style="0" customWidth="1"/>
    <col min="17" max="17" width="11.28125" style="0" customWidth="1"/>
    <col min="18" max="18" width="13.00390625" style="0" customWidth="1"/>
    <col min="19" max="19" width="20.28125" style="0" customWidth="1"/>
    <col min="20" max="20" width="15.421875" style="0" customWidth="1"/>
    <col min="21" max="21" width="13.7109375" style="0" customWidth="1"/>
  </cols>
  <sheetData>
    <row r="1" spans="1:21" ht="18">
      <c r="A1" s="262" t="s">
        <v>1270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8">
      <c r="A2" s="263" t="s">
        <v>1065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ht="18" customHeight="1">
      <c r="A3" s="358" t="s">
        <v>749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</row>
    <row r="4" spans="1:21" ht="18">
      <c r="A4" s="359" t="s">
        <v>750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3" t="s">
        <v>24</v>
      </c>
      <c r="B7" s="273" t="s">
        <v>185</v>
      </c>
      <c r="C7" s="274" t="s">
        <v>25</v>
      </c>
      <c r="D7" s="274" t="s">
        <v>853</v>
      </c>
      <c r="E7" s="325" t="s">
        <v>26</v>
      </c>
      <c r="F7" s="325"/>
      <c r="G7" s="325"/>
      <c r="H7" s="325"/>
      <c r="I7" s="325"/>
      <c r="J7" s="325"/>
      <c r="K7" s="325"/>
      <c r="L7" s="325"/>
      <c r="M7" s="274" t="s">
        <v>1049</v>
      </c>
      <c r="N7" s="325" t="s">
        <v>1047</v>
      </c>
      <c r="O7" s="325"/>
      <c r="P7" s="325"/>
      <c r="Q7" s="325"/>
      <c r="R7" s="325"/>
      <c r="S7" s="325"/>
      <c r="T7" s="325"/>
      <c r="U7" s="325"/>
    </row>
    <row r="8" spans="1:21" ht="12.75" customHeight="1">
      <c r="A8" s="273"/>
      <c r="B8" s="273"/>
      <c r="C8" s="274"/>
      <c r="D8" s="274"/>
      <c r="E8" s="267" t="s">
        <v>27</v>
      </c>
      <c r="F8" s="267"/>
      <c r="G8" s="267"/>
      <c r="H8" s="267"/>
      <c r="I8" s="267"/>
      <c r="J8" s="267" t="s">
        <v>28</v>
      </c>
      <c r="K8" s="267"/>
      <c r="L8" s="267"/>
      <c r="M8" s="274"/>
      <c r="N8" s="267" t="s">
        <v>27</v>
      </c>
      <c r="O8" s="267"/>
      <c r="P8" s="267"/>
      <c r="Q8" s="267"/>
      <c r="R8" s="267"/>
      <c r="S8" s="267" t="s">
        <v>28</v>
      </c>
      <c r="T8" s="267"/>
      <c r="U8" s="267"/>
    </row>
    <row r="9" spans="1:21" ht="90" customHeight="1">
      <c r="A9" s="273"/>
      <c r="B9" s="273"/>
      <c r="C9" s="274"/>
      <c r="D9" s="27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157</v>
      </c>
      <c r="B10" s="12"/>
      <c r="C10" s="172" t="s">
        <v>40</v>
      </c>
      <c r="D10" s="25">
        <f>SUM(E10:L10)</f>
        <v>3154192865</v>
      </c>
      <c r="E10" s="144">
        <f>SUM(E11:E29)</f>
        <v>0</v>
      </c>
      <c r="F10" s="144">
        <f>SUM(F11:F29)</f>
        <v>0</v>
      </c>
      <c r="G10" s="144">
        <f aca="true" t="shared" si="0" ref="G10:L10">SUM(G11:G29)</f>
        <v>452201354</v>
      </c>
      <c r="H10" s="144">
        <f t="shared" si="0"/>
        <v>0</v>
      </c>
      <c r="I10" s="144">
        <f t="shared" si="0"/>
        <v>0</v>
      </c>
      <c r="J10" s="144">
        <f t="shared" si="0"/>
        <v>2636561778</v>
      </c>
      <c r="K10" s="144">
        <f t="shared" si="0"/>
        <v>65429733</v>
      </c>
      <c r="L10" s="144">
        <f t="shared" si="0"/>
        <v>0</v>
      </c>
      <c r="M10" s="25">
        <f aca="true" t="shared" si="1" ref="M10:M31">SUM(N10:U10)</f>
        <v>10355564935</v>
      </c>
      <c r="N10" s="144">
        <f>SUM(N11:N29)</f>
        <v>70000</v>
      </c>
      <c r="O10" s="144">
        <f aca="true" t="shared" si="2" ref="O10:U10">SUM(O11:O29)</f>
        <v>12285</v>
      </c>
      <c r="P10" s="144">
        <f>SUM(P11:P29)</f>
        <v>1050840982</v>
      </c>
      <c r="Q10" s="144">
        <f t="shared" si="2"/>
        <v>0</v>
      </c>
      <c r="R10" s="144">
        <f t="shared" si="2"/>
        <v>0</v>
      </c>
      <c r="S10" s="144">
        <f t="shared" si="2"/>
        <v>9283061831</v>
      </c>
      <c r="T10" s="144">
        <f t="shared" si="2"/>
        <v>19079837</v>
      </c>
      <c r="U10" s="144">
        <f t="shared" si="2"/>
        <v>2500000</v>
      </c>
    </row>
    <row r="11" spans="1:21" ht="18">
      <c r="A11" s="12"/>
      <c r="B11" s="12" t="s">
        <v>751</v>
      </c>
      <c r="C11" s="173" t="s">
        <v>752</v>
      </c>
      <c r="D11" s="111">
        <f aca="true" t="shared" si="3" ref="D11:D31">SUM(E11:L11)</f>
        <v>113851150</v>
      </c>
      <c r="E11" s="112">
        <v>0</v>
      </c>
      <c r="F11" s="112">
        <v>0</v>
      </c>
      <c r="G11" s="112">
        <v>110851150</v>
      </c>
      <c r="H11" s="112">
        <v>0</v>
      </c>
      <c r="I11" s="112">
        <v>0</v>
      </c>
      <c r="J11" s="112">
        <v>3000000</v>
      </c>
      <c r="K11" s="112">
        <v>0</v>
      </c>
      <c r="L11" s="112">
        <v>0</v>
      </c>
      <c r="M11" s="111">
        <f t="shared" si="1"/>
        <v>143580546</v>
      </c>
      <c r="N11" s="112">
        <v>0</v>
      </c>
      <c r="O11" s="112">
        <v>0</v>
      </c>
      <c r="P11" s="112">
        <v>140338070</v>
      </c>
      <c r="Q11" s="112">
        <v>0</v>
      </c>
      <c r="R11" s="112">
        <v>0</v>
      </c>
      <c r="S11" s="112">
        <v>3000000</v>
      </c>
      <c r="T11" s="112">
        <v>242476</v>
      </c>
      <c r="U11" s="112">
        <v>0</v>
      </c>
    </row>
    <row r="12" spans="1:21" ht="18">
      <c r="A12" s="12"/>
      <c r="B12" s="12" t="s">
        <v>753</v>
      </c>
      <c r="C12" s="173" t="s">
        <v>754</v>
      </c>
      <c r="D12" s="111">
        <f t="shared" si="3"/>
        <v>15000000</v>
      </c>
      <c r="E12" s="112">
        <v>0</v>
      </c>
      <c r="F12" s="112">
        <v>0</v>
      </c>
      <c r="G12" s="112">
        <v>15000000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1">
        <f t="shared" si="1"/>
        <v>34442259</v>
      </c>
      <c r="N12" s="112">
        <v>70000</v>
      </c>
      <c r="O12" s="112">
        <v>12285</v>
      </c>
      <c r="P12" s="112">
        <v>32478880</v>
      </c>
      <c r="Q12" s="112">
        <v>0</v>
      </c>
      <c r="R12" s="112">
        <v>0</v>
      </c>
      <c r="S12" s="112">
        <v>584200</v>
      </c>
      <c r="T12" s="112">
        <v>1296894</v>
      </c>
      <c r="U12" s="112">
        <v>0</v>
      </c>
    </row>
    <row r="13" spans="1:21" ht="18">
      <c r="A13" s="12"/>
      <c r="B13" s="12" t="s">
        <v>755</v>
      </c>
      <c r="C13" s="173" t="s">
        <v>756</v>
      </c>
      <c r="D13" s="111">
        <f t="shared" si="3"/>
        <v>35843050</v>
      </c>
      <c r="E13" s="112">
        <v>0</v>
      </c>
      <c r="F13" s="112">
        <v>0</v>
      </c>
      <c r="G13" s="112">
        <v>35843050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1">
        <f t="shared" si="1"/>
        <v>13165678</v>
      </c>
      <c r="N13" s="112">
        <v>0</v>
      </c>
      <c r="O13" s="112">
        <v>0</v>
      </c>
      <c r="P13" s="112">
        <v>13165678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</row>
    <row r="14" spans="1:21" ht="18">
      <c r="A14" s="12"/>
      <c r="B14" s="12" t="s">
        <v>757</v>
      </c>
      <c r="C14" s="173" t="s">
        <v>758</v>
      </c>
      <c r="D14" s="111">
        <f t="shared" si="3"/>
        <v>5000000</v>
      </c>
      <c r="E14" s="112">
        <v>0</v>
      </c>
      <c r="F14" s="112">
        <v>0</v>
      </c>
      <c r="G14" s="112">
        <v>5000000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1">
        <f t="shared" si="1"/>
        <v>5158750</v>
      </c>
      <c r="N14" s="112">
        <v>0</v>
      </c>
      <c r="O14" s="112">
        <v>0</v>
      </c>
      <c r="P14" s="112">
        <v>5158750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</row>
    <row r="15" spans="1:21" ht="18">
      <c r="A15" s="12"/>
      <c r="B15" s="12" t="s">
        <v>759</v>
      </c>
      <c r="C15" s="173" t="s">
        <v>760</v>
      </c>
      <c r="D15" s="111">
        <f t="shared" si="3"/>
        <v>105000000</v>
      </c>
      <c r="E15" s="112">
        <v>0</v>
      </c>
      <c r="F15" s="112">
        <v>0</v>
      </c>
      <c r="G15" s="112">
        <v>105000000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1">
        <f t="shared" si="1"/>
        <v>96498561</v>
      </c>
      <c r="N15" s="112">
        <v>0</v>
      </c>
      <c r="O15" s="112">
        <v>0</v>
      </c>
      <c r="P15" s="112">
        <v>96498561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</row>
    <row r="16" spans="1:21" ht="18">
      <c r="A16" s="12"/>
      <c r="B16" s="12" t="s">
        <v>761</v>
      </c>
      <c r="C16" s="173" t="s">
        <v>762</v>
      </c>
      <c r="D16" s="111">
        <f t="shared" si="3"/>
        <v>40000000</v>
      </c>
      <c r="E16" s="112">
        <v>0</v>
      </c>
      <c r="F16" s="112">
        <v>0</v>
      </c>
      <c r="G16" s="112">
        <v>40000000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1">
        <f t="shared" si="1"/>
        <v>24500000</v>
      </c>
      <c r="N16" s="112">
        <v>0</v>
      </c>
      <c r="O16" s="112">
        <v>0</v>
      </c>
      <c r="P16" s="112">
        <v>22000000</v>
      </c>
      <c r="Q16" s="112">
        <v>0</v>
      </c>
      <c r="R16" s="112">
        <v>0</v>
      </c>
      <c r="S16" s="112">
        <v>0</v>
      </c>
      <c r="T16" s="112">
        <v>0</v>
      </c>
      <c r="U16" s="112">
        <v>2500000</v>
      </c>
    </row>
    <row r="17" spans="1:21" ht="18">
      <c r="A17" s="12"/>
      <c r="B17" s="12" t="s">
        <v>763</v>
      </c>
      <c r="C17" s="173" t="s">
        <v>764</v>
      </c>
      <c r="D17" s="111">
        <f t="shared" si="3"/>
        <v>148230000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148230000</v>
      </c>
      <c r="K17" s="112">
        <v>0</v>
      </c>
      <c r="L17" s="112">
        <v>0</v>
      </c>
      <c r="M17" s="111">
        <f t="shared" si="1"/>
        <v>10529467</v>
      </c>
      <c r="N17" s="112">
        <v>0</v>
      </c>
      <c r="O17" s="112">
        <v>0</v>
      </c>
      <c r="P17" s="112">
        <v>5000000</v>
      </c>
      <c r="Q17" s="112">
        <v>0</v>
      </c>
      <c r="R17" s="112">
        <v>0</v>
      </c>
      <c r="S17" s="112">
        <v>5529467</v>
      </c>
      <c r="T17" s="112">
        <v>0</v>
      </c>
      <c r="U17" s="112">
        <v>0</v>
      </c>
    </row>
    <row r="18" spans="1:21" ht="18">
      <c r="A18" s="12"/>
      <c r="B18" s="12" t="s">
        <v>765</v>
      </c>
      <c r="C18" s="173" t="s">
        <v>766</v>
      </c>
      <c r="D18" s="111">
        <f t="shared" si="3"/>
        <v>1764331778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1764331778</v>
      </c>
      <c r="K18" s="112">
        <v>0</v>
      </c>
      <c r="L18" s="112">
        <v>0</v>
      </c>
      <c r="M18" s="111">
        <f t="shared" si="1"/>
        <v>1585852205</v>
      </c>
      <c r="N18" s="112">
        <v>0</v>
      </c>
      <c r="O18" s="112">
        <v>0</v>
      </c>
      <c r="P18" s="112">
        <v>63491127</v>
      </c>
      <c r="Q18" s="112">
        <v>0</v>
      </c>
      <c r="R18" s="112">
        <v>0</v>
      </c>
      <c r="S18" s="112">
        <v>1522361078</v>
      </c>
      <c r="T18" s="112">
        <v>0</v>
      </c>
      <c r="U18" s="112">
        <v>0</v>
      </c>
    </row>
    <row r="19" spans="1:21" ht="30">
      <c r="A19" s="12"/>
      <c r="B19" s="12" t="s">
        <v>767</v>
      </c>
      <c r="C19" s="173" t="s">
        <v>768</v>
      </c>
      <c r="D19" s="111">
        <f t="shared" si="3"/>
        <v>50000000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50000000</v>
      </c>
      <c r="K19" s="112">
        <v>0</v>
      </c>
      <c r="L19" s="112">
        <v>0</v>
      </c>
      <c r="M19" s="111">
        <f t="shared" si="1"/>
        <v>15000000</v>
      </c>
      <c r="N19" s="112">
        <v>0</v>
      </c>
      <c r="O19" s="112">
        <v>0</v>
      </c>
      <c r="P19" s="112">
        <v>2000000</v>
      </c>
      <c r="Q19" s="112">
        <v>0</v>
      </c>
      <c r="R19" s="112">
        <v>0</v>
      </c>
      <c r="S19" s="112">
        <v>13000000</v>
      </c>
      <c r="T19" s="112">
        <v>0</v>
      </c>
      <c r="U19" s="112">
        <v>0</v>
      </c>
    </row>
    <row r="20" spans="1:21" ht="18">
      <c r="A20" s="12"/>
      <c r="B20" s="12" t="s">
        <v>769</v>
      </c>
      <c r="C20" s="173" t="s">
        <v>770</v>
      </c>
      <c r="D20" s="111">
        <f t="shared" si="3"/>
        <v>85200000</v>
      </c>
      <c r="E20" s="112">
        <v>0</v>
      </c>
      <c r="F20" s="112">
        <v>0</v>
      </c>
      <c r="G20" s="112">
        <v>85200000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1">
        <f t="shared" si="1"/>
        <v>53875610</v>
      </c>
      <c r="N20" s="112">
        <v>0</v>
      </c>
      <c r="O20" s="112">
        <v>0</v>
      </c>
      <c r="P20" s="112">
        <v>50954610</v>
      </c>
      <c r="Q20" s="112">
        <v>0</v>
      </c>
      <c r="R20" s="112">
        <v>0</v>
      </c>
      <c r="S20" s="112">
        <v>2921000</v>
      </c>
      <c r="T20" s="112">
        <v>0</v>
      </c>
      <c r="U20" s="112">
        <v>0</v>
      </c>
    </row>
    <row r="21" spans="1:21" ht="30">
      <c r="A21" s="12"/>
      <c r="B21" s="12" t="s">
        <v>771</v>
      </c>
      <c r="C21" s="173" t="s">
        <v>772</v>
      </c>
      <c r="D21" s="111">
        <f t="shared" si="3"/>
        <v>12615644</v>
      </c>
      <c r="E21" s="112">
        <v>0</v>
      </c>
      <c r="F21" s="112">
        <v>0</v>
      </c>
      <c r="G21" s="112">
        <v>12615644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1">
        <f t="shared" si="1"/>
        <v>13443223</v>
      </c>
      <c r="N21" s="112">
        <v>0</v>
      </c>
      <c r="O21" s="112">
        <v>0</v>
      </c>
      <c r="P21" s="112">
        <v>13443223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</row>
    <row r="22" spans="1:21" ht="18">
      <c r="A22" s="12"/>
      <c r="B22" s="12" t="s">
        <v>773</v>
      </c>
      <c r="C22" s="173" t="s">
        <v>774</v>
      </c>
      <c r="D22" s="111">
        <f t="shared" si="3"/>
        <v>56277932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56277932</v>
      </c>
      <c r="L22" s="112">
        <v>0</v>
      </c>
      <c r="M22" s="111">
        <f t="shared" si="1"/>
        <v>73138029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61995403</v>
      </c>
      <c r="T22" s="112">
        <v>11142626</v>
      </c>
      <c r="U22" s="112">
        <v>0</v>
      </c>
    </row>
    <row r="23" spans="1:21" ht="18">
      <c r="A23" s="12"/>
      <c r="B23" s="12" t="s">
        <v>775</v>
      </c>
      <c r="C23" s="173" t="s">
        <v>776</v>
      </c>
      <c r="D23" s="111">
        <f t="shared" si="3"/>
        <v>671000000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671000000</v>
      </c>
      <c r="K23" s="112">
        <v>0</v>
      </c>
      <c r="L23" s="112">
        <v>0</v>
      </c>
      <c r="M23" s="111">
        <f t="shared" si="1"/>
        <v>877158500</v>
      </c>
      <c r="N23" s="112">
        <v>0</v>
      </c>
      <c r="O23" s="112">
        <v>0</v>
      </c>
      <c r="P23" s="112">
        <v>3820500</v>
      </c>
      <c r="Q23" s="112">
        <v>0</v>
      </c>
      <c r="R23" s="112">
        <v>0</v>
      </c>
      <c r="S23" s="112">
        <v>873338000</v>
      </c>
      <c r="T23" s="112">
        <v>0</v>
      </c>
      <c r="U23" s="112">
        <v>0</v>
      </c>
    </row>
    <row r="24" spans="1:21" ht="18">
      <c r="A24" s="12"/>
      <c r="B24" s="12" t="s">
        <v>777</v>
      </c>
      <c r="C24" s="173" t="s">
        <v>778</v>
      </c>
      <c r="D24" s="111">
        <f t="shared" si="3"/>
        <v>9151801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9151801</v>
      </c>
      <c r="L24" s="112">
        <v>0</v>
      </c>
      <c r="M24" s="111">
        <f t="shared" si="1"/>
        <v>5651801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332683</v>
      </c>
      <c r="T24" s="112">
        <v>5319118</v>
      </c>
      <c r="U24" s="112">
        <v>0</v>
      </c>
    </row>
    <row r="25" spans="1:21" ht="18">
      <c r="A25" s="12"/>
      <c r="B25" s="12" t="s">
        <v>779</v>
      </c>
      <c r="C25" s="173" t="s">
        <v>780</v>
      </c>
      <c r="D25" s="111">
        <f t="shared" si="3"/>
        <v>26000000</v>
      </c>
      <c r="E25" s="112">
        <v>0</v>
      </c>
      <c r="F25" s="112">
        <v>0</v>
      </c>
      <c r="G25" s="112">
        <v>26000000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1">
        <f t="shared" si="1"/>
        <v>33466954</v>
      </c>
      <c r="N25" s="112">
        <v>0</v>
      </c>
      <c r="O25" s="112">
        <v>0</v>
      </c>
      <c r="P25" s="112">
        <v>32388231</v>
      </c>
      <c r="Q25" s="112">
        <v>0</v>
      </c>
      <c r="R25" s="112">
        <v>0</v>
      </c>
      <c r="S25" s="112">
        <v>0</v>
      </c>
      <c r="T25" s="112">
        <v>1078723</v>
      </c>
      <c r="U25" s="112">
        <v>0</v>
      </c>
    </row>
    <row r="26" spans="1:21" ht="18">
      <c r="A26" s="12"/>
      <c r="B26" s="12" t="s">
        <v>781</v>
      </c>
      <c r="C26" s="173" t="s">
        <v>782</v>
      </c>
      <c r="D26" s="111">
        <f t="shared" si="3"/>
        <v>10000000</v>
      </c>
      <c r="E26" s="112">
        <v>0</v>
      </c>
      <c r="F26" s="112">
        <v>0</v>
      </c>
      <c r="G26" s="112">
        <v>10000000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1">
        <f t="shared" si="1"/>
        <v>13411842</v>
      </c>
      <c r="N26" s="112">
        <v>0</v>
      </c>
      <c r="O26" s="112">
        <v>0</v>
      </c>
      <c r="P26" s="112">
        <v>13411842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</row>
    <row r="27" spans="1:21" ht="18">
      <c r="A27" s="12"/>
      <c r="B27" s="12" t="s">
        <v>783</v>
      </c>
      <c r="C27" s="173" t="s">
        <v>785</v>
      </c>
      <c r="D27" s="111">
        <f t="shared" si="3"/>
        <v>3191510</v>
      </c>
      <c r="E27" s="112">
        <v>0</v>
      </c>
      <c r="F27" s="112">
        <v>0</v>
      </c>
      <c r="G27" s="112">
        <v>3191510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1">
        <f t="shared" si="1"/>
        <v>3191510</v>
      </c>
      <c r="N27" s="112">
        <v>0</v>
      </c>
      <c r="O27" s="112">
        <v>0</v>
      </c>
      <c r="P27" s="112">
        <v>3191510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</row>
    <row r="28" spans="1:21" ht="18">
      <c r="A28" s="12"/>
      <c r="B28" s="12" t="s">
        <v>784</v>
      </c>
      <c r="C28" s="173" t="s">
        <v>786</v>
      </c>
      <c r="D28" s="111">
        <f t="shared" si="3"/>
        <v>3500000</v>
      </c>
      <c r="E28" s="112">
        <v>0</v>
      </c>
      <c r="F28" s="112">
        <v>0</v>
      </c>
      <c r="G28" s="112">
        <v>3500000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1">
        <f t="shared" si="1"/>
        <v>3500000</v>
      </c>
      <c r="N28" s="112">
        <v>0</v>
      </c>
      <c r="O28" s="112">
        <v>0</v>
      </c>
      <c r="P28" s="112">
        <v>3500000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</row>
    <row r="29" spans="1:21" ht="30">
      <c r="A29" s="12"/>
      <c r="B29" s="12" t="s">
        <v>1227</v>
      </c>
      <c r="C29" s="251" t="s">
        <v>1228</v>
      </c>
      <c r="D29" s="111">
        <f t="shared" si="3"/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1">
        <f t="shared" si="1"/>
        <v>7350000000</v>
      </c>
      <c r="N29" s="112">
        <v>0</v>
      </c>
      <c r="O29" s="112">
        <v>0</v>
      </c>
      <c r="P29" s="112">
        <v>550000000</v>
      </c>
      <c r="Q29" s="112">
        <v>0</v>
      </c>
      <c r="R29" s="112">
        <v>0</v>
      </c>
      <c r="S29" s="112">
        <v>6800000000</v>
      </c>
      <c r="T29" s="112">
        <v>0</v>
      </c>
      <c r="U29" s="112">
        <v>0</v>
      </c>
    </row>
    <row r="30" spans="1:21" ht="18">
      <c r="A30" s="12" t="s">
        <v>158</v>
      </c>
      <c r="B30" s="12"/>
      <c r="C30" s="99" t="s">
        <v>42</v>
      </c>
      <c r="D30" s="25">
        <f t="shared" si="3"/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25">
        <v>0</v>
      </c>
      <c r="M30" s="25">
        <f t="shared" si="1"/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  <c r="T30" s="144">
        <v>0</v>
      </c>
      <c r="U30" s="25">
        <v>0</v>
      </c>
    </row>
    <row r="31" spans="1:21" ht="18">
      <c r="A31" s="12" t="s">
        <v>159</v>
      </c>
      <c r="B31" s="12"/>
      <c r="C31" s="99" t="s">
        <v>44</v>
      </c>
      <c r="D31" s="25">
        <f t="shared" si="3"/>
        <v>0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25">
        <v>0</v>
      </c>
      <c r="M31" s="25">
        <f t="shared" si="1"/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25">
        <v>0</v>
      </c>
    </row>
    <row r="32" spans="1:21" ht="35.25" customHeight="1">
      <c r="A32" s="326" t="s">
        <v>326</v>
      </c>
      <c r="B32" s="326"/>
      <c r="C32" s="326"/>
      <c r="D32" s="25">
        <f>SUM(E32:L32)</f>
        <v>3154192865</v>
      </c>
      <c r="E32" s="144">
        <f aca="true" t="shared" si="4" ref="E32:L32">E10+E30+E31</f>
        <v>0</v>
      </c>
      <c r="F32" s="144">
        <f t="shared" si="4"/>
        <v>0</v>
      </c>
      <c r="G32" s="144">
        <f t="shared" si="4"/>
        <v>452201354</v>
      </c>
      <c r="H32" s="144">
        <f t="shared" si="4"/>
        <v>0</v>
      </c>
      <c r="I32" s="144">
        <f t="shared" si="4"/>
        <v>0</v>
      </c>
      <c r="J32" s="144">
        <f t="shared" si="4"/>
        <v>2636561778</v>
      </c>
      <c r="K32" s="144">
        <f t="shared" si="4"/>
        <v>65429733</v>
      </c>
      <c r="L32" s="144">
        <f t="shared" si="4"/>
        <v>0</v>
      </c>
      <c r="M32" s="25">
        <f>SUM(N32:U32)</f>
        <v>10355564935</v>
      </c>
      <c r="N32" s="144">
        <f aca="true" t="shared" si="5" ref="N32:U32">N31+N10+N30</f>
        <v>70000</v>
      </c>
      <c r="O32" s="144">
        <f t="shared" si="5"/>
        <v>12285</v>
      </c>
      <c r="P32" s="144">
        <f t="shared" si="5"/>
        <v>1050840982</v>
      </c>
      <c r="Q32" s="144">
        <f t="shared" si="5"/>
        <v>0</v>
      </c>
      <c r="R32" s="144">
        <f t="shared" si="5"/>
        <v>0</v>
      </c>
      <c r="S32" s="144">
        <f t="shared" si="5"/>
        <v>9283061831</v>
      </c>
      <c r="T32" s="144">
        <f t="shared" si="5"/>
        <v>19079837</v>
      </c>
      <c r="U32" s="144">
        <f t="shared" si="5"/>
        <v>2500000</v>
      </c>
    </row>
    <row r="35" spans="11:12" s="182" customFormat="1" ht="15">
      <c r="K35" s="183"/>
      <c r="L35" s="183"/>
    </row>
    <row r="36" spans="11:12" s="182" customFormat="1" ht="15">
      <c r="K36" s="183"/>
      <c r="L36" s="183"/>
    </row>
    <row r="37" spans="11:12" s="182" customFormat="1" ht="15">
      <c r="K37" s="183"/>
      <c r="L37" s="183"/>
    </row>
    <row r="38" spans="11:12" ht="12.75">
      <c r="K38" s="34"/>
      <c r="L38" s="34"/>
    </row>
    <row r="39" spans="11:12" ht="12.75">
      <c r="K39" s="34"/>
      <c r="L39" s="34"/>
    </row>
    <row r="40" spans="11:12" ht="12.75">
      <c r="K40" s="34"/>
      <c r="L40" s="34" t="s">
        <v>510</v>
      </c>
    </row>
  </sheetData>
  <sheetProtection selectLockedCells="1" selectUnlockedCells="1"/>
  <mergeCells count="16">
    <mergeCell ref="A32:C32"/>
    <mergeCell ref="E8:I8"/>
    <mergeCell ref="J8:L8"/>
    <mergeCell ref="N7:U7"/>
    <mergeCell ref="N8:R8"/>
    <mergeCell ref="S8:U8"/>
    <mergeCell ref="A7:A9"/>
    <mergeCell ref="M7:M9"/>
    <mergeCell ref="B7:B9"/>
    <mergeCell ref="A1:U1"/>
    <mergeCell ref="A2:U2"/>
    <mergeCell ref="A3:U3"/>
    <mergeCell ref="A4:U4"/>
    <mergeCell ref="C7:C9"/>
    <mergeCell ref="D7:D9"/>
    <mergeCell ref="E7:L7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8" scale="3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6"/>
  <sheetViews>
    <sheetView view="pageBreakPreview" zoomScale="64" zoomScaleNormal="64" zoomScaleSheetLayoutView="64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U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3.57421875" style="0" customWidth="1"/>
    <col min="4" max="4" width="17.7109375" style="0" customWidth="1"/>
    <col min="5" max="8" width="14.57421875" style="0" customWidth="1"/>
    <col min="9" max="9" width="19.00390625" style="0" customWidth="1"/>
    <col min="10" max="12" width="14.57421875" style="0" customWidth="1"/>
    <col min="13" max="13" width="17.421875" style="0" customWidth="1"/>
    <col min="14" max="14" width="16.00390625" style="0" customWidth="1"/>
    <col min="15" max="15" width="17.421875" style="0" customWidth="1"/>
    <col min="16" max="16" width="17.00390625" style="0" customWidth="1"/>
    <col min="17" max="17" width="15.57421875" style="0" customWidth="1"/>
    <col min="18" max="18" width="16.28125" style="0" customWidth="1"/>
    <col min="19" max="19" width="12.8515625" style="0" customWidth="1"/>
    <col min="20" max="20" width="16.00390625" style="0" customWidth="1"/>
    <col min="21" max="21" width="15.7109375" style="0" customWidth="1"/>
  </cols>
  <sheetData>
    <row r="1" spans="1:21" ht="18">
      <c r="A1" s="262" t="s">
        <v>1271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8">
      <c r="A2" s="263" t="s">
        <v>1066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ht="18" customHeight="1">
      <c r="A3" s="358" t="s">
        <v>787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</row>
    <row r="4" spans="1:21" ht="18">
      <c r="A4" s="359" t="s">
        <v>788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44"/>
      <c r="U5" s="244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3" t="s">
        <v>24</v>
      </c>
      <c r="B7" s="273" t="s">
        <v>185</v>
      </c>
      <c r="C7" s="274" t="s">
        <v>25</v>
      </c>
      <c r="D7" s="274" t="s">
        <v>853</v>
      </c>
      <c r="E7" s="325" t="s">
        <v>26</v>
      </c>
      <c r="F7" s="325"/>
      <c r="G7" s="325"/>
      <c r="H7" s="325"/>
      <c r="I7" s="325"/>
      <c r="J7" s="325"/>
      <c r="K7" s="325"/>
      <c r="L7" s="325"/>
      <c r="M7" s="274" t="s">
        <v>1049</v>
      </c>
      <c r="N7" s="325" t="s">
        <v>1047</v>
      </c>
      <c r="O7" s="325"/>
      <c r="P7" s="325"/>
      <c r="Q7" s="325"/>
      <c r="R7" s="325"/>
      <c r="S7" s="325"/>
      <c r="T7" s="325"/>
      <c r="U7" s="325"/>
    </row>
    <row r="8" spans="1:21" ht="12.75" customHeight="1">
      <c r="A8" s="273"/>
      <c r="B8" s="273"/>
      <c r="C8" s="274"/>
      <c r="D8" s="274"/>
      <c r="E8" s="267" t="s">
        <v>27</v>
      </c>
      <c r="F8" s="267"/>
      <c r="G8" s="267"/>
      <c r="H8" s="267"/>
      <c r="I8" s="267"/>
      <c r="J8" s="267" t="s">
        <v>28</v>
      </c>
      <c r="K8" s="267"/>
      <c r="L8" s="267"/>
      <c r="M8" s="274"/>
      <c r="N8" s="267" t="s">
        <v>27</v>
      </c>
      <c r="O8" s="267"/>
      <c r="P8" s="267"/>
      <c r="Q8" s="267"/>
      <c r="R8" s="267"/>
      <c r="S8" s="267" t="s">
        <v>28</v>
      </c>
      <c r="T8" s="267"/>
      <c r="U8" s="267"/>
    </row>
    <row r="9" spans="1:21" ht="96" customHeight="1">
      <c r="A9" s="273"/>
      <c r="B9" s="273"/>
      <c r="C9" s="274"/>
      <c r="D9" s="27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162</v>
      </c>
      <c r="B10" s="12"/>
      <c r="C10" s="174" t="s">
        <v>40</v>
      </c>
      <c r="D10" s="175">
        <f aca="true" t="shared" si="0" ref="D10:D18">SUM(E10:L10)</f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75">
        <f>SUM(N10:U10)</f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</row>
    <row r="11" spans="1:21" ht="18">
      <c r="A11" s="12" t="s">
        <v>163</v>
      </c>
      <c r="B11" s="12"/>
      <c r="C11" s="99" t="s">
        <v>42</v>
      </c>
      <c r="D11" s="14">
        <f t="shared" si="0"/>
        <v>11000000</v>
      </c>
      <c r="E11" s="144">
        <f aca="true" t="shared" si="1" ref="E11:L11">SUM(E12:E18)</f>
        <v>0</v>
      </c>
      <c r="F11" s="144">
        <f t="shared" si="1"/>
        <v>0</v>
      </c>
      <c r="G11" s="144">
        <f t="shared" si="1"/>
        <v>0</v>
      </c>
      <c r="H11" s="144">
        <f t="shared" si="1"/>
        <v>0</v>
      </c>
      <c r="I11" s="144">
        <f>SUM(I12:I18)</f>
        <v>11000000</v>
      </c>
      <c r="J11" s="144">
        <f t="shared" si="1"/>
        <v>0</v>
      </c>
      <c r="K11" s="144">
        <f t="shared" si="1"/>
        <v>0</v>
      </c>
      <c r="L11" s="144">
        <f t="shared" si="1"/>
        <v>0</v>
      </c>
      <c r="M11" s="14">
        <f>SUM(N11:U11)</f>
        <v>11000000</v>
      </c>
      <c r="N11" s="144">
        <f aca="true" t="shared" si="2" ref="N11:U11">SUM(N12:N18)</f>
        <v>0</v>
      </c>
      <c r="O11" s="144">
        <f t="shared" si="2"/>
        <v>0</v>
      </c>
      <c r="P11" s="144">
        <f t="shared" si="2"/>
        <v>0</v>
      </c>
      <c r="Q11" s="144">
        <f t="shared" si="2"/>
        <v>0</v>
      </c>
      <c r="R11" s="144">
        <f t="shared" si="2"/>
        <v>11000000</v>
      </c>
      <c r="S11" s="144">
        <f t="shared" si="2"/>
        <v>0</v>
      </c>
      <c r="T11" s="144">
        <f t="shared" si="2"/>
        <v>0</v>
      </c>
      <c r="U11" s="144">
        <f t="shared" si="2"/>
        <v>0</v>
      </c>
    </row>
    <row r="12" spans="1:21" ht="45">
      <c r="A12" s="12"/>
      <c r="B12" s="12" t="s">
        <v>789</v>
      </c>
      <c r="C12" s="157" t="s">
        <v>790</v>
      </c>
      <c r="D12" s="111">
        <f t="shared" si="0"/>
        <v>1000000</v>
      </c>
      <c r="E12" s="112">
        <v>0</v>
      </c>
      <c r="F12" s="112">
        <v>0</v>
      </c>
      <c r="G12" s="112">
        <v>0</v>
      </c>
      <c r="H12" s="112">
        <v>0</v>
      </c>
      <c r="I12" s="112">
        <v>1000000</v>
      </c>
      <c r="J12" s="112">
        <v>0</v>
      </c>
      <c r="K12" s="112">
        <v>0</v>
      </c>
      <c r="L12" s="112">
        <v>0</v>
      </c>
      <c r="M12" s="111">
        <f aca="true" t="shared" si="3" ref="M12:M18">SUM(N12:U12)</f>
        <v>1000000</v>
      </c>
      <c r="N12" s="112">
        <v>0</v>
      </c>
      <c r="O12" s="112">
        <v>0</v>
      </c>
      <c r="P12" s="112">
        <v>0</v>
      </c>
      <c r="Q12" s="112">
        <v>0</v>
      </c>
      <c r="R12" s="112">
        <v>1000000</v>
      </c>
      <c r="S12" s="112">
        <v>0</v>
      </c>
      <c r="T12" s="112">
        <v>0</v>
      </c>
      <c r="U12" s="112">
        <v>0</v>
      </c>
    </row>
    <row r="13" spans="1:21" ht="45">
      <c r="A13" s="12"/>
      <c r="B13" s="12" t="s">
        <v>791</v>
      </c>
      <c r="C13" s="157" t="s">
        <v>792</v>
      </c>
      <c r="D13" s="111">
        <f t="shared" si="0"/>
        <v>4000000</v>
      </c>
      <c r="E13" s="112">
        <v>0</v>
      </c>
      <c r="F13" s="112">
        <v>0</v>
      </c>
      <c r="G13" s="112">
        <v>0</v>
      </c>
      <c r="H13" s="112">
        <v>0</v>
      </c>
      <c r="I13" s="112">
        <v>4000000</v>
      </c>
      <c r="J13" s="112">
        <v>0</v>
      </c>
      <c r="K13" s="112">
        <v>0</v>
      </c>
      <c r="L13" s="112">
        <v>0</v>
      </c>
      <c r="M13" s="111">
        <f t="shared" si="3"/>
        <v>4000000</v>
      </c>
      <c r="N13" s="112">
        <v>0</v>
      </c>
      <c r="O13" s="112">
        <v>0</v>
      </c>
      <c r="P13" s="112">
        <v>0</v>
      </c>
      <c r="Q13" s="112">
        <v>0</v>
      </c>
      <c r="R13" s="112">
        <v>4000000</v>
      </c>
      <c r="S13" s="112">
        <v>0</v>
      </c>
      <c r="T13" s="112">
        <v>0</v>
      </c>
      <c r="U13" s="112">
        <v>0</v>
      </c>
    </row>
    <row r="14" spans="1:21" ht="45">
      <c r="A14" s="12"/>
      <c r="B14" s="12" t="s">
        <v>793</v>
      </c>
      <c r="C14" s="157" t="s">
        <v>794</v>
      </c>
      <c r="D14" s="111">
        <f t="shared" si="0"/>
        <v>1000000</v>
      </c>
      <c r="E14" s="112">
        <v>0</v>
      </c>
      <c r="F14" s="112">
        <v>0</v>
      </c>
      <c r="G14" s="112">
        <v>0</v>
      </c>
      <c r="H14" s="112">
        <v>0</v>
      </c>
      <c r="I14" s="112">
        <v>1000000</v>
      </c>
      <c r="J14" s="112">
        <v>0</v>
      </c>
      <c r="K14" s="112">
        <v>0</v>
      </c>
      <c r="L14" s="112">
        <v>0</v>
      </c>
      <c r="M14" s="111">
        <f t="shared" si="3"/>
        <v>1000000</v>
      </c>
      <c r="N14" s="112">
        <v>0</v>
      </c>
      <c r="O14" s="112">
        <v>0</v>
      </c>
      <c r="P14" s="112">
        <v>0</v>
      </c>
      <c r="Q14" s="112">
        <v>0</v>
      </c>
      <c r="R14" s="112">
        <v>1000000</v>
      </c>
      <c r="S14" s="112">
        <v>0</v>
      </c>
      <c r="T14" s="112">
        <v>0</v>
      </c>
      <c r="U14" s="112">
        <v>0</v>
      </c>
    </row>
    <row r="15" spans="1:21" ht="45">
      <c r="A15" s="12"/>
      <c r="B15" s="12" t="s">
        <v>795</v>
      </c>
      <c r="C15" s="157" t="s">
        <v>796</v>
      </c>
      <c r="D15" s="111">
        <f t="shared" si="0"/>
        <v>1500000</v>
      </c>
      <c r="E15" s="112">
        <v>0</v>
      </c>
      <c r="F15" s="112">
        <v>0</v>
      </c>
      <c r="G15" s="112">
        <v>0</v>
      </c>
      <c r="H15" s="112">
        <v>0</v>
      </c>
      <c r="I15" s="112">
        <v>1500000</v>
      </c>
      <c r="J15" s="112">
        <v>0</v>
      </c>
      <c r="K15" s="112">
        <v>0</v>
      </c>
      <c r="L15" s="112">
        <v>0</v>
      </c>
      <c r="M15" s="111">
        <f t="shared" si="3"/>
        <v>1500000</v>
      </c>
      <c r="N15" s="112">
        <v>0</v>
      </c>
      <c r="O15" s="112">
        <v>0</v>
      </c>
      <c r="P15" s="112">
        <v>0</v>
      </c>
      <c r="Q15" s="112">
        <v>0</v>
      </c>
      <c r="R15" s="112">
        <v>1500000</v>
      </c>
      <c r="S15" s="112">
        <v>0</v>
      </c>
      <c r="T15" s="112">
        <v>0</v>
      </c>
      <c r="U15" s="112">
        <v>0</v>
      </c>
    </row>
    <row r="16" spans="1:21" ht="45">
      <c r="A16" s="12"/>
      <c r="B16" s="12" t="s">
        <v>797</v>
      </c>
      <c r="C16" s="157" t="s">
        <v>798</v>
      </c>
      <c r="D16" s="111">
        <f t="shared" si="0"/>
        <v>1500000</v>
      </c>
      <c r="E16" s="112">
        <v>0</v>
      </c>
      <c r="F16" s="112">
        <v>0</v>
      </c>
      <c r="G16" s="112">
        <v>0</v>
      </c>
      <c r="H16" s="112">
        <v>0</v>
      </c>
      <c r="I16" s="112">
        <v>1500000</v>
      </c>
      <c r="J16" s="112">
        <v>0</v>
      </c>
      <c r="K16" s="112">
        <v>0</v>
      </c>
      <c r="L16" s="112">
        <v>0</v>
      </c>
      <c r="M16" s="111">
        <f t="shared" si="3"/>
        <v>1500000</v>
      </c>
      <c r="N16" s="112">
        <v>0</v>
      </c>
      <c r="O16" s="112">
        <v>0</v>
      </c>
      <c r="P16" s="112">
        <v>0</v>
      </c>
      <c r="Q16" s="112">
        <v>0</v>
      </c>
      <c r="R16" s="112">
        <v>1500000</v>
      </c>
      <c r="S16" s="112">
        <v>0</v>
      </c>
      <c r="T16" s="112">
        <v>0</v>
      </c>
      <c r="U16" s="112">
        <v>0</v>
      </c>
    </row>
    <row r="17" spans="1:21" ht="45">
      <c r="A17" s="12"/>
      <c r="B17" s="12" t="s">
        <v>799</v>
      </c>
      <c r="C17" s="157" t="s">
        <v>800</v>
      </c>
      <c r="D17" s="111">
        <f t="shared" si="0"/>
        <v>1000000</v>
      </c>
      <c r="E17" s="112">
        <v>0</v>
      </c>
      <c r="F17" s="112">
        <v>0</v>
      </c>
      <c r="G17" s="112">
        <v>0</v>
      </c>
      <c r="H17" s="112">
        <v>0</v>
      </c>
      <c r="I17" s="112">
        <v>1000000</v>
      </c>
      <c r="J17" s="112">
        <v>0</v>
      </c>
      <c r="K17" s="112">
        <v>0</v>
      </c>
      <c r="L17" s="112">
        <v>0</v>
      </c>
      <c r="M17" s="111">
        <f t="shared" si="3"/>
        <v>1000000</v>
      </c>
      <c r="N17" s="112">
        <v>0</v>
      </c>
      <c r="O17" s="112">
        <v>0</v>
      </c>
      <c r="P17" s="112">
        <v>0</v>
      </c>
      <c r="Q17" s="112">
        <v>0</v>
      </c>
      <c r="R17" s="112">
        <v>1000000</v>
      </c>
      <c r="S17" s="112">
        <v>0</v>
      </c>
      <c r="T17" s="112">
        <v>0</v>
      </c>
      <c r="U17" s="112">
        <v>0</v>
      </c>
    </row>
    <row r="18" spans="1:21" ht="45">
      <c r="A18" s="12"/>
      <c r="B18" s="12" t="s">
        <v>801</v>
      </c>
      <c r="C18" s="157" t="s">
        <v>802</v>
      </c>
      <c r="D18" s="111">
        <f t="shared" si="0"/>
        <v>1000000</v>
      </c>
      <c r="E18" s="112">
        <v>0</v>
      </c>
      <c r="F18" s="112">
        <v>0</v>
      </c>
      <c r="G18" s="112">
        <v>0</v>
      </c>
      <c r="H18" s="112">
        <v>0</v>
      </c>
      <c r="I18" s="112">
        <v>1000000</v>
      </c>
      <c r="J18" s="112">
        <v>0</v>
      </c>
      <c r="K18" s="112">
        <v>0</v>
      </c>
      <c r="L18" s="112">
        <v>0</v>
      </c>
      <c r="M18" s="111">
        <f t="shared" si="3"/>
        <v>1000000</v>
      </c>
      <c r="N18" s="112">
        <v>0</v>
      </c>
      <c r="O18" s="112">
        <v>0</v>
      </c>
      <c r="P18" s="112">
        <v>0</v>
      </c>
      <c r="Q18" s="112">
        <v>0</v>
      </c>
      <c r="R18" s="112">
        <v>1000000</v>
      </c>
      <c r="S18" s="112">
        <v>0</v>
      </c>
      <c r="T18" s="112">
        <v>0</v>
      </c>
      <c r="U18" s="112">
        <v>0</v>
      </c>
    </row>
    <row r="19" spans="1:21" ht="18">
      <c r="A19" s="12" t="s">
        <v>164</v>
      </c>
      <c r="B19" s="12"/>
      <c r="C19" s="99" t="s">
        <v>44</v>
      </c>
      <c r="D19" s="25"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25">
        <v>0</v>
      </c>
      <c r="M19" s="25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25">
        <v>0</v>
      </c>
    </row>
    <row r="20" spans="1:21" ht="27.75" customHeight="1">
      <c r="A20" s="326" t="s">
        <v>326</v>
      </c>
      <c r="B20" s="326"/>
      <c r="C20" s="326"/>
      <c r="D20" s="25">
        <f>SUM(E20:L20)</f>
        <v>11000000</v>
      </c>
      <c r="E20" s="144">
        <f aca="true" t="shared" si="4" ref="E20:L20">E10+E11+E19</f>
        <v>0</v>
      </c>
      <c r="F20" s="144">
        <f t="shared" si="4"/>
        <v>0</v>
      </c>
      <c r="G20" s="144">
        <f t="shared" si="4"/>
        <v>0</v>
      </c>
      <c r="H20" s="144">
        <f t="shared" si="4"/>
        <v>0</v>
      </c>
      <c r="I20" s="144">
        <f t="shared" si="4"/>
        <v>11000000</v>
      </c>
      <c r="J20" s="144">
        <f t="shared" si="4"/>
        <v>0</v>
      </c>
      <c r="K20" s="144">
        <f t="shared" si="4"/>
        <v>0</v>
      </c>
      <c r="L20" s="144">
        <f t="shared" si="4"/>
        <v>0</v>
      </c>
      <c r="M20" s="25">
        <f>SUM(N20:U20)</f>
        <v>11000000</v>
      </c>
      <c r="N20" s="144">
        <f aca="true" t="shared" si="5" ref="N20:U20">N10+N11+N19</f>
        <v>0</v>
      </c>
      <c r="O20" s="144">
        <f t="shared" si="5"/>
        <v>0</v>
      </c>
      <c r="P20" s="144">
        <f t="shared" si="5"/>
        <v>0</v>
      </c>
      <c r="Q20" s="144">
        <f t="shared" si="5"/>
        <v>0</v>
      </c>
      <c r="R20" s="144">
        <f t="shared" si="5"/>
        <v>11000000</v>
      </c>
      <c r="S20" s="144">
        <f t="shared" si="5"/>
        <v>0</v>
      </c>
      <c r="T20" s="144">
        <f t="shared" si="5"/>
        <v>0</v>
      </c>
      <c r="U20" s="144">
        <f t="shared" si="5"/>
        <v>0</v>
      </c>
    </row>
    <row r="31" spans="11:12" ht="12.75">
      <c r="K31" s="34"/>
      <c r="L31" s="34"/>
    </row>
    <row r="32" spans="11:12" ht="12.75">
      <c r="K32" s="34"/>
      <c r="L32" s="34"/>
    </row>
    <row r="33" spans="11:12" ht="12.75">
      <c r="K33" s="34"/>
      <c r="L33" s="34"/>
    </row>
    <row r="34" spans="11:12" ht="12.75">
      <c r="K34" s="34"/>
      <c r="L34" s="34"/>
    </row>
    <row r="35" spans="11:12" ht="12.75">
      <c r="K35" s="34"/>
      <c r="L35" s="34"/>
    </row>
    <row r="36" spans="11:12" ht="12.75">
      <c r="K36" s="34"/>
      <c r="L36" s="34" t="s">
        <v>510</v>
      </c>
    </row>
  </sheetData>
  <sheetProtection selectLockedCells="1" selectUnlockedCells="1"/>
  <mergeCells count="16">
    <mergeCell ref="A20:C20"/>
    <mergeCell ref="E8:I8"/>
    <mergeCell ref="J8:L8"/>
    <mergeCell ref="N7:U7"/>
    <mergeCell ref="N8:R8"/>
    <mergeCell ref="S8:U8"/>
    <mergeCell ref="A7:A9"/>
    <mergeCell ref="M7:M9"/>
    <mergeCell ref="B7:B9"/>
    <mergeCell ref="A1:U1"/>
    <mergeCell ref="A2:U2"/>
    <mergeCell ref="A3:U3"/>
    <mergeCell ref="A4:U4"/>
    <mergeCell ref="C7:C9"/>
    <mergeCell ref="D7:D9"/>
    <mergeCell ref="E7:L7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3"/>
  <sheetViews>
    <sheetView tabSelected="1" view="pageBreakPreview" zoomScale="71" zoomScaleNormal="71" zoomScaleSheetLayoutView="71" zoomScalePageLayoutView="0" workbookViewId="0" topLeftCell="A1">
      <selection activeCell="A1" sqref="A1:U1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60.57421875" style="0" customWidth="1"/>
    <col min="4" max="4" width="17.8515625" style="0" customWidth="1"/>
    <col min="5" max="5" width="14.57421875" style="0" customWidth="1"/>
    <col min="6" max="6" width="15.8515625" style="0" customWidth="1"/>
    <col min="7" max="8" width="14.57421875" style="0" customWidth="1"/>
    <col min="9" max="9" width="19.140625" style="0" customWidth="1"/>
    <col min="10" max="12" width="14.57421875" style="0" customWidth="1"/>
    <col min="13" max="13" width="19.421875" style="0" customWidth="1"/>
    <col min="14" max="14" width="13.421875" style="0" customWidth="1"/>
    <col min="15" max="15" width="17.7109375" style="0" customWidth="1"/>
    <col min="16" max="16" width="16.140625" style="0" customWidth="1"/>
    <col min="17" max="17" width="12.7109375" style="0" customWidth="1"/>
    <col min="18" max="18" width="19.57421875" style="0" customWidth="1"/>
    <col min="19" max="19" width="12.140625" style="0" customWidth="1"/>
    <col min="20" max="20" width="12.00390625" style="0" customWidth="1"/>
    <col min="21" max="21" width="15.28125" style="0" customWidth="1"/>
  </cols>
  <sheetData>
    <row r="1" spans="1:22" ht="18">
      <c r="A1" s="262" t="s">
        <v>1272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46"/>
    </row>
    <row r="2" spans="1:22" ht="18">
      <c r="A2" s="263" t="s">
        <v>1239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45"/>
    </row>
    <row r="3" spans="1:21" ht="18" customHeight="1">
      <c r="A3" s="358" t="s">
        <v>803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</row>
    <row r="4" spans="1:21" ht="18">
      <c r="A4" s="359" t="s">
        <v>804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44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3" t="s">
        <v>24</v>
      </c>
      <c r="B7" s="273" t="s">
        <v>185</v>
      </c>
      <c r="C7" s="274" t="s">
        <v>25</v>
      </c>
      <c r="D7" s="274" t="s">
        <v>853</v>
      </c>
      <c r="E7" s="325" t="s">
        <v>26</v>
      </c>
      <c r="F7" s="325"/>
      <c r="G7" s="325"/>
      <c r="H7" s="325"/>
      <c r="I7" s="325"/>
      <c r="J7" s="325"/>
      <c r="K7" s="325"/>
      <c r="L7" s="325"/>
      <c r="M7" s="274" t="s">
        <v>1049</v>
      </c>
      <c r="N7" s="325" t="s">
        <v>1047</v>
      </c>
      <c r="O7" s="325"/>
      <c r="P7" s="325"/>
      <c r="Q7" s="325"/>
      <c r="R7" s="325"/>
      <c r="S7" s="325"/>
      <c r="T7" s="325"/>
      <c r="U7" s="325"/>
    </row>
    <row r="8" spans="1:21" ht="12.75" customHeight="1">
      <c r="A8" s="273"/>
      <c r="B8" s="273"/>
      <c r="C8" s="274"/>
      <c r="D8" s="274"/>
      <c r="E8" s="267" t="s">
        <v>27</v>
      </c>
      <c r="F8" s="267"/>
      <c r="G8" s="267"/>
      <c r="H8" s="267"/>
      <c r="I8" s="267"/>
      <c r="J8" s="267" t="s">
        <v>28</v>
      </c>
      <c r="K8" s="267"/>
      <c r="L8" s="267"/>
      <c r="M8" s="274"/>
      <c r="N8" s="267" t="s">
        <v>27</v>
      </c>
      <c r="O8" s="267"/>
      <c r="P8" s="267"/>
      <c r="Q8" s="267"/>
      <c r="R8" s="267"/>
      <c r="S8" s="267" t="s">
        <v>28</v>
      </c>
      <c r="T8" s="267"/>
      <c r="U8" s="267"/>
    </row>
    <row r="9" spans="1:21" ht="63.75">
      <c r="A9" s="273"/>
      <c r="B9" s="273"/>
      <c r="C9" s="274"/>
      <c r="D9" s="27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92" t="s">
        <v>172</v>
      </c>
      <c r="B10" s="192"/>
      <c r="C10" s="193" t="s">
        <v>40</v>
      </c>
      <c r="D10" s="236">
        <f aca="true" t="shared" si="0" ref="D10:D23">SUM(E10:L10)</f>
        <v>169439866</v>
      </c>
      <c r="E10" s="237">
        <f aca="true" t="shared" si="1" ref="E10:L10">SUM(E11:E20)</f>
        <v>0</v>
      </c>
      <c r="F10" s="237">
        <f t="shared" si="1"/>
        <v>0</v>
      </c>
      <c r="G10" s="237">
        <f t="shared" si="1"/>
        <v>0</v>
      </c>
      <c r="H10" s="237">
        <f t="shared" si="1"/>
        <v>0</v>
      </c>
      <c r="I10" s="237">
        <f t="shared" si="1"/>
        <v>169439866</v>
      </c>
      <c r="J10" s="237">
        <f t="shared" si="1"/>
        <v>0</v>
      </c>
      <c r="K10" s="237">
        <f t="shared" si="1"/>
        <v>0</v>
      </c>
      <c r="L10" s="237">
        <f t="shared" si="1"/>
        <v>0</v>
      </c>
      <c r="M10" s="236">
        <f aca="true" t="shared" si="2" ref="M10:M16">SUM(N10:U10)</f>
        <v>43320663</v>
      </c>
      <c r="N10" s="237">
        <f aca="true" t="shared" si="3" ref="N10:U10">SUM(N11:N20)</f>
        <v>0</v>
      </c>
      <c r="O10" s="237">
        <f t="shared" si="3"/>
        <v>0</v>
      </c>
      <c r="P10" s="237">
        <f t="shared" si="3"/>
        <v>0</v>
      </c>
      <c r="Q10" s="237">
        <f t="shared" si="3"/>
        <v>0</v>
      </c>
      <c r="R10" s="237">
        <f t="shared" si="3"/>
        <v>43320663</v>
      </c>
      <c r="S10" s="237">
        <f t="shared" si="3"/>
        <v>0</v>
      </c>
      <c r="T10" s="237">
        <f t="shared" si="3"/>
        <v>0</v>
      </c>
      <c r="U10" s="237">
        <f t="shared" si="3"/>
        <v>0</v>
      </c>
    </row>
    <row r="11" spans="1:21" ht="18">
      <c r="A11" s="192"/>
      <c r="B11" s="192" t="s">
        <v>805</v>
      </c>
      <c r="C11" s="238" t="s">
        <v>866</v>
      </c>
      <c r="D11" s="234">
        <f t="shared" si="0"/>
        <v>0</v>
      </c>
      <c r="E11" s="233">
        <v>0</v>
      </c>
      <c r="F11" s="233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v>0</v>
      </c>
      <c r="L11" s="233">
        <v>0</v>
      </c>
      <c r="M11" s="234">
        <f t="shared" si="2"/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</row>
    <row r="12" spans="1:21" ht="18">
      <c r="A12" s="192"/>
      <c r="B12" s="192" t="s">
        <v>806</v>
      </c>
      <c r="C12" s="238" t="s">
        <v>867</v>
      </c>
      <c r="D12" s="234">
        <f t="shared" si="0"/>
        <v>6731986</v>
      </c>
      <c r="E12" s="233">
        <v>0</v>
      </c>
      <c r="F12" s="233">
        <v>0</v>
      </c>
      <c r="G12" s="233">
        <v>0</v>
      </c>
      <c r="H12" s="233">
        <v>0</v>
      </c>
      <c r="I12" s="233">
        <v>6731986</v>
      </c>
      <c r="J12" s="233">
        <v>0</v>
      </c>
      <c r="K12" s="233">
        <v>0</v>
      </c>
      <c r="L12" s="233">
        <v>0</v>
      </c>
      <c r="M12" s="234">
        <f t="shared" si="2"/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3">
        <v>0</v>
      </c>
      <c r="T12" s="233">
        <v>0</v>
      </c>
      <c r="U12" s="233">
        <v>0</v>
      </c>
    </row>
    <row r="13" spans="1:21" ht="18">
      <c r="A13" s="192"/>
      <c r="B13" s="192" t="s">
        <v>807</v>
      </c>
      <c r="C13" s="238" t="s">
        <v>868</v>
      </c>
      <c r="D13" s="234">
        <f t="shared" si="0"/>
        <v>0</v>
      </c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4">
        <f t="shared" si="2"/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3">
        <v>0</v>
      </c>
      <c r="T13" s="233">
        <v>0</v>
      </c>
      <c r="U13" s="233">
        <v>0</v>
      </c>
    </row>
    <row r="14" spans="1:21" ht="30">
      <c r="A14" s="192"/>
      <c r="B14" s="192" t="s">
        <v>808</v>
      </c>
      <c r="C14" s="239" t="s">
        <v>809</v>
      </c>
      <c r="D14" s="234">
        <f t="shared" si="0"/>
        <v>41407880</v>
      </c>
      <c r="E14" s="233">
        <v>0</v>
      </c>
      <c r="F14" s="233">
        <v>0</v>
      </c>
      <c r="G14" s="233">
        <v>0</v>
      </c>
      <c r="H14" s="233">
        <v>0</v>
      </c>
      <c r="I14" s="233">
        <v>41407880</v>
      </c>
      <c r="J14" s="233">
        <v>0</v>
      </c>
      <c r="K14" s="233">
        <v>0</v>
      </c>
      <c r="L14" s="233">
        <v>0</v>
      </c>
      <c r="M14" s="234">
        <f t="shared" si="2"/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3">
        <v>0</v>
      </c>
      <c r="T14" s="233">
        <v>0</v>
      </c>
      <c r="U14" s="233">
        <v>0</v>
      </c>
    </row>
    <row r="15" spans="1:21" ht="18">
      <c r="A15" s="192"/>
      <c r="B15" s="192" t="s">
        <v>810</v>
      </c>
      <c r="C15" s="239" t="s">
        <v>974</v>
      </c>
      <c r="D15" s="234">
        <f t="shared" si="0"/>
        <v>15000000</v>
      </c>
      <c r="E15" s="233">
        <v>0</v>
      </c>
      <c r="F15" s="233">
        <v>0</v>
      </c>
      <c r="G15" s="233">
        <v>0</v>
      </c>
      <c r="H15" s="233">
        <v>0</v>
      </c>
      <c r="I15" s="233">
        <v>15000000</v>
      </c>
      <c r="J15" s="233">
        <v>0</v>
      </c>
      <c r="K15" s="233">
        <v>0</v>
      </c>
      <c r="L15" s="233">
        <v>0</v>
      </c>
      <c r="M15" s="234">
        <f t="shared" si="2"/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3">
        <v>0</v>
      </c>
      <c r="T15" s="233">
        <v>0</v>
      </c>
      <c r="U15" s="233">
        <v>0</v>
      </c>
    </row>
    <row r="16" spans="1:21" ht="18">
      <c r="A16" s="192"/>
      <c r="B16" s="192" t="s">
        <v>811</v>
      </c>
      <c r="C16" s="239" t="s">
        <v>975</v>
      </c>
      <c r="D16" s="234">
        <f t="shared" si="0"/>
        <v>50000000</v>
      </c>
      <c r="E16" s="233">
        <v>0</v>
      </c>
      <c r="F16" s="233">
        <v>0</v>
      </c>
      <c r="G16" s="233">
        <v>0</v>
      </c>
      <c r="H16" s="233">
        <v>0</v>
      </c>
      <c r="I16" s="233">
        <v>50000000</v>
      </c>
      <c r="J16" s="233">
        <v>0</v>
      </c>
      <c r="K16" s="233">
        <v>0</v>
      </c>
      <c r="L16" s="233">
        <v>0</v>
      </c>
      <c r="M16" s="234">
        <f t="shared" si="2"/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3">
        <v>0</v>
      </c>
      <c r="T16" s="233">
        <v>0</v>
      </c>
      <c r="U16" s="233">
        <v>0</v>
      </c>
    </row>
    <row r="17" spans="1:21" ht="18">
      <c r="A17" s="192"/>
      <c r="B17" s="192" t="s">
        <v>812</v>
      </c>
      <c r="C17" s="239" t="s">
        <v>813</v>
      </c>
      <c r="D17" s="234">
        <f>SUM(E17:L17)</f>
        <v>50000000</v>
      </c>
      <c r="E17" s="233">
        <v>0</v>
      </c>
      <c r="F17" s="233">
        <v>0</v>
      </c>
      <c r="G17" s="233">
        <v>0</v>
      </c>
      <c r="H17" s="233">
        <v>0</v>
      </c>
      <c r="I17" s="233">
        <v>50000000</v>
      </c>
      <c r="J17" s="233">
        <v>0</v>
      </c>
      <c r="K17" s="233">
        <v>0</v>
      </c>
      <c r="L17" s="233">
        <v>0</v>
      </c>
      <c r="M17" s="234">
        <f>SUM(N17:U17)</f>
        <v>41041243</v>
      </c>
      <c r="N17" s="233">
        <v>0</v>
      </c>
      <c r="O17" s="233">
        <v>0</v>
      </c>
      <c r="P17" s="233">
        <v>0</v>
      </c>
      <c r="Q17" s="233">
        <v>0</v>
      </c>
      <c r="R17" s="233">
        <v>41041243</v>
      </c>
      <c r="S17" s="233">
        <v>0</v>
      </c>
      <c r="T17" s="233">
        <v>0</v>
      </c>
      <c r="U17" s="233">
        <v>0</v>
      </c>
    </row>
    <row r="18" spans="1:21" ht="18">
      <c r="A18" s="192"/>
      <c r="B18" s="192" t="s">
        <v>814</v>
      </c>
      <c r="C18" s="239" t="s">
        <v>815</v>
      </c>
      <c r="D18" s="234">
        <f t="shared" si="0"/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4">
        <f aca="true" t="shared" si="4" ref="M18:M23">SUM(N18:U18)</f>
        <v>313865</v>
      </c>
      <c r="N18" s="233">
        <v>0</v>
      </c>
      <c r="O18" s="233">
        <v>0</v>
      </c>
      <c r="P18" s="233">
        <v>0</v>
      </c>
      <c r="Q18" s="233">
        <v>0</v>
      </c>
      <c r="R18" s="233">
        <v>313865</v>
      </c>
      <c r="S18" s="233">
        <v>0</v>
      </c>
      <c r="T18" s="233">
        <v>0</v>
      </c>
      <c r="U18" s="233">
        <v>0</v>
      </c>
    </row>
    <row r="19" spans="1:21" ht="18">
      <c r="A19" s="192"/>
      <c r="B19" s="192" t="s">
        <v>816</v>
      </c>
      <c r="C19" s="239" t="s">
        <v>817</v>
      </c>
      <c r="D19" s="234">
        <f t="shared" si="0"/>
        <v>2500000</v>
      </c>
      <c r="E19" s="233">
        <v>0</v>
      </c>
      <c r="F19" s="233">
        <v>0</v>
      </c>
      <c r="G19" s="233">
        <v>0</v>
      </c>
      <c r="H19" s="233">
        <v>0</v>
      </c>
      <c r="I19" s="233">
        <v>2500000</v>
      </c>
      <c r="J19" s="233">
        <v>0</v>
      </c>
      <c r="K19" s="233">
        <v>0</v>
      </c>
      <c r="L19" s="233">
        <v>0</v>
      </c>
      <c r="M19" s="234">
        <f t="shared" si="4"/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3">
        <v>0</v>
      </c>
      <c r="T19" s="233">
        <v>0</v>
      </c>
      <c r="U19" s="233">
        <v>0</v>
      </c>
    </row>
    <row r="20" spans="1:21" ht="18">
      <c r="A20" s="192"/>
      <c r="B20" s="192" t="s">
        <v>818</v>
      </c>
      <c r="C20" s="239" t="s">
        <v>819</v>
      </c>
      <c r="D20" s="234">
        <f t="shared" si="0"/>
        <v>3800000</v>
      </c>
      <c r="E20" s="233">
        <v>0</v>
      </c>
      <c r="F20" s="233">
        <v>0</v>
      </c>
      <c r="G20" s="233">
        <v>0</v>
      </c>
      <c r="H20" s="233">
        <v>0</v>
      </c>
      <c r="I20" s="233">
        <v>3800000</v>
      </c>
      <c r="J20" s="233">
        <v>0</v>
      </c>
      <c r="K20" s="233">
        <v>0</v>
      </c>
      <c r="L20" s="233">
        <v>0</v>
      </c>
      <c r="M20" s="234">
        <f t="shared" si="4"/>
        <v>1965555</v>
      </c>
      <c r="N20" s="233">
        <v>0</v>
      </c>
      <c r="O20" s="233">
        <v>0</v>
      </c>
      <c r="P20" s="233">
        <v>0</v>
      </c>
      <c r="Q20" s="233">
        <v>0</v>
      </c>
      <c r="R20" s="233">
        <v>1965555</v>
      </c>
      <c r="S20" s="233">
        <v>0</v>
      </c>
      <c r="T20" s="233">
        <v>0</v>
      </c>
      <c r="U20" s="233">
        <v>0</v>
      </c>
    </row>
    <row r="21" spans="1:21" ht="18">
      <c r="A21" s="192" t="s">
        <v>173</v>
      </c>
      <c r="B21" s="192"/>
      <c r="C21" s="193" t="s">
        <v>42</v>
      </c>
      <c r="D21" s="236">
        <f t="shared" si="0"/>
        <v>0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6">
        <f t="shared" si="4"/>
        <v>0</v>
      </c>
      <c r="N21" s="237">
        <v>0</v>
      </c>
      <c r="O21" s="237">
        <v>0</v>
      </c>
      <c r="P21" s="237">
        <v>0</v>
      </c>
      <c r="Q21" s="237">
        <v>0</v>
      </c>
      <c r="R21" s="237">
        <v>0</v>
      </c>
      <c r="S21" s="237">
        <v>0</v>
      </c>
      <c r="T21" s="237">
        <v>0</v>
      </c>
      <c r="U21" s="237">
        <v>0</v>
      </c>
    </row>
    <row r="22" spans="1:21" ht="18">
      <c r="A22" s="192" t="s">
        <v>174</v>
      </c>
      <c r="B22" s="192"/>
      <c r="C22" s="193" t="s">
        <v>44</v>
      </c>
      <c r="D22" s="236">
        <f t="shared" si="0"/>
        <v>0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6">
        <v>0</v>
      </c>
      <c r="M22" s="236">
        <f t="shared" si="4"/>
        <v>0</v>
      </c>
      <c r="N22" s="237">
        <v>0</v>
      </c>
      <c r="O22" s="237">
        <v>0</v>
      </c>
      <c r="P22" s="237">
        <v>0</v>
      </c>
      <c r="Q22" s="237">
        <v>0</v>
      </c>
      <c r="R22" s="237">
        <v>0</v>
      </c>
      <c r="S22" s="237">
        <v>0</v>
      </c>
      <c r="T22" s="237">
        <v>0</v>
      </c>
      <c r="U22" s="236">
        <v>0</v>
      </c>
    </row>
    <row r="23" spans="1:21" ht="30.75" customHeight="1">
      <c r="A23" s="329" t="s">
        <v>326</v>
      </c>
      <c r="B23" s="329"/>
      <c r="C23" s="329"/>
      <c r="D23" s="236">
        <f t="shared" si="0"/>
        <v>169439866</v>
      </c>
      <c r="E23" s="237">
        <f aca="true" t="shared" si="5" ref="E23:L23">E10+E21+E22</f>
        <v>0</v>
      </c>
      <c r="F23" s="237">
        <f t="shared" si="5"/>
        <v>0</v>
      </c>
      <c r="G23" s="237">
        <f t="shared" si="5"/>
        <v>0</v>
      </c>
      <c r="H23" s="237">
        <f t="shared" si="5"/>
        <v>0</v>
      </c>
      <c r="I23" s="237">
        <f t="shared" si="5"/>
        <v>169439866</v>
      </c>
      <c r="J23" s="237">
        <f t="shared" si="5"/>
        <v>0</v>
      </c>
      <c r="K23" s="237">
        <f t="shared" si="5"/>
        <v>0</v>
      </c>
      <c r="L23" s="237">
        <f t="shared" si="5"/>
        <v>0</v>
      </c>
      <c r="M23" s="236">
        <f t="shared" si="4"/>
        <v>43320663</v>
      </c>
      <c r="N23" s="237">
        <f aca="true" t="shared" si="6" ref="N23:U23">N10+N21+N22</f>
        <v>0</v>
      </c>
      <c r="O23" s="237">
        <f t="shared" si="6"/>
        <v>0</v>
      </c>
      <c r="P23" s="237">
        <f t="shared" si="6"/>
        <v>0</v>
      </c>
      <c r="Q23" s="237">
        <f t="shared" si="6"/>
        <v>0</v>
      </c>
      <c r="R23" s="237">
        <f t="shared" si="6"/>
        <v>43320663</v>
      </c>
      <c r="S23" s="237">
        <f t="shared" si="6"/>
        <v>0</v>
      </c>
      <c r="T23" s="237">
        <f t="shared" si="6"/>
        <v>0</v>
      </c>
      <c r="U23" s="237">
        <f t="shared" si="6"/>
        <v>0</v>
      </c>
    </row>
    <row r="25" ht="12" customHeight="1"/>
  </sheetData>
  <sheetProtection selectLockedCells="1" selectUnlockedCells="1"/>
  <mergeCells count="16">
    <mergeCell ref="N7:U7"/>
    <mergeCell ref="N8:R8"/>
    <mergeCell ref="S8:U8"/>
    <mergeCell ref="A1:U1"/>
    <mergeCell ref="A2:U2"/>
    <mergeCell ref="A3:U3"/>
    <mergeCell ref="A4:U4"/>
    <mergeCell ref="M7:M9"/>
    <mergeCell ref="A23:C23"/>
    <mergeCell ref="A7:A9"/>
    <mergeCell ref="B7:B9"/>
    <mergeCell ref="C7:C9"/>
    <mergeCell ref="D7:D9"/>
    <mergeCell ref="E7:L7"/>
    <mergeCell ref="E8:I8"/>
    <mergeCell ref="J8:L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A18"/>
  <sheetViews>
    <sheetView view="pageBreakPreview" zoomScale="75" zoomScaleNormal="74" zoomScaleSheetLayoutView="75" zoomScalePageLayoutView="0" workbookViewId="0" topLeftCell="A1">
      <selection activeCell="N6" sqref="N6"/>
    </sheetView>
  </sheetViews>
  <sheetFormatPr defaultColWidth="9.140625" defaultRowHeight="12.75" customHeight="1"/>
  <cols>
    <col min="1" max="1" width="3.28125" style="37" customWidth="1"/>
    <col min="2" max="2" width="4.57421875" style="37" customWidth="1"/>
    <col min="3" max="3" width="5.57421875" style="37" customWidth="1"/>
    <col min="4" max="4" width="16.28125" style="37" customWidth="1"/>
    <col min="5" max="5" width="13.57421875" style="37" customWidth="1"/>
    <col min="6" max="6" width="15.28125" style="37" customWidth="1"/>
    <col min="7" max="7" width="11.57421875" style="37" customWidth="1"/>
    <col min="8" max="8" width="6.140625" style="37" customWidth="1"/>
    <col min="9" max="9" width="17.00390625" style="37" customWidth="1"/>
    <col min="10" max="10" width="13.00390625" style="37" customWidth="1"/>
    <col min="11" max="11" width="15.57421875" style="37" customWidth="1"/>
    <col min="12" max="12" width="13.7109375" style="37" customWidth="1"/>
    <col min="13" max="13" width="12.00390625" style="37" customWidth="1"/>
    <col min="14" max="14" width="15.7109375" style="37" customWidth="1"/>
    <col min="15" max="15" width="18.28125" style="37" customWidth="1"/>
    <col min="16" max="16" width="16.421875" style="37" customWidth="1"/>
    <col min="17" max="17" width="14.00390625" style="37" customWidth="1"/>
    <col min="18" max="18" width="22.28125" style="37" customWidth="1"/>
    <col min="19" max="157" width="9.140625" style="37" customWidth="1"/>
    <col min="158" max="183" width="9.140625" style="38" customWidth="1"/>
  </cols>
  <sheetData>
    <row r="1" spans="1:209" ht="13.5" customHeight="1">
      <c r="A1" s="291" t="s">
        <v>1041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U1" s="39"/>
      <c r="FV1" s="39"/>
      <c r="FW1" s="39"/>
      <c r="FX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</row>
    <row r="2" spans="1:209" ht="13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U2" s="39"/>
      <c r="FV2" s="39"/>
      <c r="FW2" s="39"/>
      <c r="FX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</row>
    <row r="3" spans="1:209" ht="15.75" customHeight="1">
      <c r="A3" s="275" t="s">
        <v>179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U3" s="39"/>
      <c r="FV3" s="39"/>
      <c r="FW3" s="39"/>
      <c r="FX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</row>
    <row r="4" spans="1:18" s="39" customFormat="1" ht="20.25" customHeight="1">
      <c r="A4" s="292" t="s">
        <v>214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</row>
    <row r="5" spans="4:18" s="39" customFormat="1" ht="13.5" customHeight="1">
      <c r="D5" s="41"/>
      <c r="E5" s="41"/>
      <c r="F5" s="41"/>
      <c r="G5" s="41"/>
      <c r="H5" s="41"/>
      <c r="I5" s="41"/>
      <c r="J5" s="41"/>
      <c r="K5" s="41"/>
      <c r="L5" s="41"/>
      <c r="M5" s="41"/>
      <c r="Q5" s="253"/>
      <c r="R5" s="253" t="s">
        <v>1</v>
      </c>
    </row>
    <row r="6" spans="1:18" ht="12.75" customHeight="1">
      <c r="A6" s="43" t="s">
        <v>2</v>
      </c>
      <c r="B6" s="43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43" t="s">
        <v>13</v>
      </c>
      <c r="M6" s="43" t="s">
        <v>14</v>
      </c>
      <c r="N6" s="43" t="s">
        <v>15</v>
      </c>
      <c r="O6" s="43" t="s">
        <v>16</v>
      </c>
      <c r="P6" s="43" t="s">
        <v>17</v>
      </c>
      <c r="Q6" s="4" t="s">
        <v>18</v>
      </c>
      <c r="R6" s="4" t="s">
        <v>19</v>
      </c>
    </row>
    <row r="7" spans="1:18" ht="12.75" customHeight="1">
      <c r="A7" s="289" t="s">
        <v>23</v>
      </c>
      <c r="B7" s="288" t="s">
        <v>185</v>
      </c>
      <c r="C7" s="288" t="s">
        <v>186</v>
      </c>
      <c r="D7" s="286" t="s">
        <v>1230</v>
      </c>
      <c r="E7" s="286" t="s">
        <v>187</v>
      </c>
      <c r="F7" s="286" t="s">
        <v>188</v>
      </c>
      <c r="G7" s="286" t="s">
        <v>189</v>
      </c>
      <c r="H7" s="293" t="s">
        <v>190</v>
      </c>
      <c r="I7" s="286" t="s">
        <v>215</v>
      </c>
      <c r="J7" s="286" t="s">
        <v>192</v>
      </c>
      <c r="K7" s="290" t="s">
        <v>26</v>
      </c>
      <c r="L7" s="290"/>
      <c r="M7" s="290"/>
      <c r="N7" s="290"/>
      <c r="O7" s="290" t="s">
        <v>1047</v>
      </c>
      <c r="P7" s="290"/>
      <c r="Q7" s="290"/>
      <c r="R7" s="290"/>
    </row>
    <row r="8" spans="1:18" ht="66" customHeight="1">
      <c r="A8" s="289"/>
      <c r="B8" s="289"/>
      <c r="C8" s="289"/>
      <c r="D8" s="286"/>
      <c r="E8" s="286"/>
      <c r="F8" s="286"/>
      <c r="G8" s="286"/>
      <c r="H8" s="293"/>
      <c r="I8" s="286"/>
      <c r="J8" s="286"/>
      <c r="K8" s="286" t="s">
        <v>216</v>
      </c>
      <c r="L8" s="286" t="s">
        <v>217</v>
      </c>
      <c r="M8" s="286" t="s">
        <v>218</v>
      </c>
      <c r="N8" s="286" t="s">
        <v>195</v>
      </c>
      <c r="O8" s="286" t="s">
        <v>216</v>
      </c>
      <c r="P8" s="286" t="s">
        <v>217</v>
      </c>
      <c r="Q8" s="286" t="s">
        <v>218</v>
      </c>
      <c r="R8" s="286" t="s">
        <v>195</v>
      </c>
    </row>
    <row r="9" spans="1:18" s="46" customFormat="1" ht="24.75" customHeight="1">
      <c r="A9" s="289"/>
      <c r="B9" s="289"/>
      <c r="C9" s="289"/>
      <c r="D9" s="286"/>
      <c r="E9" s="286"/>
      <c r="F9" s="286"/>
      <c r="G9" s="286"/>
      <c r="H9" s="293"/>
      <c r="I9" s="286"/>
      <c r="J9" s="286"/>
      <c r="K9" s="286"/>
      <c r="L9" s="286"/>
      <c r="M9" s="286"/>
      <c r="N9" s="286"/>
      <c r="O9" s="286"/>
      <c r="P9" s="286"/>
      <c r="Q9" s="286"/>
      <c r="R9" s="286"/>
    </row>
    <row r="10" spans="1:18" ht="15" customHeight="1">
      <c r="A10" s="78"/>
      <c r="B10" s="47" t="s">
        <v>219</v>
      </c>
      <c r="C10" s="79"/>
      <c r="D10" s="278" t="s">
        <v>201</v>
      </c>
      <c r="E10" s="278"/>
      <c r="F10" s="278"/>
      <c r="G10" s="49"/>
      <c r="H10" s="50"/>
      <c r="I10" s="51">
        <f>SUM(I11:I14)</f>
        <v>50500000000</v>
      </c>
      <c r="J10" s="49"/>
      <c r="K10" s="59">
        <f>SUM(K11:K11)</f>
        <v>0</v>
      </c>
      <c r="L10" s="59">
        <f>SUM(L11:L14)</f>
        <v>45000000</v>
      </c>
      <c r="M10" s="59">
        <f aca="true" t="shared" si="0" ref="M10:R10">SUM(M11:M14)</f>
        <v>0</v>
      </c>
      <c r="N10" s="59">
        <f t="shared" si="0"/>
        <v>45000000</v>
      </c>
      <c r="O10" s="59">
        <f t="shared" si="0"/>
        <v>0</v>
      </c>
      <c r="P10" s="59">
        <f t="shared" si="0"/>
        <v>71791250</v>
      </c>
      <c r="Q10" s="59">
        <f t="shared" si="0"/>
        <v>0</v>
      </c>
      <c r="R10" s="59">
        <f t="shared" si="0"/>
        <v>71791250</v>
      </c>
    </row>
    <row r="11" spans="1:18" s="46" customFormat="1" ht="38.25" customHeight="1">
      <c r="A11" s="80"/>
      <c r="B11" s="52"/>
      <c r="C11" s="52" t="s">
        <v>863</v>
      </c>
      <c r="D11" s="53" t="s">
        <v>203</v>
      </c>
      <c r="E11" s="54" t="s">
        <v>204</v>
      </c>
      <c r="F11" s="54">
        <v>42633</v>
      </c>
      <c r="G11" s="54">
        <v>44276</v>
      </c>
      <c r="H11" s="55" t="s">
        <v>202</v>
      </c>
      <c r="I11" s="56">
        <v>1000000000</v>
      </c>
      <c r="J11" s="56">
        <v>0</v>
      </c>
      <c r="K11" s="57">
        <v>0</v>
      </c>
      <c r="L11" s="57">
        <v>11000000</v>
      </c>
      <c r="M11" s="57">
        <v>0</v>
      </c>
      <c r="N11" s="59">
        <f aca="true" t="shared" si="1" ref="N11:N17">SUM(K11:M11)</f>
        <v>11000000</v>
      </c>
      <c r="O11" s="57">
        <v>0</v>
      </c>
      <c r="P11" s="57">
        <v>11000000</v>
      </c>
      <c r="Q11" s="57">
        <v>0</v>
      </c>
      <c r="R11" s="59">
        <f aca="true" t="shared" si="2" ref="R11:R17">SUM(O11:Q11)</f>
        <v>11000000</v>
      </c>
    </row>
    <row r="12" spans="1:18" s="46" customFormat="1" ht="38.25" customHeight="1">
      <c r="A12" s="80"/>
      <c r="B12" s="52"/>
      <c r="C12" s="52" t="s">
        <v>1015</v>
      </c>
      <c r="D12" s="53" t="s">
        <v>864</v>
      </c>
      <c r="E12" s="54" t="s">
        <v>204</v>
      </c>
      <c r="F12" s="54">
        <v>42887</v>
      </c>
      <c r="G12" s="54">
        <v>47116</v>
      </c>
      <c r="H12" s="55" t="s">
        <v>202</v>
      </c>
      <c r="I12" s="56">
        <v>3000000000</v>
      </c>
      <c r="J12" s="56">
        <v>0</v>
      </c>
      <c r="K12" s="57">
        <v>0</v>
      </c>
      <c r="L12" s="57">
        <v>33000000</v>
      </c>
      <c r="M12" s="57">
        <v>0</v>
      </c>
      <c r="N12" s="59">
        <f t="shared" si="1"/>
        <v>33000000</v>
      </c>
      <c r="O12" s="57">
        <v>0</v>
      </c>
      <c r="P12" s="57">
        <v>33000000</v>
      </c>
      <c r="Q12" s="57">
        <v>0</v>
      </c>
      <c r="R12" s="59">
        <f t="shared" si="2"/>
        <v>33000000</v>
      </c>
    </row>
    <row r="13" spans="1:18" s="46" customFormat="1" ht="38.25" customHeight="1">
      <c r="A13" s="80"/>
      <c r="B13" s="52"/>
      <c r="C13" s="52" t="s">
        <v>1016</v>
      </c>
      <c r="D13" s="53" t="s">
        <v>1231</v>
      </c>
      <c r="E13" s="54" t="s">
        <v>204</v>
      </c>
      <c r="F13" s="54">
        <v>43277</v>
      </c>
      <c r="G13" s="54">
        <v>47848</v>
      </c>
      <c r="H13" s="55" t="s">
        <v>202</v>
      </c>
      <c r="I13" s="56">
        <v>2500000000</v>
      </c>
      <c r="J13" s="56">
        <v>0</v>
      </c>
      <c r="K13" s="57">
        <v>0</v>
      </c>
      <c r="L13" s="57">
        <v>1000000</v>
      </c>
      <c r="M13" s="57">
        <v>0</v>
      </c>
      <c r="N13" s="59">
        <f t="shared" si="1"/>
        <v>1000000</v>
      </c>
      <c r="O13" s="57">
        <v>0</v>
      </c>
      <c r="P13" s="57">
        <v>4331250</v>
      </c>
      <c r="Q13" s="57">
        <v>0</v>
      </c>
      <c r="R13" s="59">
        <f t="shared" si="2"/>
        <v>4331250</v>
      </c>
    </row>
    <row r="14" spans="1:18" s="46" customFormat="1" ht="38.25" customHeight="1">
      <c r="A14" s="80"/>
      <c r="B14" s="52"/>
      <c r="C14" s="52" t="s">
        <v>1243</v>
      </c>
      <c r="D14" s="53" t="s">
        <v>1244</v>
      </c>
      <c r="E14" s="54" t="s">
        <v>1245</v>
      </c>
      <c r="F14" s="54">
        <v>43363</v>
      </c>
      <c r="G14" s="54">
        <v>45289</v>
      </c>
      <c r="H14" s="55" t="s">
        <v>202</v>
      </c>
      <c r="I14" s="56">
        <v>44000000000</v>
      </c>
      <c r="J14" s="56">
        <v>0</v>
      </c>
      <c r="K14" s="57">
        <v>0</v>
      </c>
      <c r="L14" s="57">
        <v>0</v>
      </c>
      <c r="M14" s="57">
        <v>0</v>
      </c>
      <c r="N14" s="59">
        <f t="shared" si="1"/>
        <v>0</v>
      </c>
      <c r="O14" s="57">
        <v>0</v>
      </c>
      <c r="P14" s="57">
        <v>23460000</v>
      </c>
      <c r="Q14" s="57">
        <v>0</v>
      </c>
      <c r="R14" s="59">
        <f t="shared" si="2"/>
        <v>23460000</v>
      </c>
    </row>
    <row r="15" spans="1:18" ht="15" customHeight="1">
      <c r="A15" s="78"/>
      <c r="B15" s="47" t="s">
        <v>220</v>
      </c>
      <c r="C15" s="47"/>
      <c r="D15" s="278" t="s">
        <v>205</v>
      </c>
      <c r="E15" s="278"/>
      <c r="F15" s="278"/>
      <c r="G15" s="49"/>
      <c r="H15" s="50"/>
      <c r="I15" s="59">
        <f>SUM(I16:I17)</f>
        <v>2800000000</v>
      </c>
      <c r="J15" s="59">
        <f>SUM(J16:J16)</f>
        <v>0</v>
      </c>
      <c r="K15" s="59">
        <f>SUM(K16:K16)</f>
        <v>0</v>
      </c>
      <c r="L15" s="59">
        <f>SUM(L16:L16)</f>
        <v>9000000</v>
      </c>
      <c r="M15" s="59">
        <f>SUM(M16:M16)</f>
        <v>5000000</v>
      </c>
      <c r="N15" s="59">
        <f t="shared" si="1"/>
        <v>14000000</v>
      </c>
      <c r="O15" s="59">
        <f>SUM(O16:O16)</f>
        <v>0</v>
      </c>
      <c r="P15" s="59">
        <f>SUM(P16:P16)</f>
        <v>5668750</v>
      </c>
      <c r="Q15" s="59">
        <f>SUM(Q16:Q16)</f>
        <v>5000000</v>
      </c>
      <c r="R15" s="59">
        <f t="shared" si="2"/>
        <v>10668750</v>
      </c>
    </row>
    <row r="16" spans="1:18" s="46" customFormat="1" ht="35.25" customHeight="1">
      <c r="A16" s="80"/>
      <c r="B16" s="52"/>
      <c r="C16" s="52" t="s">
        <v>221</v>
      </c>
      <c r="D16" s="60" t="s">
        <v>207</v>
      </c>
      <c r="E16" s="53" t="s">
        <v>204</v>
      </c>
      <c r="F16" s="61"/>
      <c r="G16" s="54"/>
      <c r="H16" s="55" t="s">
        <v>202</v>
      </c>
      <c r="I16" s="56">
        <v>2500000000</v>
      </c>
      <c r="J16" s="56">
        <v>0</v>
      </c>
      <c r="K16" s="63">
        <v>0</v>
      </c>
      <c r="L16" s="63">
        <v>9000000</v>
      </c>
      <c r="M16" s="56">
        <v>5000000</v>
      </c>
      <c r="N16" s="59">
        <f t="shared" si="1"/>
        <v>14000000</v>
      </c>
      <c r="O16" s="63">
        <v>0</v>
      </c>
      <c r="P16" s="63">
        <f>9000000-3331250</f>
        <v>5668750</v>
      </c>
      <c r="Q16" s="56">
        <v>5000000</v>
      </c>
      <c r="R16" s="59">
        <f t="shared" si="2"/>
        <v>10668750</v>
      </c>
    </row>
    <row r="17" spans="1:18" s="46" customFormat="1" ht="35.25" customHeight="1">
      <c r="A17" s="80"/>
      <c r="B17" s="52"/>
      <c r="C17" s="52" t="s">
        <v>222</v>
      </c>
      <c r="D17" s="60" t="s">
        <v>209</v>
      </c>
      <c r="E17" s="53" t="s">
        <v>204</v>
      </c>
      <c r="F17" s="61"/>
      <c r="G17" s="54"/>
      <c r="H17" s="55" t="s">
        <v>202</v>
      </c>
      <c r="I17" s="56">
        <v>300000000</v>
      </c>
      <c r="J17" s="56">
        <v>0</v>
      </c>
      <c r="K17" s="63">
        <v>0</v>
      </c>
      <c r="L17" s="56">
        <v>0</v>
      </c>
      <c r="M17" s="56">
        <v>0</v>
      </c>
      <c r="N17" s="59">
        <f t="shared" si="1"/>
        <v>0</v>
      </c>
      <c r="O17" s="63">
        <v>0</v>
      </c>
      <c r="P17" s="56">
        <v>0</v>
      </c>
      <c r="Q17" s="56">
        <v>0</v>
      </c>
      <c r="R17" s="59">
        <f t="shared" si="2"/>
        <v>0</v>
      </c>
    </row>
    <row r="18" spans="1:18" ht="29.25" customHeight="1">
      <c r="A18" s="281" t="s">
        <v>213</v>
      </c>
      <c r="B18" s="281"/>
      <c r="C18" s="281"/>
      <c r="D18" s="281"/>
      <c r="E18" s="281"/>
      <c r="F18" s="281"/>
      <c r="G18" s="281"/>
      <c r="H18" s="74"/>
      <c r="I18" s="64">
        <v>0</v>
      </c>
      <c r="J18" s="64">
        <f aca="true" t="shared" si="3" ref="J18:R18">J10+J15</f>
        <v>0</v>
      </c>
      <c r="K18" s="64">
        <f t="shared" si="3"/>
        <v>0</v>
      </c>
      <c r="L18" s="64">
        <f t="shared" si="3"/>
        <v>54000000</v>
      </c>
      <c r="M18" s="64">
        <f t="shared" si="3"/>
        <v>5000000</v>
      </c>
      <c r="N18" s="64">
        <f t="shared" si="3"/>
        <v>59000000</v>
      </c>
      <c r="O18" s="64">
        <f t="shared" si="3"/>
        <v>0</v>
      </c>
      <c r="P18" s="64">
        <f t="shared" si="3"/>
        <v>77460000</v>
      </c>
      <c r="Q18" s="64">
        <f t="shared" si="3"/>
        <v>5000000</v>
      </c>
      <c r="R18" s="64">
        <f t="shared" si="3"/>
        <v>82460000</v>
      </c>
    </row>
  </sheetData>
  <sheetProtection selectLockedCells="1" selectUnlockedCells="1"/>
  <mergeCells count="27">
    <mergeCell ref="E7:E9"/>
    <mergeCell ref="I7:I9"/>
    <mergeCell ref="A18:G18"/>
    <mergeCell ref="D10:F10"/>
    <mergeCell ref="D15:F15"/>
    <mergeCell ref="G7:G9"/>
    <mergeCell ref="H7:H9"/>
    <mergeCell ref="J7:J9"/>
    <mergeCell ref="O7:R7"/>
    <mergeCell ref="A1:R1"/>
    <mergeCell ref="A3:R3"/>
    <mergeCell ref="A4:R4"/>
    <mergeCell ref="K7:N7"/>
    <mergeCell ref="K8:K9"/>
    <mergeCell ref="R8:R9"/>
    <mergeCell ref="F7:F9"/>
    <mergeCell ref="B7:B9"/>
    <mergeCell ref="L8:L9"/>
    <mergeCell ref="M8:M9"/>
    <mergeCell ref="N8:N9"/>
    <mergeCell ref="Q8:Q9"/>
    <mergeCell ref="P8:P9"/>
    <mergeCell ref="A2:N2"/>
    <mergeCell ref="C7:C9"/>
    <mergeCell ref="D7:D9"/>
    <mergeCell ref="O8:O9"/>
    <mergeCell ref="A7:A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Z20"/>
  <sheetViews>
    <sheetView view="pageBreakPreview" zoomScale="75" zoomScaleNormal="74" zoomScaleSheetLayoutView="75" zoomScalePageLayoutView="0" workbookViewId="0" topLeftCell="A1">
      <selection activeCell="Q7" sqref="Q7:X7"/>
    </sheetView>
  </sheetViews>
  <sheetFormatPr defaultColWidth="9.140625" defaultRowHeight="12.75" customHeight="1"/>
  <cols>
    <col min="1" max="1" width="5.57421875" style="37" customWidth="1"/>
    <col min="2" max="2" width="17.140625" style="37" customWidth="1"/>
    <col min="3" max="3" width="13.57421875" style="37" customWidth="1"/>
    <col min="4" max="4" width="15.28125" style="37" customWidth="1"/>
    <col min="5" max="5" width="11.57421875" style="37" customWidth="1"/>
    <col min="6" max="6" width="6.140625" style="37" customWidth="1"/>
    <col min="7" max="7" width="14.28125" style="37" customWidth="1"/>
    <col min="8" max="8" width="13.00390625" style="37" customWidth="1"/>
    <col min="9" max="13" width="12.421875" style="37" customWidth="1"/>
    <col min="14" max="14" width="13.57421875" style="37" customWidth="1"/>
    <col min="15" max="15" width="10.7109375" style="37" customWidth="1"/>
    <col min="16" max="16" width="15.7109375" style="37" customWidth="1"/>
    <col min="17" max="17" width="11.00390625" style="37" customWidth="1"/>
    <col min="18" max="18" width="11.421875" style="37" customWidth="1"/>
    <col min="19" max="19" width="11.00390625" style="37" customWidth="1"/>
    <col min="20" max="20" width="10.7109375" style="37" customWidth="1"/>
    <col min="21" max="21" width="14.00390625" style="37" customWidth="1"/>
    <col min="22" max="22" width="14.7109375" style="37" customWidth="1"/>
    <col min="23" max="23" width="11.28125" style="37" customWidth="1"/>
    <col min="24" max="24" width="12.00390625" style="37" customWidth="1"/>
    <col min="25" max="131" width="9.140625" style="37" customWidth="1"/>
    <col min="132" max="157" width="9.140625" style="38" customWidth="1"/>
  </cols>
  <sheetData>
    <row r="1" spans="1:182" ht="13.5" customHeight="1">
      <c r="A1" s="291" t="s">
        <v>1042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U1" s="39"/>
      <c r="EV1" s="39"/>
      <c r="EW1" s="39"/>
      <c r="EX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</row>
    <row r="2" spans="1:182" ht="13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U2" s="39"/>
      <c r="EV2" s="39"/>
      <c r="EW2" s="39"/>
      <c r="EX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</row>
    <row r="3" spans="1:182" ht="15.75" customHeight="1">
      <c r="A3" s="275" t="s">
        <v>179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U3" s="39"/>
      <c r="EV3" s="39"/>
      <c r="EW3" s="39"/>
      <c r="EX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</row>
    <row r="4" spans="1:24" s="39" customFormat="1" ht="20.25" customHeight="1">
      <c r="A4" s="292" t="s">
        <v>223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</row>
    <row r="5" spans="2:24" s="39" customFormat="1" ht="13.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W5" s="253"/>
      <c r="X5" s="253" t="s">
        <v>1</v>
      </c>
    </row>
    <row r="6" spans="1:24" ht="12.75" customHeight="1">
      <c r="A6" s="43" t="s">
        <v>2</v>
      </c>
      <c r="B6" s="43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43" t="s">
        <v>13</v>
      </c>
      <c r="M6" s="43" t="s">
        <v>14</v>
      </c>
      <c r="N6" s="43" t="s">
        <v>15</v>
      </c>
      <c r="O6" s="43" t="s">
        <v>16</v>
      </c>
      <c r="P6" s="43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181</v>
      </c>
      <c r="W6" s="4" t="s">
        <v>182</v>
      </c>
      <c r="X6" s="4" t="s">
        <v>183</v>
      </c>
    </row>
    <row r="7" spans="1:24" ht="12.75" customHeight="1">
      <c r="A7" s="288" t="s">
        <v>186</v>
      </c>
      <c r="B7" s="298" t="s">
        <v>1235</v>
      </c>
      <c r="C7" s="299"/>
      <c r="D7" s="299"/>
      <c r="E7" s="300"/>
      <c r="F7" s="293" t="s">
        <v>190</v>
      </c>
      <c r="G7" s="286" t="s">
        <v>191</v>
      </c>
      <c r="H7" s="286" t="s">
        <v>192</v>
      </c>
      <c r="I7" s="290" t="s">
        <v>26</v>
      </c>
      <c r="J7" s="290"/>
      <c r="K7" s="290"/>
      <c r="L7" s="290"/>
      <c r="M7" s="290"/>
      <c r="N7" s="290"/>
      <c r="O7" s="290"/>
      <c r="P7" s="290"/>
      <c r="Q7" s="290" t="s">
        <v>1047</v>
      </c>
      <c r="R7" s="290"/>
      <c r="S7" s="290"/>
      <c r="T7" s="290"/>
      <c r="U7" s="290"/>
      <c r="V7" s="290"/>
      <c r="W7" s="290"/>
      <c r="X7" s="290"/>
    </row>
    <row r="8" spans="1:24" ht="66" customHeight="1">
      <c r="A8" s="288"/>
      <c r="B8" s="301"/>
      <c r="C8" s="302"/>
      <c r="D8" s="302"/>
      <c r="E8" s="303"/>
      <c r="F8" s="293"/>
      <c r="G8" s="286"/>
      <c r="H8" s="286"/>
      <c r="I8" s="286" t="s">
        <v>1043</v>
      </c>
      <c r="J8" s="286"/>
      <c r="K8" s="286"/>
      <c r="L8" s="286"/>
      <c r="M8" s="286"/>
      <c r="N8" s="286" t="s">
        <v>193</v>
      </c>
      <c r="O8" s="286" t="s">
        <v>194</v>
      </c>
      <c r="P8" s="286" t="s">
        <v>195</v>
      </c>
      <c r="Q8" s="286" t="s">
        <v>1043</v>
      </c>
      <c r="R8" s="286"/>
      <c r="S8" s="286"/>
      <c r="T8" s="286"/>
      <c r="U8" s="286"/>
      <c r="V8" s="286" t="s">
        <v>193</v>
      </c>
      <c r="W8" s="286" t="s">
        <v>194</v>
      </c>
      <c r="X8" s="286" t="s">
        <v>195</v>
      </c>
    </row>
    <row r="9" spans="1:24" s="46" customFormat="1" ht="38.25" customHeight="1">
      <c r="A9" s="288"/>
      <c r="B9" s="304"/>
      <c r="C9" s="305"/>
      <c r="D9" s="305"/>
      <c r="E9" s="306"/>
      <c r="F9" s="293"/>
      <c r="G9" s="286"/>
      <c r="H9" s="286"/>
      <c r="I9" s="77" t="s">
        <v>196</v>
      </c>
      <c r="J9" s="77" t="s">
        <v>197</v>
      </c>
      <c r="K9" s="77" t="s">
        <v>198</v>
      </c>
      <c r="L9" s="76" t="s">
        <v>199</v>
      </c>
      <c r="M9" s="76" t="s">
        <v>200</v>
      </c>
      <c r="N9" s="286"/>
      <c r="O9" s="286"/>
      <c r="P9" s="286"/>
      <c r="Q9" s="77" t="s">
        <v>196</v>
      </c>
      <c r="R9" s="77" t="s">
        <v>197</v>
      </c>
      <c r="S9" s="77" t="s">
        <v>198</v>
      </c>
      <c r="T9" s="76" t="s">
        <v>199</v>
      </c>
      <c r="U9" s="76" t="s">
        <v>200</v>
      </c>
      <c r="V9" s="286"/>
      <c r="W9" s="286"/>
      <c r="X9" s="286"/>
    </row>
    <row r="10" spans="1:24" s="71" customFormat="1" ht="37.5" customHeight="1">
      <c r="A10" s="52" t="s">
        <v>210</v>
      </c>
      <c r="B10" s="295" t="s">
        <v>1233</v>
      </c>
      <c r="C10" s="296"/>
      <c r="D10" s="296"/>
      <c r="E10" s="297"/>
      <c r="F10" s="67" t="s">
        <v>202</v>
      </c>
      <c r="G10" s="68">
        <v>200000000</v>
      </c>
      <c r="H10" s="68"/>
      <c r="I10" s="69">
        <v>5250000</v>
      </c>
      <c r="J10" s="69">
        <v>5250000</v>
      </c>
      <c r="K10" s="69">
        <v>5250000</v>
      </c>
      <c r="L10" s="69">
        <v>5250000</v>
      </c>
      <c r="M10" s="70">
        <f>SUM(I10:L10)</f>
        <v>21000000</v>
      </c>
      <c r="N10" s="68">
        <v>0</v>
      </c>
      <c r="O10" s="68">
        <v>0</v>
      </c>
      <c r="P10" s="64">
        <f>SUM(M10:O10)</f>
        <v>21000000</v>
      </c>
      <c r="Q10" s="69">
        <v>5250000</v>
      </c>
      <c r="R10" s="69">
        <v>5250000</v>
      </c>
      <c r="S10" s="69">
        <v>5250000</v>
      </c>
      <c r="T10" s="69">
        <v>5250000</v>
      </c>
      <c r="U10" s="70">
        <f>SUM(Q10:T10)</f>
        <v>21000000</v>
      </c>
      <c r="V10" s="69">
        <v>0</v>
      </c>
      <c r="W10" s="69">
        <v>0</v>
      </c>
      <c r="X10" s="64">
        <f>SUM(U10:W10)</f>
        <v>21000000</v>
      </c>
    </row>
    <row r="11" spans="1:24" ht="33" customHeight="1">
      <c r="A11" s="294" t="s">
        <v>213</v>
      </c>
      <c r="B11" s="294"/>
      <c r="C11" s="294"/>
      <c r="D11" s="294"/>
      <c r="E11" s="294"/>
      <c r="F11" s="74"/>
      <c r="G11" s="64"/>
      <c r="H11" s="64"/>
      <c r="I11" s="64">
        <f aca="true" t="shared" si="0" ref="I11:P11">SUM(I10:I10)</f>
        <v>5250000</v>
      </c>
      <c r="J11" s="64">
        <f t="shared" si="0"/>
        <v>5250000</v>
      </c>
      <c r="K11" s="64">
        <f t="shared" si="0"/>
        <v>5250000</v>
      </c>
      <c r="L11" s="64">
        <f t="shared" si="0"/>
        <v>5250000</v>
      </c>
      <c r="M11" s="64">
        <f t="shared" si="0"/>
        <v>21000000</v>
      </c>
      <c r="N11" s="64">
        <f t="shared" si="0"/>
        <v>0</v>
      </c>
      <c r="O11" s="64">
        <f t="shared" si="0"/>
        <v>0</v>
      </c>
      <c r="P11" s="64">
        <f t="shared" si="0"/>
        <v>21000000</v>
      </c>
      <c r="Q11" s="64">
        <f aca="true" t="shared" si="1" ref="Q11:X11">SUM(Q9:Q10)</f>
        <v>5250000</v>
      </c>
      <c r="R11" s="64">
        <f t="shared" si="1"/>
        <v>5250000</v>
      </c>
      <c r="S11" s="64">
        <f t="shared" si="1"/>
        <v>5250000</v>
      </c>
      <c r="T11" s="64">
        <f t="shared" si="1"/>
        <v>5250000</v>
      </c>
      <c r="U11" s="64">
        <f t="shared" si="1"/>
        <v>21000000</v>
      </c>
      <c r="V11" s="64">
        <f t="shared" si="1"/>
        <v>0</v>
      </c>
      <c r="W11" s="64">
        <f t="shared" si="1"/>
        <v>0</v>
      </c>
      <c r="X11" s="64">
        <f t="shared" si="1"/>
        <v>21000000</v>
      </c>
    </row>
    <row r="13" spans="1:24" ht="18" customHeight="1">
      <c r="A13" s="292" t="s">
        <v>224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</row>
    <row r="14" ht="12.75" customHeight="1">
      <c r="P14" s="75"/>
    </row>
    <row r="15" spans="1:24" ht="12.75" customHeight="1">
      <c r="A15" s="43" t="s">
        <v>2</v>
      </c>
      <c r="B15" s="43" t="s">
        <v>3</v>
      </c>
      <c r="C15" s="43" t="s">
        <v>4</v>
      </c>
      <c r="D15" s="43" t="s">
        <v>5</v>
      </c>
      <c r="E15" s="43" t="s">
        <v>6</v>
      </c>
      <c r="F15" s="43" t="s">
        <v>7</v>
      </c>
      <c r="G15" s="43" t="s">
        <v>8</v>
      </c>
      <c r="H15" s="43" t="s">
        <v>9</v>
      </c>
      <c r="I15" s="43" t="s">
        <v>10</v>
      </c>
      <c r="J15" s="43" t="s">
        <v>11</v>
      </c>
      <c r="K15" s="43" t="s">
        <v>12</v>
      </c>
      <c r="L15" s="43" t="s">
        <v>13</v>
      </c>
      <c r="M15" s="43" t="s">
        <v>14</v>
      </c>
      <c r="N15" s="43" t="s">
        <v>15</v>
      </c>
      <c r="O15" s="43" t="s">
        <v>16</v>
      </c>
      <c r="P15" s="43" t="s">
        <v>17</v>
      </c>
      <c r="Q15" s="43" t="s">
        <v>10</v>
      </c>
      <c r="R15" s="43" t="s">
        <v>11</v>
      </c>
      <c r="S15" s="43" t="s">
        <v>12</v>
      </c>
      <c r="T15" s="43" t="s">
        <v>13</v>
      </c>
      <c r="U15" s="43" t="s">
        <v>14</v>
      </c>
      <c r="V15" s="43" t="s">
        <v>15</v>
      </c>
      <c r="W15" s="43" t="s">
        <v>16</v>
      </c>
      <c r="X15" s="43" t="s">
        <v>17</v>
      </c>
    </row>
    <row r="16" spans="1:24" ht="12.75" customHeight="1">
      <c r="A16" s="288" t="s">
        <v>186</v>
      </c>
      <c r="B16" s="298" t="s">
        <v>1235</v>
      </c>
      <c r="C16" s="299"/>
      <c r="D16" s="299"/>
      <c r="E16" s="300"/>
      <c r="F16" s="293" t="s">
        <v>190</v>
      </c>
      <c r="G16" s="286" t="s">
        <v>191</v>
      </c>
      <c r="H16" s="286" t="s">
        <v>192</v>
      </c>
      <c r="I16" s="290" t="s">
        <v>26</v>
      </c>
      <c r="J16" s="290"/>
      <c r="K16" s="290"/>
      <c r="L16" s="290"/>
      <c r="M16" s="290"/>
      <c r="N16" s="290"/>
      <c r="O16" s="290"/>
      <c r="P16" s="290"/>
      <c r="Q16" s="290" t="s">
        <v>1047</v>
      </c>
      <c r="R16" s="290"/>
      <c r="S16" s="290"/>
      <c r="T16" s="290"/>
      <c r="U16" s="290"/>
      <c r="V16" s="290"/>
      <c r="W16" s="290"/>
      <c r="X16" s="290"/>
    </row>
    <row r="17" spans="1:24" ht="66" customHeight="1">
      <c r="A17" s="288"/>
      <c r="B17" s="301"/>
      <c r="C17" s="302"/>
      <c r="D17" s="302"/>
      <c r="E17" s="303"/>
      <c r="F17" s="293"/>
      <c r="G17" s="286"/>
      <c r="H17" s="286"/>
      <c r="I17" s="286" t="s">
        <v>1043</v>
      </c>
      <c r="J17" s="286"/>
      <c r="K17" s="286"/>
      <c r="L17" s="286"/>
      <c r="M17" s="286"/>
      <c r="N17" s="286" t="s">
        <v>193</v>
      </c>
      <c r="O17" s="286" t="s">
        <v>194</v>
      </c>
      <c r="P17" s="286" t="s">
        <v>195</v>
      </c>
      <c r="Q17" s="286" t="s">
        <v>1043</v>
      </c>
      <c r="R17" s="286"/>
      <c r="S17" s="286"/>
      <c r="T17" s="286"/>
      <c r="U17" s="286"/>
      <c r="V17" s="286" t="s">
        <v>193</v>
      </c>
      <c r="W17" s="286" t="s">
        <v>194</v>
      </c>
      <c r="X17" s="286" t="s">
        <v>195</v>
      </c>
    </row>
    <row r="18" spans="1:24" s="46" customFormat="1" ht="24.75" customHeight="1">
      <c r="A18" s="288"/>
      <c r="B18" s="304"/>
      <c r="C18" s="305"/>
      <c r="D18" s="305"/>
      <c r="E18" s="306"/>
      <c r="F18" s="293"/>
      <c r="G18" s="286"/>
      <c r="H18" s="286"/>
      <c r="I18" s="77" t="s">
        <v>196</v>
      </c>
      <c r="J18" s="77" t="s">
        <v>197</v>
      </c>
      <c r="K18" s="77" t="s">
        <v>198</v>
      </c>
      <c r="L18" s="76" t="s">
        <v>199</v>
      </c>
      <c r="M18" s="76" t="s">
        <v>200</v>
      </c>
      <c r="N18" s="286"/>
      <c r="O18" s="286"/>
      <c r="P18" s="286"/>
      <c r="Q18" s="77" t="s">
        <v>196</v>
      </c>
      <c r="R18" s="77" t="s">
        <v>197</v>
      </c>
      <c r="S18" s="77" t="s">
        <v>198</v>
      </c>
      <c r="T18" s="76" t="s">
        <v>199</v>
      </c>
      <c r="U18" s="76" t="s">
        <v>200</v>
      </c>
      <c r="V18" s="286"/>
      <c r="W18" s="286"/>
      <c r="X18" s="286"/>
    </row>
    <row r="19" spans="1:24" s="71" customFormat="1" ht="27" customHeight="1">
      <c r="A19" s="52" t="s">
        <v>212</v>
      </c>
      <c r="B19" s="295" t="s">
        <v>1233</v>
      </c>
      <c r="C19" s="296"/>
      <c r="D19" s="296"/>
      <c r="E19" s="297"/>
      <c r="F19" s="252" t="s">
        <v>202</v>
      </c>
      <c r="G19" s="254">
        <v>200000000</v>
      </c>
      <c r="H19" s="82"/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68">
        <v>3300000</v>
      </c>
      <c r="O19" s="70">
        <v>0</v>
      </c>
      <c r="P19" s="64">
        <f>SUM(N19:O19)</f>
        <v>3300000</v>
      </c>
      <c r="Q19" s="70">
        <v>0</v>
      </c>
      <c r="R19" s="70">
        <v>0</v>
      </c>
      <c r="S19" s="70">
        <v>0</v>
      </c>
      <c r="T19" s="70">
        <v>0</v>
      </c>
      <c r="U19" s="70">
        <f>SUM(Q19:T19)</f>
        <v>0</v>
      </c>
      <c r="V19" s="68">
        <v>3300000</v>
      </c>
      <c r="W19" s="70">
        <v>0</v>
      </c>
      <c r="X19" s="64">
        <f>SUM(V19:W19)</f>
        <v>3300000</v>
      </c>
    </row>
    <row r="20" spans="1:24" ht="31.5" customHeight="1">
      <c r="A20" s="294" t="s">
        <v>213</v>
      </c>
      <c r="B20" s="294"/>
      <c r="C20" s="294"/>
      <c r="D20" s="294"/>
      <c r="E20" s="294"/>
      <c r="F20" s="74"/>
      <c r="G20" s="64"/>
      <c r="H20" s="64"/>
      <c r="I20" s="64">
        <f>SUM(I19)</f>
        <v>0</v>
      </c>
      <c r="J20" s="64">
        <f aca="true" t="shared" si="2" ref="J20:O20">SUM(J19)</f>
        <v>0</v>
      </c>
      <c r="K20" s="64">
        <f t="shared" si="2"/>
        <v>0</v>
      </c>
      <c r="L20" s="64">
        <f t="shared" si="2"/>
        <v>0</v>
      </c>
      <c r="M20" s="64">
        <f t="shared" si="2"/>
        <v>0</v>
      </c>
      <c r="N20" s="64">
        <f t="shared" si="2"/>
        <v>3300000</v>
      </c>
      <c r="O20" s="64">
        <f t="shared" si="2"/>
        <v>0</v>
      </c>
      <c r="P20" s="64">
        <f>SUM(P19:P19)</f>
        <v>3300000</v>
      </c>
      <c r="Q20" s="64">
        <f>SUM(Q18)</f>
        <v>0</v>
      </c>
      <c r="R20" s="64">
        <f>SUM(R18)</f>
        <v>0</v>
      </c>
      <c r="S20" s="64">
        <f>SUM(S18)</f>
        <v>0</v>
      </c>
      <c r="T20" s="64">
        <f>SUM(T18)</f>
        <v>0</v>
      </c>
      <c r="U20" s="64">
        <f>SUM(U18)</f>
        <v>0</v>
      </c>
      <c r="V20" s="64">
        <f>SUM(V18:V19)</f>
        <v>3300000</v>
      </c>
      <c r="W20" s="64">
        <f>SUM(W18:W18)</f>
        <v>0</v>
      </c>
      <c r="X20" s="64">
        <f>SUM(X18:X19)</f>
        <v>3300000</v>
      </c>
    </row>
  </sheetData>
  <sheetProtection selectLockedCells="1" selectUnlockedCells="1"/>
  <mergeCells count="38">
    <mergeCell ref="I16:P16"/>
    <mergeCell ref="V17:V18"/>
    <mergeCell ref="W17:W18"/>
    <mergeCell ref="X17:X18"/>
    <mergeCell ref="I17:M17"/>
    <mergeCell ref="N17:N18"/>
    <mergeCell ref="O17:O18"/>
    <mergeCell ref="P17:P18"/>
    <mergeCell ref="F7:F9"/>
    <mergeCell ref="G7:G9"/>
    <mergeCell ref="H7:H9"/>
    <mergeCell ref="B7:E9"/>
    <mergeCell ref="Q7:X7"/>
    <mergeCell ref="Q8:U8"/>
    <mergeCell ref="V8:V9"/>
    <mergeCell ref="W8:W9"/>
    <mergeCell ref="X8:X9"/>
    <mergeCell ref="P8:P9"/>
    <mergeCell ref="A20:E20"/>
    <mergeCell ref="F16:F18"/>
    <mergeCell ref="G16:G18"/>
    <mergeCell ref="H16:H18"/>
    <mergeCell ref="B10:E10"/>
    <mergeCell ref="B19:E19"/>
    <mergeCell ref="A13:X13"/>
    <mergeCell ref="B16:E18"/>
    <mergeCell ref="Q16:X16"/>
    <mergeCell ref="Q17:U17"/>
    <mergeCell ref="A1:X1"/>
    <mergeCell ref="A3:X3"/>
    <mergeCell ref="A4:X4"/>
    <mergeCell ref="A11:E11"/>
    <mergeCell ref="A16:A18"/>
    <mergeCell ref="I7:P7"/>
    <mergeCell ref="I8:M8"/>
    <mergeCell ref="N8:N9"/>
    <mergeCell ref="O8:O9"/>
    <mergeCell ref="A7:A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H18"/>
  <sheetViews>
    <sheetView view="pageBreakPreview" zoomScale="74" zoomScaleNormal="74" zoomScaleSheetLayoutView="74" zoomScalePageLayoutView="0" workbookViewId="0" topLeftCell="A1">
      <selection activeCell="K25" sqref="K25"/>
    </sheetView>
  </sheetViews>
  <sheetFormatPr defaultColWidth="9.140625" defaultRowHeight="12.75" customHeight="1"/>
  <cols>
    <col min="1" max="1" width="16.00390625" style="83" customWidth="1"/>
    <col min="2" max="2" width="18.140625" style="84" customWidth="1"/>
    <col min="3" max="3" width="12.421875" style="84" customWidth="1"/>
    <col min="4" max="4" width="4.7109375" style="84" customWidth="1"/>
    <col min="5" max="9" width="13.28125" style="84" customWidth="1"/>
    <col min="10" max="10" width="14.57421875" style="84" bestFit="1" customWidth="1"/>
    <col min="11" max="11" width="13.28125" style="84" customWidth="1"/>
    <col min="12" max="13" width="14.57421875" style="84" bestFit="1" customWidth="1"/>
    <col min="14" max="14" width="16.00390625" style="84" bestFit="1" customWidth="1"/>
    <col min="15" max="15" width="14.57421875" style="84" bestFit="1" customWidth="1"/>
    <col min="16" max="16" width="16.00390625" style="84" bestFit="1" customWidth="1"/>
    <col min="17" max="18" width="14.57421875" style="84" bestFit="1" customWidth="1"/>
    <col min="19" max="19" width="16.00390625" style="84" bestFit="1" customWidth="1"/>
    <col min="20" max="20" width="14.57421875" style="84" bestFit="1" customWidth="1"/>
    <col min="21" max="21" width="13.28125" style="84" customWidth="1"/>
    <col min="22" max="22" width="14.57421875" style="84" bestFit="1" customWidth="1"/>
    <col min="23" max="25" width="13.28125" style="84" customWidth="1"/>
    <col min="26" max="26" width="12.7109375" style="84" customWidth="1"/>
    <col min="27" max="27" width="11.57421875" style="84" customWidth="1"/>
    <col min="28" max="29" width="12.7109375" style="84" customWidth="1"/>
    <col min="30" max="30" width="11.57421875" style="84" customWidth="1"/>
    <col min="31" max="32" width="12.7109375" style="84" customWidth="1"/>
    <col min="33" max="33" width="11.57421875" style="84" bestFit="1" customWidth="1"/>
    <col min="34" max="35" width="12.7109375" style="84" customWidth="1"/>
    <col min="36" max="36" width="11.57421875" style="84" customWidth="1"/>
    <col min="37" max="38" width="12.7109375" style="84" customWidth="1"/>
    <col min="39" max="39" width="11.57421875" style="84" customWidth="1"/>
    <col min="40" max="41" width="12.7109375" style="84" customWidth="1"/>
    <col min="42" max="42" width="11.57421875" style="84" customWidth="1"/>
    <col min="43" max="43" width="12.7109375" style="84" customWidth="1"/>
    <col min="44" max="217" width="9.140625" style="84" customWidth="1"/>
  </cols>
  <sheetData>
    <row r="1" spans="1:43" ht="30" customHeight="1">
      <c r="A1" s="318" t="s">
        <v>225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</row>
    <row r="2" spans="1:43" ht="32.25" customHeight="1">
      <c r="A2" s="316" t="s">
        <v>179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</row>
    <row r="3" spans="1:216" ht="29.25" customHeight="1">
      <c r="A3" s="317" t="s">
        <v>226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D3" s="86"/>
      <c r="HE3" s="86"/>
      <c r="HF3" s="86"/>
      <c r="HG3" s="86"/>
      <c r="HH3" s="86"/>
    </row>
    <row r="4" spans="1:216" ht="15.75" customHeight="1">
      <c r="A4" s="87"/>
      <c r="B4" s="87"/>
      <c r="C4" s="87"/>
      <c r="D4" s="87"/>
      <c r="E4" s="87"/>
      <c r="F4" s="87"/>
      <c r="G4" s="87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D4" s="86"/>
      <c r="HE4" s="86"/>
      <c r="HF4" s="86"/>
      <c r="HG4" s="86"/>
      <c r="HH4" s="86"/>
    </row>
    <row r="5" spans="16:43" s="86" customFormat="1" ht="13.5" customHeight="1">
      <c r="P5" s="88"/>
      <c r="Q5" s="88"/>
      <c r="R5" s="88"/>
      <c r="S5" s="88"/>
      <c r="T5" s="88"/>
      <c r="U5" s="88"/>
      <c r="V5" s="88"/>
      <c r="W5" s="88"/>
      <c r="X5" s="88"/>
      <c r="Y5" s="42"/>
      <c r="AK5" s="42"/>
      <c r="AQ5" s="42" t="s">
        <v>1</v>
      </c>
    </row>
    <row r="6" spans="1:43" s="86" customFormat="1" ht="15.75" customHeight="1">
      <c r="A6" s="89" t="s">
        <v>2</v>
      </c>
      <c r="B6" s="89" t="s">
        <v>3</v>
      </c>
      <c r="C6" s="89" t="s">
        <v>4</v>
      </c>
      <c r="D6" s="89" t="s">
        <v>5</v>
      </c>
      <c r="E6" s="89" t="s">
        <v>6</v>
      </c>
      <c r="F6" s="89" t="s">
        <v>7</v>
      </c>
      <c r="G6" s="89" t="s">
        <v>8</v>
      </c>
      <c r="H6" s="89" t="s">
        <v>9</v>
      </c>
      <c r="I6" s="89" t="s">
        <v>10</v>
      </c>
      <c r="J6" s="89" t="s">
        <v>11</v>
      </c>
      <c r="K6" s="89" t="s">
        <v>12</v>
      </c>
      <c r="L6" s="89" t="s">
        <v>13</v>
      </c>
      <c r="M6" s="89" t="s">
        <v>14</v>
      </c>
      <c r="N6" s="89" t="s">
        <v>15</v>
      </c>
      <c r="O6" s="89" t="s">
        <v>16</v>
      </c>
      <c r="P6" s="89" t="s">
        <v>17</v>
      </c>
      <c r="Q6" s="89" t="s">
        <v>18</v>
      </c>
      <c r="R6" s="89" t="s">
        <v>19</v>
      </c>
      <c r="S6" s="89" t="s">
        <v>20</v>
      </c>
      <c r="T6" s="89" t="s">
        <v>21</v>
      </c>
      <c r="U6" s="89" t="s">
        <v>22</v>
      </c>
      <c r="V6" s="89" t="s">
        <v>181</v>
      </c>
      <c r="W6" s="89" t="s">
        <v>182</v>
      </c>
      <c r="X6" s="89" t="s">
        <v>183</v>
      </c>
      <c r="Y6" s="89" t="s">
        <v>184</v>
      </c>
      <c r="Z6" s="89" t="s">
        <v>227</v>
      </c>
      <c r="AA6" s="89" t="s">
        <v>228</v>
      </c>
      <c r="AB6" s="89" t="s">
        <v>229</v>
      </c>
      <c r="AC6" s="89" t="s">
        <v>230</v>
      </c>
      <c r="AD6" s="89" t="s">
        <v>231</v>
      </c>
      <c r="AE6" s="89" t="s">
        <v>232</v>
      </c>
      <c r="AF6" s="89" t="s">
        <v>233</v>
      </c>
      <c r="AG6" s="89" t="s">
        <v>234</v>
      </c>
      <c r="AH6" s="89" t="s">
        <v>235</v>
      </c>
      <c r="AI6" s="89" t="s">
        <v>236</v>
      </c>
      <c r="AJ6" s="89" t="s">
        <v>237</v>
      </c>
      <c r="AK6" s="89" t="s">
        <v>238</v>
      </c>
      <c r="AL6" s="89" t="s">
        <v>239</v>
      </c>
      <c r="AM6" s="89" t="s">
        <v>240</v>
      </c>
      <c r="AN6" s="89" t="s">
        <v>241</v>
      </c>
      <c r="AO6" s="89" t="s">
        <v>242</v>
      </c>
      <c r="AP6" s="89" t="s">
        <v>243</v>
      </c>
      <c r="AQ6" s="89" t="s">
        <v>244</v>
      </c>
    </row>
    <row r="7" spans="1:43" ht="105.75" customHeight="1">
      <c r="A7" s="312" t="s">
        <v>1236</v>
      </c>
      <c r="B7" s="313"/>
      <c r="C7" s="319" t="s">
        <v>188</v>
      </c>
      <c r="D7" s="319" t="s">
        <v>190</v>
      </c>
      <c r="E7" s="310">
        <v>2018</v>
      </c>
      <c r="F7" s="310"/>
      <c r="G7" s="310"/>
      <c r="H7" s="310">
        <v>2019</v>
      </c>
      <c r="I7" s="310"/>
      <c r="J7" s="310"/>
      <c r="K7" s="310">
        <v>2020</v>
      </c>
      <c r="L7" s="310"/>
      <c r="M7" s="310"/>
      <c r="N7" s="310">
        <v>2021</v>
      </c>
      <c r="O7" s="310"/>
      <c r="P7" s="310"/>
      <c r="Q7" s="310">
        <v>2022</v>
      </c>
      <c r="R7" s="310"/>
      <c r="S7" s="310"/>
      <c r="T7" s="310">
        <v>2023</v>
      </c>
      <c r="U7" s="310"/>
      <c r="V7" s="310"/>
      <c r="W7" s="310">
        <v>2024</v>
      </c>
      <c r="X7" s="310"/>
      <c r="Y7" s="310"/>
      <c r="Z7" s="310">
        <v>2025</v>
      </c>
      <c r="AA7" s="310"/>
      <c r="AB7" s="310"/>
      <c r="AC7" s="310">
        <v>2026</v>
      </c>
      <c r="AD7" s="310"/>
      <c r="AE7" s="310"/>
      <c r="AF7" s="310">
        <v>2027</v>
      </c>
      <c r="AG7" s="310"/>
      <c r="AH7" s="310"/>
      <c r="AI7" s="310">
        <v>2028</v>
      </c>
      <c r="AJ7" s="310"/>
      <c r="AK7" s="310"/>
      <c r="AL7" s="310">
        <v>2029</v>
      </c>
      <c r="AM7" s="310"/>
      <c r="AN7" s="310"/>
      <c r="AO7" s="310">
        <v>2030</v>
      </c>
      <c r="AP7" s="310"/>
      <c r="AQ7" s="310"/>
    </row>
    <row r="8" spans="1:43" ht="15" customHeight="1">
      <c r="A8" s="314"/>
      <c r="B8" s="315"/>
      <c r="C8" s="320"/>
      <c r="D8" s="320"/>
      <c r="E8" s="90" t="s">
        <v>245</v>
      </c>
      <c r="F8" s="90" t="s">
        <v>246</v>
      </c>
      <c r="G8" s="90" t="s">
        <v>247</v>
      </c>
      <c r="H8" s="90" t="s">
        <v>245</v>
      </c>
      <c r="I8" s="90" t="s">
        <v>246</v>
      </c>
      <c r="J8" s="90" t="s">
        <v>247</v>
      </c>
      <c r="K8" s="90" t="s">
        <v>245</v>
      </c>
      <c r="L8" s="90" t="s">
        <v>246</v>
      </c>
      <c r="M8" s="90" t="s">
        <v>247</v>
      </c>
      <c r="N8" s="90" t="s">
        <v>245</v>
      </c>
      <c r="O8" s="90" t="s">
        <v>246</v>
      </c>
      <c r="P8" s="90" t="s">
        <v>247</v>
      </c>
      <c r="Q8" s="90" t="s">
        <v>245</v>
      </c>
      <c r="R8" s="90" t="s">
        <v>246</v>
      </c>
      <c r="S8" s="90" t="s">
        <v>247</v>
      </c>
      <c r="T8" s="90" t="s">
        <v>245</v>
      </c>
      <c r="U8" s="90" t="s">
        <v>246</v>
      </c>
      <c r="V8" s="90" t="s">
        <v>247</v>
      </c>
      <c r="W8" s="90" t="s">
        <v>245</v>
      </c>
      <c r="X8" s="90" t="s">
        <v>246</v>
      </c>
      <c r="Y8" s="90" t="s">
        <v>247</v>
      </c>
      <c r="Z8" s="90" t="s">
        <v>245</v>
      </c>
      <c r="AA8" s="90" t="s">
        <v>246</v>
      </c>
      <c r="AB8" s="90" t="s">
        <v>247</v>
      </c>
      <c r="AC8" s="90" t="s">
        <v>245</v>
      </c>
      <c r="AD8" s="90" t="s">
        <v>246</v>
      </c>
      <c r="AE8" s="90" t="s">
        <v>247</v>
      </c>
      <c r="AF8" s="90" t="s">
        <v>245</v>
      </c>
      <c r="AG8" s="90" t="s">
        <v>246</v>
      </c>
      <c r="AH8" s="90" t="s">
        <v>247</v>
      </c>
      <c r="AI8" s="90" t="s">
        <v>245</v>
      </c>
      <c r="AJ8" s="90" t="s">
        <v>246</v>
      </c>
      <c r="AK8" s="90" t="s">
        <v>247</v>
      </c>
      <c r="AL8" s="90" t="s">
        <v>245</v>
      </c>
      <c r="AM8" s="90" t="s">
        <v>246</v>
      </c>
      <c r="AN8" s="90" t="s">
        <v>247</v>
      </c>
      <c r="AO8" s="90" t="s">
        <v>245</v>
      </c>
      <c r="AP8" s="90" t="s">
        <v>246</v>
      </c>
      <c r="AQ8" s="90" t="s">
        <v>247</v>
      </c>
    </row>
    <row r="9" spans="1:43" s="85" customFormat="1" ht="18" customHeight="1">
      <c r="A9" s="278" t="s">
        <v>248</v>
      </c>
      <c r="B9" s="278"/>
      <c r="C9" s="278"/>
      <c r="D9" s="50"/>
      <c r="E9" s="91">
        <f>SUM(E10:E13)</f>
        <v>280000000</v>
      </c>
      <c r="F9" s="91">
        <f aca="true" t="shared" si="0" ref="F9:AQ9">SUM(F10:F13)</f>
        <v>68460000</v>
      </c>
      <c r="G9" s="91">
        <f t="shared" si="0"/>
        <v>348460000</v>
      </c>
      <c r="H9" s="91">
        <f t="shared" si="0"/>
        <v>580000000</v>
      </c>
      <c r="I9" s="91">
        <f t="shared" si="0"/>
        <v>246281250</v>
      </c>
      <c r="J9" s="91">
        <f t="shared" si="0"/>
        <v>826281250</v>
      </c>
      <c r="K9" s="91">
        <f t="shared" si="0"/>
        <v>580000000</v>
      </c>
      <c r="L9" s="91">
        <f t="shared" si="0"/>
        <v>349487500</v>
      </c>
      <c r="M9" s="91">
        <f t="shared" si="0"/>
        <v>929487500</v>
      </c>
      <c r="N9" s="91">
        <f t="shared" si="0"/>
        <v>28710000000</v>
      </c>
      <c r="O9" s="91">
        <f t="shared" si="0"/>
        <v>334435000</v>
      </c>
      <c r="P9" s="91">
        <f t="shared" si="0"/>
        <v>29044435000</v>
      </c>
      <c r="Q9" s="91">
        <f t="shared" si="0"/>
        <v>8550000000</v>
      </c>
      <c r="R9" s="91">
        <f t="shared" si="0"/>
        <v>174906875</v>
      </c>
      <c r="S9" s="91">
        <f t="shared" si="0"/>
        <v>8724906875</v>
      </c>
      <c r="T9" s="91">
        <f t="shared" si="0"/>
        <v>8550000000</v>
      </c>
      <c r="U9" s="91">
        <f t="shared" si="0"/>
        <v>120578750</v>
      </c>
      <c r="V9" s="91">
        <f t="shared" si="0"/>
        <v>8670578750</v>
      </c>
      <c r="W9" s="91">
        <f t="shared" si="0"/>
        <v>550000000</v>
      </c>
      <c r="X9" s="91">
        <f t="shared" si="0"/>
        <v>66995000</v>
      </c>
      <c r="Y9" s="91">
        <f t="shared" si="0"/>
        <v>616995000</v>
      </c>
      <c r="Z9" s="91">
        <f t="shared" si="0"/>
        <v>550000000</v>
      </c>
      <c r="AA9" s="91">
        <f t="shared" si="0"/>
        <v>55214219</v>
      </c>
      <c r="AB9" s="91">
        <f t="shared" si="0"/>
        <v>605214219</v>
      </c>
      <c r="AC9" s="91">
        <f t="shared" si="0"/>
        <v>550000000</v>
      </c>
      <c r="AD9" s="91">
        <f t="shared" si="0"/>
        <v>44897500</v>
      </c>
      <c r="AE9" s="91">
        <f t="shared" si="0"/>
        <v>594897500</v>
      </c>
      <c r="AF9" s="91">
        <f t="shared" si="0"/>
        <v>550000000</v>
      </c>
      <c r="AG9" s="91">
        <f t="shared" si="0"/>
        <v>33266250</v>
      </c>
      <c r="AH9" s="91">
        <f t="shared" si="0"/>
        <v>583266250</v>
      </c>
      <c r="AI9" s="91">
        <f t="shared" si="0"/>
        <v>550000000</v>
      </c>
      <c r="AJ9" s="91">
        <f t="shared" si="0"/>
        <v>21800000</v>
      </c>
      <c r="AK9" s="91">
        <f t="shared" si="0"/>
        <v>571800000</v>
      </c>
      <c r="AL9" s="91">
        <f t="shared" si="0"/>
        <v>250000000</v>
      </c>
      <c r="AM9" s="91">
        <f t="shared" si="0"/>
        <v>12210000</v>
      </c>
      <c r="AN9" s="91">
        <f t="shared" si="0"/>
        <v>262210000</v>
      </c>
      <c r="AO9" s="91">
        <f t="shared" si="0"/>
        <v>250000000</v>
      </c>
      <c r="AP9" s="91">
        <f t="shared" si="0"/>
        <v>4681875</v>
      </c>
      <c r="AQ9" s="91">
        <f t="shared" si="0"/>
        <v>254681875</v>
      </c>
    </row>
    <row r="10" spans="1:43" s="86" customFormat="1" ht="36.75" customHeight="1">
      <c r="A10" s="311" t="s">
        <v>249</v>
      </c>
      <c r="B10" s="311"/>
      <c r="C10" s="54" t="s">
        <v>250</v>
      </c>
      <c r="D10" s="55" t="s">
        <v>202</v>
      </c>
      <c r="E10" s="92">
        <v>280000000</v>
      </c>
      <c r="F10" s="92">
        <v>11000000</v>
      </c>
      <c r="G10" s="64">
        <f>SUM(E10:F10)</f>
        <v>291000000</v>
      </c>
      <c r="H10" s="92">
        <v>280000000</v>
      </c>
      <c r="I10" s="92">
        <v>15000000</v>
      </c>
      <c r="J10" s="64">
        <f>SUM(H10:I10)</f>
        <v>295000000</v>
      </c>
      <c r="K10" s="92">
        <v>280000000</v>
      </c>
      <c r="L10" s="92">
        <v>8000000</v>
      </c>
      <c r="M10" s="64">
        <f>SUM(K10:L10)</f>
        <v>288000000</v>
      </c>
      <c r="N10" s="92">
        <v>160000000</v>
      </c>
      <c r="O10" s="92">
        <v>2000000</v>
      </c>
      <c r="P10" s="64">
        <f>SUM(N10:O10)</f>
        <v>162000000</v>
      </c>
      <c r="Q10" s="92">
        <v>0</v>
      </c>
      <c r="R10" s="92">
        <v>0</v>
      </c>
      <c r="S10" s="64">
        <v>0</v>
      </c>
      <c r="T10" s="92">
        <v>0</v>
      </c>
      <c r="U10" s="92">
        <v>0</v>
      </c>
      <c r="V10" s="64">
        <v>0</v>
      </c>
      <c r="W10" s="92">
        <v>0</v>
      </c>
      <c r="X10" s="92">
        <v>0</v>
      </c>
      <c r="Y10" s="64">
        <v>0</v>
      </c>
      <c r="Z10" s="92">
        <v>0</v>
      </c>
      <c r="AA10" s="92">
        <v>0</v>
      </c>
      <c r="AB10" s="64">
        <v>0</v>
      </c>
      <c r="AC10" s="92">
        <v>0</v>
      </c>
      <c r="AD10" s="92">
        <v>0</v>
      </c>
      <c r="AE10" s="64">
        <v>0</v>
      </c>
      <c r="AF10" s="92">
        <v>0</v>
      </c>
      <c r="AG10" s="92">
        <v>0</v>
      </c>
      <c r="AH10" s="64">
        <v>0</v>
      </c>
      <c r="AI10" s="92">
        <v>0</v>
      </c>
      <c r="AJ10" s="92">
        <v>0</v>
      </c>
      <c r="AK10" s="64">
        <v>0</v>
      </c>
      <c r="AL10" s="92">
        <v>0</v>
      </c>
      <c r="AM10" s="92">
        <v>0</v>
      </c>
      <c r="AN10" s="64">
        <f>SUM(AL10:AM10)</f>
        <v>0</v>
      </c>
      <c r="AO10" s="92">
        <v>0</v>
      </c>
      <c r="AP10" s="92">
        <v>0</v>
      </c>
      <c r="AQ10" s="64">
        <v>0</v>
      </c>
    </row>
    <row r="11" spans="1:43" s="86" customFormat="1" ht="36.75" customHeight="1">
      <c r="A11" s="311" t="s">
        <v>865</v>
      </c>
      <c r="B11" s="311"/>
      <c r="C11" s="54" t="s">
        <v>251</v>
      </c>
      <c r="D11" s="55" t="s">
        <v>202</v>
      </c>
      <c r="E11" s="92">
        <v>0</v>
      </c>
      <c r="F11" s="92">
        <v>33000000</v>
      </c>
      <c r="G11" s="64">
        <f>SUM(E11:F11)</f>
        <v>33000000</v>
      </c>
      <c r="H11" s="92">
        <v>300000000</v>
      </c>
      <c r="I11" s="92">
        <v>36000000</v>
      </c>
      <c r="J11" s="64">
        <f>SUM(H11:I11)</f>
        <v>336000000</v>
      </c>
      <c r="K11" s="92">
        <v>300000000</v>
      </c>
      <c r="L11" s="92">
        <v>33000000</v>
      </c>
      <c r="M11" s="64">
        <f>SUM(K11:L11)</f>
        <v>333000000</v>
      </c>
      <c r="N11" s="92">
        <v>300000000</v>
      </c>
      <c r="O11" s="92">
        <v>28000000</v>
      </c>
      <c r="P11" s="64">
        <f>SUM(N11:O11)</f>
        <v>328000000</v>
      </c>
      <c r="Q11" s="92">
        <v>300000000</v>
      </c>
      <c r="R11" s="92">
        <v>25000000</v>
      </c>
      <c r="S11" s="64">
        <f>SUM(Q11:R11)</f>
        <v>325000000</v>
      </c>
      <c r="T11" s="92">
        <v>300000000</v>
      </c>
      <c r="U11" s="92">
        <v>21000000</v>
      </c>
      <c r="V11" s="64">
        <f>SUM(T11:U11)</f>
        <v>321000000</v>
      </c>
      <c r="W11" s="92">
        <v>300000000</v>
      </c>
      <c r="X11" s="92">
        <v>17000000</v>
      </c>
      <c r="Y11" s="64">
        <f>SUM(W11:X11)</f>
        <v>317000000</v>
      </c>
      <c r="Z11" s="92">
        <v>300000000</v>
      </c>
      <c r="AA11" s="92">
        <v>13000000</v>
      </c>
      <c r="AB11" s="64">
        <f>SUM(Z11:AA11)</f>
        <v>313000000</v>
      </c>
      <c r="AC11" s="92">
        <v>300000000</v>
      </c>
      <c r="AD11" s="92">
        <v>10000000</v>
      </c>
      <c r="AE11" s="64">
        <f>SUM(AC11:AD11)</f>
        <v>310000000</v>
      </c>
      <c r="AF11" s="92">
        <v>300000000</v>
      </c>
      <c r="AG11" s="92">
        <v>6000000</v>
      </c>
      <c r="AH11" s="64">
        <f>SUM(AF11:AG11)</f>
        <v>306000000</v>
      </c>
      <c r="AI11" s="92">
        <v>300000000</v>
      </c>
      <c r="AJ11" s="92">
        <v>2000000</v>
      </c>
      <c r="AK11" s="64">
        <f>SUM(AI11:AJ11)</f>
        <v>302000000</v>
      </c>
      <c r="AL11" s="92">
        <v>0</v>
      </c>
      <c r="AM11" s="92">
        <v>0</v>
      </c>
      <c r="AN11" s="64">
        <f>SUM(AL11:AM11)</f>
        <v>0</v>
      </c>
      <c r="AO11" s="92">
        <v>0</v>
      </c>
      <c r="AP11" s="92">
        <v>0</v>
      </c>
      <c r="AQ11" s="64">
        <f aca="true" t="shared" si="1" ref="AQ11:AQ17">SUM(AO11:AP11)</f>
        <v>0</v>
      </c>
    </row>
    <row r="12" spans="1:43" s="86" customFormat="1" ht="36.75" customHeight="1">
      <c r="A12" s="311" t="s">
        <v>1237</v>
      </c>
      <c r="B12" s="311"/>
      <c r="C12" s="54" t="s">
        <v>1018</v>
      </c>
      <c r="D12" s="55" t="s">
        <v>202</v>
      </c>
      <c r="E12" s="92">
        <v>0</v>
      </c>
      <c r="F12" s="92">
        <v>1000000</v>
      </c>
      <c r="G12" s="64">
        <f>SUM(E12:F12)</f>
        <v>1000000</v>
      </c>
      <c r="H12" s="92">
        <v>0</v>
      </c>
      <c r="I12" s="92">
        <v>75281250</v>
      </c>
      <c r="J12" s="64">
        <f>SUM(H12:I12)</f>
        <v>75281250</v>
      </c>
      <c r="K12" s="92">
        <v>0</v>
      </c>
      <c r="L12" s="92">
        <v>75487500</v>
      </c>
      <c r="M12" s="64">
        <f>SUM(K12:L12)</f>
        <v>75487500</v>
      </c>
      <c r="N12" s="92">
        <v>250000000</v>
      </c>
      <c r="O12" s="92">
        <v>72435000</v>
      </c>
      <c r="P12" s="64">
        <f>SUM(N12:O12)</f>
        <v>322435000</v>
      </c>
      <c r="Q12" s="92">
        <v>250000000</v>
      </c>
      <c r="R12" s="92">
        <v>64906875</v>
      </c>
      <c r="S12" s="64">
        <f>SUM(Q12:R12)</f>
        <v>314906875</v>
      </c>
      <c r="T12" s="92">
        <v>250000000</v>
      </c>
      <c r="U12" s="92">
        <v>57378750</v>
      </c>
      <c r="V12" s="64">
        <f>SUM(T12:U12)</f>
        <v>307378750</v>
      </c>
      <c r="W12" s="92">
        <v>250000000</v>
      </c>
      <c r="X12" s="92">
        <v>49995000</v>
      </c>
      <c r="Y12" s="64">
        <f>SUM(W12:X12)</f>
        <v>299995000</v>
      </c>
      <c r="Z12" s="92">
        <v>250000000</v>
      </c>
      <c r="AA12" s="92">
        <v>42214219</v>
      </c>
      <c r="AB12" s="64">
        <f>SUM(Z12:AA12)</f>
        <v>292214219</v>
      </c>
      <c r="AC12" s="92">
        <v>250000000</v>
      </c>
      <c r="AD12" s="92">
        <v>34897500</v>
      </c>
      <c r="AE12" s="64">
        <f>SUM(AC12:AD12)</f>
        <v>284897500</v>
      </c>
      <c r="AF12" s="92">
        <v>250000000</v>
      </c>
      <c r="AG12" s="92">
        <v>27266250</v>
      </c>
      <c r="AH12" s="64">
        <f>SUM(AF12:AG12)</f>
        <v>277266250</v>
      </c>
      <c r="AI12" s="92">
        <v>250000000</v>
      </c>
      <c r="AJ12" s="92">
        <v>19800000</v>
      </c>
      <c r="AK12" s="64">
        <f>SUM(AI12:AJ12)</f>
        <v>269800000</v>
      </c>
      <c r="AL12" s="92">
        <v>250000000</v>
      </c>
      <c r="AM12" s="92">
        <v>12210000</v>
      </c>
      <c r="AN12" s="64">
        <f>SUM(AL12:AM12)</f>
        <v>262210000</v>
      </c>
      <c r="AO12" s="92">
        <v>250000000</v>
      </c>
      <c r="AP12" s="92">
        <v>4681875</v>
      </c>
      <c r="AQ12" s="64">
        <f>SUM(AO12:AP12)</f>
        <v>254681875</v>
      </c>
    </row>
    <row r="13" spans="1:43" s="86" customFormat="1" ht="36.75" customHeight="1">
      <c r="A13" s="311" t="s">
        <v>1249</v>
      </c>
      <c r="B13" s="311"/>
      <c r="C13" s="54" t="s">
        <v>1018</v>
      </c>
      <c r="D13" s="55" t="s">
        <v>202</v>
      </c>
      <c r="E13" s="92">
        <v>0</v>
      </c>
      <c r="F13" s="92">
        <v>23460000</v>
      </c>
      <c r="G13" s="64">
        <f>SUM(E13:F13)</f>
        <v>23460000</v>
      </c>
      <c r="H13" s="92">
        <v>0</v>
      </c>
      <c r="I13" s="92">
        <v>120000000</v>
      </c>
      <c r="J13" s="64">
        <f>SUM(H13:I13)</f>
        <v>120000000</v>
      </c>
      <c r="K13" s="92">
        <v>0</v>
      </c>
      <c r="L13" s="92">
        <v>233000000</v>
      </c>
      <c r="M13" s="64">
        <f>SUM(K13:L13)</f>
        <v>233000000</v>
      </c>
      <c r="N13" s="92">
        <v>28000000000</v>
      </c>
      <c r="O13" s="92">
        <v>232000000</v>
      </c>
      <c r="P13" s="64">
        <f>SUM(N13:O13)</f>
        <v>28232000000</v>
      </c>
      <c r="Q13" s="92">
        <v>8000000000</v>
      </c>
      <c r="R13" s="92">
        <v>85000000</v>
      </c>
      <c r="S13" s="64">
        <f>SUM(Q13:R13)</f>
        <v>8085000000</v>
      </c>
      <c r="T13" s="92">
        <v>8000000000</v>
      </c>
      <c r="U13" s="92">
        <v>42200000</v>
      </c>
      <c r="V13" s="64">
        <f>SUM(T13:U13)</f>
        <v>8042200000</v>
      </c>
      <c r="W13" s="92">
        <v>0</v>
      </c>
      <c r="X13" s="92">
        <v>0</v>
      </c>
      <c r="Y13" s="64">
        <f>SUM(W13:X13)</f>
        <v>0</v>
      </c>
      <c r="Z13" s="92">
        <v>0</v>
      </c>
      <c r="AA13" s="92">
        <v>0</v>
      </c>
      <c r="AB13" s="64">
        <f>SUM(Z13:AA13)</f>
        <v>0</v>
      </c>
      <c r="AC13" s="92">
        <v>0</v>
      </c>
      <c r="AD13" s="92">
        <v>0</v>
      </c>
      <c r="AE13" s="64">
        <f>SUM(AC13:AD13)</f>
        <v>0</v>
      </c>
      <c r="AF13" s="92">
        <v>0</v>
      </c>
      <c r="AG13" s="92">
        <v>0</v>
      </c>
      <c r="AH13" s="64">
        <f>SUM(AF13:AG13)</f>
        <v>0</v>
      </c>
      <c r="AI13" s="92">
        <v>0</v>
      </c>
      <c r="AJ13" s="92">
        <v>0</v>
      </c>
      <c r="AK13" s="64">
        <f>SUM(AI13:AJ13)</f>
        <v>0</v>
      </c>
      <c r="AL13" s="92">
        <v>0</v>
      </c>
      <c r="AM13" s="92">
        <v>0</v>
      </c>
      <c r="AN13" s="64">
        <f>SUM(AL13:AM13)</f>
        <v>0</v>
      </c>
      <c r="AO13" s="92">
        <v>0</v>
      </c>
      <c r="AP13" s="92">
        <v>0</v>
      </c>
      <c r="AQ13" s="64">
        <f>SUM(AO13:AP13)</f>
        <v>0</v>
      </c>
    </row>
    <row r="14" spans="1:43" s="86" customFormat="1" ht="18" customHeight="1">
      <c r="A14" s="278" t="s">
        <v>252</v>
      </c>
      <c r="B14" s="278"/>
      <c r="C14" s="278"/>
      <c r="D14" s="50"/>
      <c r="E14" s="59">
        <v>0</v>
      </c>
      <c r="F14" s="59">
        <f>SUM(F15)</f>
        <v>14000000</v>
      </c>
      <c r="G14" s="59">
        <f>SUM(G15)</f>
        <v>14000000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64">
        <f t="shared" si="1"/>
        <v>0</v>
      </c>
    </row>
    <row r="15" spans="1:43" s="86" customFormat="1" ht="36.75" customHeight="1">
      <c r="A15" s="54" t="s">
        <v>204</v>
      </c>
      <c r="B15" s="53" t="s">
        <v>253</v>
      </c>
      <c r="C15" s="93"/>
      <c r="D15" s="55" t="s">
        <v>202</v>
      </c>
      <c r="E15" s="94">
        <v>0</v>
      </c>
      <c r="F15" s="94">
        <v>14000000</v>
      </c>
      <c r="G15" s="64">
        <f>SUM(E15:F15)</f>
        <v>14000000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64">
        <f t="shared" si="1"/>
        <v>0</v>
      </c>
    </row>
    <row r="16" spans="1:43" s="85" customFormat="1" ht="18" customHeight="1">
      <c r="A16" s="278" t="s">
        <v>254</v>
      </c>
      <c r="B16" s="278"/>
      <c r="C16" s="278"/>
      <c r="D16" s="65"/>
      <c r="E16" s="91">
        <f aca="true" t="shared" si="2" ref="E16:Y16">SUM(E17:E17)</f>
        <v>21000000</v>
      </c>
      <c r="F16" s="91">
        <f t="shared" si="2"/>
        <v>3300000</v>
      </c>
      <c r="G16" s="91">
        <f t="shared" si="2"/>
        <v>24300000</v>
      </c>
      <c r="H16" s="91">
        <f t="shared" si="2"/>
        <v>21000000</v>
      </c>
      <c r="I16" s="91">
        <f t="shared" si="2"/>
        <v>4316000</v>
      </c>
      <c r="J16" s="91">
        <f t="shared" si="2"/>
        <v>25316000</v>
      </c>
      <c r="K16" s="91">
        <f t="shared" si="2"/>
        <v>21000000</v>
      </c>
      <c r="L16" s="91">
        <f t="shared" si="2"/>
        <v>3594000</v>
      </c>
      <c r="M16" s="91">
        <f t="shared" si="2"/>
        <v>24594000</v>
      </c>
      <c r="N16" s="91">
        <f t="shared" si="2"/>
        <v>21000000</v>
      </c>
      <c r="O16" s="91">
        <f t="shared" si="2"/>
        <v>2853000</v>
      </c>
      <c r="P16" s="91">
        <f t="shared" si="2"/>
        <v>23853000</v>
      </c>
      <c r="Q16" s="91">
        <f t="shared" si="2"/>
        <v>21000000</v>
      </c>
      <c r="R16" s="91">
        <f t="shared" si="2"/>
        <v>2123000</v>
      </c>
      <c r="S16" s="91">
        <f t="shared" si="2"/>
        <v>23123000</v>
      </c>
      <c r="T16" s="91">
        <f t="shared" si="2"/>
        <v>21000000</v>
      </c>
      <c r="U16" s="91">
        <f t="shared" si="2"/>
        <v>1393000</v>
      </c>
      <c r="V16" s="91">
        <f t="shared" si="2"/>
        <v>22393000</v>
      </c>
      <c r="W16" s="91">
        <f t="shared" si="2"/>
        <v>21000000</v>
      </c>
      <c r="X16" s="91">
        <f t="shared" si="2"/>
        <v>666000</v>
      </c>
      <c r="Y16" s="91">
        <f t="shared" si="2"/>
        <v>21666000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64">
        <f t="shared" si="1"/>
        <v>0</v>
      </c>
    </row>
    <row r="17" spans="1:43" s="84" customFormat="1" ht="36.75" customHeight="1">
      <c r="A17" s="307" t="s">
        <v>1238</v>
      </c>
      <c r="B17" s="308"/>
      <c r="C17" s="309"/>
      <c r="D17" s="67" t="s">
        <v>202</v>
      </c>
      <c r="E17" s="95">
        <v>21000000</v>
      </c>
      <c r="F17" s="95">
        <v>3300000</v>
      </c>
      <c r="G17" s="64">
        <f>SUM(E17:F17)</f>
        <v>24300000</v>
      </c>
      <c r="H17" s="95">
        <v>21000000</v>
      </c>
      <c r="I17" s="95">
        <v>4316000</v>
      </c>
      <c r="J17" s="64">
        <f>SUM(H17:I17)</f>
        <v>25316000</v>
      </c>
      <c r="K17" s="95">
        <v>21000000</v>
      </c>
      <c r="L17" s="95">
        <v>3594000</v>
      </c>
      <c r="M17" s="64">
        <f>SUM(K17:L17)</f>
        <v>24594000</v>
      </c>
      <c r="N17" s="95">
        <v>21000000</v>
      </c>
      <c r="O17" s="95">
        <v>2853000</v>
      </c>
      <c r="P17" s="64">
        <f>SUM(N17:O17)</f>
        <v>23853000</v>
      </c>
      <c r="Q17" s="95">
        <v>21000000</v>
      </c>
      <c r="R17" s="95">
        <v>2123000</v>
      </c>
      <c r="S17" s="64">
        <f>SUM(Q17:R17)</f>
        <v>23123000</v>
      </c>
      <c r="T17" s="95">
        <v>21000000</v>
      </c>
      <c r="U17" s="95">
        <v>1393000</v>
      </c>
      <c r="V17" s="64">
        <f>SUM(T17:U17)</f>
        <v>22393000</v>
      </c>
      <c r="W17" s="95">
        <v>21000000</v>
      </c>
      <c r="X17" s="95">
        <v>666000</v>
      </c>
      <c r="Y17" s="64">
        <f>SUM(W17:X17)</f>
        <v>21666000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64">
        <f t="shared" si="1"/>
        <v>0</v>
      </c>
    </row>
    <row r="18" spans="1:43" s="84" customFormat="1" ht="18" customHeight="1">
      <c r="A18" s="281" t="s">
        <v>255</v>
      </c>
      <c r="B18" s="281"/>
      <c r="C18" s="281"/>
      <c r="D18" s="74"/>
      <c r="E18" s="64">
        <f aca="true" t="shared" si="3" ref="E18:AM18">E16+E9+E14</f>
        <v>301000000</v>
      </c>
      <c r="F18" s="64">
        <f t="shared" si="3"/>
        <v>85760000</v>
      </c>
      <c r="G18" s="64">
        <f t="shared" si="3"/>
        <v>386760000</v>
      </c>
      <c r="H18" s="64">
        <f t="shared" si="3"/>
        <v>601000000</v>
      </c>
      <c r="I18" s="64">
        <f t="shared" si="3"/>
        <v>250597250</v>
      </c>
      <c r="J18" s="64">
        <f t="shared" si="3"/>
        <v>851597250</v>
      </c>
      <c r="K18" s="64">
        <f t="shared" si="3"/>
        <v>601000000</v>
      </c>
      <c r="L18" s="64">
        <f t="shared" si="3"/>
        <v>353081500</v>
      </c>
      <c r="M18" s="64">
        <f t="shared" si="3"/>
        <v>954081500</v>
      </c>
      <c r="N18" s="64">
        <f t="shared" si="3"/>
        <v>28731000000</v>
      </c>
      <c r="O18" s="64">
        <f t="shared" si="3"/>
        <v>337288000</v>
      </c>
      <c r="P18" s="64">
        <f t="shared" si="3"/>
        <v>29068288000</v>
      </c>
      <c r="Q18" s="64">
        <f t="shared" si="3"/>
        <v>8571000000</v>
      </c>
      <c r="R18" s="64">
        <f t="shared" si="3"/>
        <v>177029875</v>
      </c>
      <c r="S18" s="64">
        <f t="shared" si="3"/>
        <v>8748029875</v>
      </c>
      <c r="T18" s="64">
        <f t="shared" si="3"/>
        <v>8571000000</v>
      </c>
      <c r="U18" s="64">
        <f t="shared" si="3"/>
        <v>121971750</v>
      </c>
      <c r="V18" s="64">
        <f t="shared" si="3"/>
        <v>8692971750</v>
      </c>
      <c r="W18" s="64">
        <f t="shared" si="3"/>
        <v>571000000</v>
      </c>
      <c r="X18" s="64">
        <f t="shared" si="3"/>
        <v>67661000</v>
      </c>
      <c r="Y18" s="64">
        <f t="shared" si="3"/>
        <v>638661000</v>
      </c>
      <c r="Z18" s="64">
        <f t="shared" si="3"/>
        <v>550000000</v>
      </c>
      <c r="AA18" s="64">
        <f t="shared" si="3"/>
        <v>55214219</v>
      </c>
      <c r="AB18" s="64">
        <f t="shared" si="3"/>
        <v>605214219</v>
      </c>
      <c r="AC18" s="64">
        <f t="shared" si="3"/>
        <v>550000000</v>
      </c>
      <c r="AD18" s="64">
        <f t="shared" si="3"/>
        <v>44897500</v>
      </c>
      <c r="AE18" s="64">
        <f t="shared" si="3"/>
        <v>594897500</v>
      </c>
      <c r="AF18" s="64">
        <f t="shared" si="3"/>
        <v>550000000</v>
      </c>
      <c r="AG18" s="64">
        <f t="shared" si="3"/>
        <v>33266250</v>
      </c>
      <c r="AH18" s="64">
        <f t="shared" si="3"/>
        <v>583266250</v>
      </c>
      <c r="AI18" s="64">
        <f t="shared" si="3"/>
        <v>550000000</v>
      </c>
      <c r="AJ18" s="64">
        <f t="shared" si="3"/>
        <v>21800000</v>
      </c>
      <c r="AK18" s="64">
        <f t="shared" si="3"/>
        <v>571800000</v>
      </c>
      <c r="AL18" s="64">
        <f t="shared" si="3"/>
        <v>250000000</v>
      </c>
      <c r="AM18" s="64">
        <f t="shared" si="3"/>
        <v>12210000</v>
      </c>
      <c r="AN18" s="64">
        <f>AN16+AN9+AN14</f>
        <v>262210000</v>
      </c>
      <c r="AO18" s="64">
        <f>AO16+AO9+AO14</f>
        <v>250000000</v>
      </c>
      <c r="AP18" s="64">
        <f>AP16+AP9+AP14</f>
        <v>4681875</v>
      </c>
      <c r="AQ18" s="64">
        <f>AQ16+AQ9+AQ14</f>
        <v>254681875</v>
      </c>
    </row>
  </sheetData>
  <sheetProtection selectLockedCells="1" selectUnlockedCells="1"/>
  <mergeCells count="28">
    <mergeCell ref="D7:D8"/>
    <mergeCell ref="C7:C8"/>
    <mergeCell ref="E7:G7"/>
    <mergeCell ref="H7:J7"/>
    <mergeCell ref="AL7:AN7"/>
    <mergeCell ref="N7:P7"/>
    <mergeCell ref="Q7:S7"/>
    <mergeCell ref="K7:M7"/>
    <mergeCell ref="A2:AQ2"/>
    <mergeCell ref="A3:AQ3"/>
    <mergeCell ref="A1:AQ1"/>
    <mergeCell ref="AO7:AQ7"/>
    <mergeCell ref="A18:C18"/>
    <mergeCell ref="A10:B10"/>
    <mergeCell ref="A11:B11"/>
    <mergeCell ref="A14:C14"/>
    <mergeCell ref="A16:C16"/>
    <mergeCell ref="A12:B12"/>
    <mergeCell ref="A17:C17"/>
    <mergeCell ref="AF7:AH7"/>
    <mergeCell ref="AI7:AK7"/>
    <mergeCell ref="A13:B13"/>
    <mergeCell ref="A7:B8"/>
    <mergeCell ref="T7:V7"/>
    <mergeCell ref="W7:Y7"/>
    <mergeCell ref="Z7:AB7"/>
    <mergeCell ref="AC7:AE7"/>
    <mergeCell ref="A9:C9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0"/>
  <sheetViews>
    <sheetView view="pageBreakPreview" zoomScale="60" zoomScaleNormal="7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U1"/>
    </sheetView>
  </sheetViews>
  <sheetFormatPr defaultColWidth="9.140625" defaultRowHeight="12.75"/>
  <cols>
    <col min="1" max="1" width="5.140625" style="96" customWidth="1"/>
    <col min="2" max="2" width="9.8515625" style="96" customWidth="1"/>
    <col min="3" max="3" width="39.8515625" style="96" customWidth="1"/>
    <col min="4" max="4" width="23.57421875" style="96" customWidth="1"/>
    <col min="5" max="6" width="14.57421875" style="96" customWidth="1"/>
    <col min="7" max="7" width="19.7109375" style="96" customWidth="1"/>
    <col min="8" max="8" width="14.57421875" style="96" customWidth="1"/>
    <col min="9" max="9" width="21.28125" style="96" customWidth="1"/>
    <col min="10" max="10" width="20.28125" style="96" customWidth="1"/>
    <col min="11" max="12" width="14.57421875" style="96" customWidth="1"/>
    <col min="13" max="13" width="23.57421875" style="96" customWidth="1"/>
    <col min="14" max="15" width="16.7109375" style="96" customWidth="1"/>
    <col min="16" max="16" width="19.421875" style="96" customWidth="1"/>
    <col min="17" max="21" width="16.7109375" style="96" customWidth="1"/>
    <col min="22" max="16384" width="9.140625" style="96" customWidth="1"/>
  </cols>
  <sheetData>
    <row r="1" spans="1:21" ht="15.75" customHeight="1">
      <c r="A1" s="321" t="s">
        <v>1255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1" ht="15.75" customHeight="1">
      <c r="A2" s="322" t="s">
        <v>1052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1" ht="18" customHeight="1">
      <c r="A3" s="323" t="s">
        <v>256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1" ht="15" customHeight="1">
      <c r="A4" s="324" t="s">
        <v>257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</row>
    <row r="5" spans="1:21" ht="14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241"/>
      <c r="M5" s="97"/>
      <c r="N5" s="97"/>
      <c r="O5" s="97"/>
      <c r="P5" s="97"/>
      <c r="Q5" s="97"/>
      <c r="R5" s="97"/>
      <c r="S5" s="97"/>
      <c r="T5" s="97"/>
      <c r="U5" s="3" t="s">
        <v>1</v>
      </c>
    </row>
    <row r="6" spans="1:21" ht="12.7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4" t="s">
        <v>15</v>
      </c>
      <c r="O6" s="6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327" t="s">
        <v>24</v>
      </c>
      <c r="B7" s="327" t="s">
        <v>185</v>
      </c>
      <c r="C7" s="274" t="s">
        <v>25</v>
      </c>
      <c r="D7" s="265" t="s">
        <v>853</v>
      </c>
      <c r="E7" s="325" t="s">
        <v>26</v>
      </c>
      <c r="F7" s="325"/>
      <c r="G7" s="325"/>
      <c r="H7" s="325"/>
      <c r="I7" s="325"/>
      <c r="J7" s="325"/>
      <c r="K7" s="325"/>
      <c r="L7" s="325"/>
      <c r="M7" s="265" t="s">
        <v>1049</v>
      </c>
      <c r="N7" s="325" t="s">
        <v>1047</v>
      </c>
      <c r="O7" s="325"/>
      <c r="P7" s="325"/>
      <c r="Q7" s="325"/>
      <c r="R7" s="325"/>
      <c r="S7" s="325"/>
      <c r="T7" s="325"/>
      <c r="U7" s="325"/>
    </row>
    <row r="8" spans="1:21" ht="12.75" customHeight="1">
      <c r="A8" s="327"/>
      <c r="B8" s="327"/>
      <c r="C8" s="274"/>
      <c r="D8" s="274"/>
      <c r="E8" s="267" t="s">
        <v>27</v>
      </c>
      <c r="F8" s="267"/>
      <c r="G8" s="267"/>
      <c r="H8" s="267"/>
      <c r="I8" s="267"/>
      <c r="J8" s="267" t="s">
        <v>28</v>
      </c>
      <c r="K8" s="267"/>
      <c r="L8" s="267"/>
      <c r="M8" s="274"/>
      <c r="N8" s="267" t="s">
        <v>27</v>
      </c>
      <c r="O8" s="267"/>
      <c r="P8" s="267"/>
      <c r="Q8" s="267"/>
      <c r="R8" s="267"/>
      <c r="S8" s="267" t="s">
        <v>28</v>
      </c>
      <c r="T8" s="267"/>
      <c r="U8" s="267"/>
    </row>
    <row r="9" spans="1:21" ht="89.25">
      <c r="A9" s="327"/>
      <c r="B9" s="327"/>
      <c r="C9" s="274"/>
      <c r="D9" s="27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52</v>
      </c>
      <c r="B10" s="12"/>
      <c r="C10" s="99" t="s">
        <v>40</v>
      </c>
      <c r="D10" s="100">
        <f>SUM(E10:L10)</f>
        <v>2337433222</v>
      </c>
      <c r="E10" s="101">
        <f aca="true" t="shared" si="0" ref="E10:L10">SUM(E11:E32)</f>
        <v>0</v>
      </c>
      <c r="F10" s="101">
        <f t="shared" si="0"/>
        <v>0</v>
      </c>
      <c r="G10" s="101">
        <f t="shared" si="0"/>
        <v>2256433222</v>
      </c>
      <c r="H10" s="101">
        <f t="shared" si="0"/>
        <v>0</v>
      </c>
      <c r="I10" s="101">
        <f t="shared" si="0"/>
        <v>76000000</v>
      </c>
      <c r="J10" s="101">
        <f t="shared" si="0"/>
        <v>5000000</v>
      </c>
      <c r="K10" s="101">
        <f t="shared" si="0"/>
        <v>0</v>
      </c>
      <c r="L10" s="101">
        <f t="shared" si="0"/>
        <v>0</v>
      </c>
      <c r="M10" s="100">
        <f>SUM(N10:U10)</f>
        <v>2748556322</v>
      </c>
      <c r="N10" s="101">
        <f>SUM(N11:N32)</f>
        <v>0</v>
      </c>
      <c r="O10" s="101">
        <f aca="true" t="shared" si="1" ref="O10:U10">SUM(O11:O32)</f>
        <v>0</v>
      </c>
      <c r="P10" s="101">
        <f t="shared" si="1"/>
        <v>2623857934</v>
      </c>
      <c r="Q10" s="101">
        <f t="shared" si="1"/>
        <v>0</v>
      </c>
      <c r="R10" s="101">
        <f t="shared" si="1"/>
        <v>87792823</v>
      </c>
      <c r="S10" s="101">
        <f t="shared" si="1"/>
        <v>36905565</v>
      </c>
      <c r="T10" s="101">
        <f t="shared" si="1"/>
        <v>0</v>
      </c>
      <c r="U10" s="101">
        <f t="shared" si="1"/>
        <v>0</v>
      </c>
    </row>
    <row r="11" spans="1:21" ht="18">
      <c r="A11" s="12"/>
      <c r="B11" s="12" t="s">
        <v>258</v>
      </c>
      <c r="C11" s="102" t="s">
        <v>259</v>
      </c>
      <c r="D11" s="103">
        <f aca="true" t="shared" si="2" ref="D11:D32">SUM(E11:L11)</f>
        <v>26000000</v>
      </c>
      <c r="E11" s="104">
        <v>0</v>
      </c>
      <c r="F11" s="104">
        <v>0</v>
      </c>
      <c r="G11" s="104">
        <v>26000000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3">
        <f aca="true" t="shared" si="3" ref="M11:M32">SUM(N11:U11)</f>
        <v>25765033</v>
      </c>
      <c r="N11" s="104">
        <v>0</v>
      </c>
      <c r="O11" s="104">
        <v>0</v>
      </c>
      <c r="P11" s="104">
        <f>26015033-250000</f>
        <v>25765033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</row>
    <row r="12" spans="1:21" ht="18">
      <c r="A12" s="12"/>
      <c r="B12" s="12" t="s">
        <v>260</v>
      </c>
      <c r="C12" s="102" t="s">
        <v>261</v>
      </c>
      <c r="D12" s="103">
        <f t="shared" si="2"/>
        <v>18000000</v>
      </c>
      <c r="E12" s="104">
        <v>0</v>
      </c>
      <c r="F12" s="104">
        <v>0</v>
      </c>
      <c r="G12" s="104">
        <v>18000000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3">
        <f t="shared" si="3"/>
        <v>19709964</v>
      </c>
      <c r="N12" s="104">
        <v>0</v>
      </c>
      <c r="O12" s="104">
        <v>0</v>
      </c>
      <c r="P12" s="104">
        <v>19709964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</row>
    <row r="13" spans="1:21" ht="30">
      <c r="A13" s="12"/>
      <c r="B13" s="12" t="s">
        <v>262</v>
      </c>
      <c r="C13" s="102" t="s">
        <v>263</v>
      </c>
      <c r="D13" s="103">
        <f t="shared" si="2"/>
        <v>35000000</v>
      </c>
      <c r="E13" s="104">
        <v>0</v>
      </c>
      <c r="F13" s="104">
        <v>0</v>
      </c>
      <c r="G13" s="104">
        <v>35000000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3">
        <f t="shared" si="3"/>
        <v>49455869</v>
      </c>
      <c r="N13" s="104">
        <v>0</v>
      </c>
      <c r="O13" s="104">
        <v>0</v>
      </c>
      <c r="P13" s="104">
        <f>47029172-1100000+3526697</f>
        <v>49455869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</row>
    <row r="14" spans="1:21" ht="18">
      <c r="A14" s="12"/>
      <c r="B14" s="12" t="s">
        <v>264</v>
      </c>
      <c r="C14" s="102" t="s">
        <v>265</v>
      </c>
      <c r="D14" s="103">
        <f t="shared" si="2"/>
        <v>15000000</v>
      </c>
      <c r="E14" s="104">
        <v>0</v>
      </c>
      <c r="F14" s="104">
        <v>0</v>
      </c>
      <c r="G14" s="104">
        <v>15000000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3">
        <f t="shared" si="3"/>
        <v>15015562</v>
      </c>
      <c r="N14" s="104">
        <v>0</v>
      </c>
      <c r="O14" s="104">
        <v>0</v>
      </c>
      <c r="P14" s="104">
        <v>15015562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</row>
    <row r="15" spans="1:21" ht="18">
      <c r="A15" s="12"/>
      <c r="B15" s="12" t="s">
        <v>266</v>
      </c>
      <c r="C15" s="102" t="s">
        <v>267</v>
      </c>
      <c r="D15" s="103">
        <f t="shared" si="2"/>
        <v>4000000</v>
      </c>
      <c r="E15" s="104">
        <v>0</v>
      </c>
      <c r="F15" s="104">
        <v>0</v>
      </c>
      <c r="G15" s="104">
        <v>4000000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3">
        <f t="shared" si="3"/>
        <v>4192448</v>
      </c>
      <c r="N15" s="104">
        <v>0</v>
      </c>
      <c r="O15" s="104">
        <v>0</v>
      </c>
      <c r="P15" s="104">
        <f>4239776-47328</f>
        <v>4192448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</row>
    <row r="16" spans="1:21" ht="18">
      <c r="A16" s="12"/>
      <c r="B16" s="12" t="s">
        <v>268</v>
      </c>
      <c r="C16" s="102" t="s">
        <v>269</v>
      </c>
      <c r="D16" s="103">
        <f t="shared" si="2"/>
        <v>10000000</v>
      </c>
      <c r="E16" s="104">
        <v>0</v>
      </c>
      <c r="F16" s="104">
        <v>0</v>
      </c>
      <c r="G16" s="104">
        <v>10000000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3">
        <f t="shared" si="3"/>
        <v>2814955</v>
      </c>
      <c r="N16" s="104">
        <v>0</v>
      </c>
      <c r="O16" s="104">
        <v>0</v>
      </c>
      <c r="P16" s="104">
        <f>11176020-6160020-2201045</f>
        <v>2814955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</row>
    <row r="17" spans="1:21" ht="60">
      <c r="A17" s="12"/>
      <c r="B17" s="12" t="s">
        <v>270</v>
      </c>
      <c r="C17" s="102" t="s">
        <v>271</v>
      </c>
      <c r="D17" s="103">
        <f t="shared" si="2"/>
        <v>10000000</v>
      </c>
      <c r="E17" s="104">
        <v>0</v>
      </c>
      <c r="F17" s="104">
        <v>0</v>
      </c>
      <c r="G17" s="104">
        <v>10000000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3">
        <f t="shared" si="3"/>
        <v>50119525</v>
      </c>
      <c r="N17" s="104">
        <v>0</v>
      </c>
      <c r="O17" s="104">
        <v>0</v>
      </c>
      <c r="P17" s="104">
        <f>17119525+33000000-33845500</f>
        <v>16274025</v>
      </c>
      <c r="Q17" s="104">
        <v>0</v>
      </c>
      <c r="R17" s="104">
        <v>0</v>
      </c>
      <c r="S17" s="104">
        <f>0+33845500</f>
        <v>33845500</v>
      </c>
      <c r="T17" s="104">
        <v>0</v>
      </c>
      <c r="U17" s="104">
        <v>0</v>
      </c>
    </row>
    <row r="18" spans="1:21" ht="30">
      <c r="A18" s="12"/>
      <c r="B18" s="12" t="s">
        <v>272</v>
      </c>
      <c r="C18" s="19" t="s">
        <v>988</v>
      </c>
      <c r="D18" s="103">
        <f t="shared" si="2"/>
        <v>76000000</v>
      </c>
      <c r="E18" s="104">
        <v>0</v>
      </c>
      <c r="F18" s="104">
        <v>0</v>
      </c>
      <c r="G18" s="104">
        <v>0</v>
      </c>
      <c r="H18" s="104">
        <v>0</v>
      </c>
      <c r="I18" s="104">
        <v>76000000</v>
      </c>
      <c r="J18" s="104">
        <v>0</v>
      </c>
      <c r="K18" s="104">
        <v>0</v>
      </c>
      <c r="L18" s="105">
        <v>0</v>
      </c>
      <c r="M18" s="103">
        <f t="shared" si="3"/>
        <v>87792823</v>
      </c>
      <c r="N18" s="104">
        <v>0</v>
      </c>
      <c r="O18" s="104">
        <v>0</v>
      </c>
      <c r="P18" s="104">
        <v>0</v>
      </c>
      <c r="Q18" s="104">
        <v>0</v>
      </c>
      <c r="R18" s="104">
        <f>80746221-4700000-46221+11592823+200000</f>
        <v>87792823</v>
      </c>
      <c r="S18" s="104">
        <v>0</v>
      </c>
      <c r="T18" s="104">
        <v>0</v>
      </c>
      <c r="U18" s="105">
        <v>0</v>
      </c>
    </row>
    <row r="19" spans="1:21" ht="18">
      <c r="A19" s="12"/>
      <c r="B19" s="12" t="s">
        <v>273</v>
      </c>
      <c r="C19" s="102" t="s">
        <v>274</v>
      </c>
      <c r="D19" s="103">
        <f t="shared" si="2"/>
        <v>595000000</v>
      </c>
      <c r="E19" s="104">
        <v>0</v>
      </c>
      <c r="F19" s="104">
        <v>0</v>
      </c>
      <c r="G19" s="104">
        <v>595000000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3">
        <f t="shared" si="3"/>
        <v>611575253</v>
      </c>
      <c r="N19" s="104">
        <v>0</v>
      </c>
      <c r="O19" s="104">
        <v>0</v>
      </c>
      <c r="P19" s="104">
        <v>611575253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</row>
    <row r="20" spans="1:21" ht="18">
      <c r="A20" s="12"/>
      <c r="B20" s="12" t="s">
        <v>275</v>
      </c>
      <c r="C20" s="102" t="s">
        <v>276</v>
      </c>
      <c r="D20" s="103">
        <f t="shared" si="2"/>
        <v>18000000</v>
      </c>
      <c r="E20" s="104">
        <v>0</v>
      </c>
      <c r="F20" s="104">
        <v>0</v>
      </c>
      <c r="G20" s="104">
        <v>18000000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3">
        <f t="shared" si="3"/>
        <v>20888683</v>
      </c>
      <c r="N20" s="104">
        <v>0</v>
      </c>
      <c r="O20" s="104">
        <v>0</v>
      </c>
      <c r="P20" s="104">
        <v>20888683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</row>
    <row r="21" spans="1:21" ht="30">
      <c r="A21" s="12"/>
      <c r="B21" s="12" t="s">
        <v>277</v>
      </c>
      <c r="C21" s="102" t="s">
        <v>278</v>
      </c>
      <c r="D21" s="103">
        <f t="shared" si="2"/>
        <v>10000000</v>
      </c>
      <c r="E21" s="104">
        <v>0</v>
      </c>
      <c r="F21" s="104">
        <v>0</v>
      </c>
      <c r="G21" s="104">
        <v>10000000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3">
        <f t="shared" si="3"/>
        <v>6976872</v>
      </c>
      <c r="N21" s="104">
        <v>0</v>
      </c>
      <c r="O21" s="104">
        <v>0</v>
      </c>
      <c r="P21" s="104">
        <f>17000000-7023128-3000000</f>
        <v>6976872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</row>
    <row r="22" spans="1:21" ht="30">
      <c r="A22" s="12"/>
      <c r="B22" s="12" t="s">
        <v>279</v>
      </c>
      <c r="C22" s="107" t="s">
        <v>282</v>
      </c>
      <c r="D22" s="103">
        <f t="shared" si="2"/>
        <v>15000000</v>
      </c>
      <c r="E22" s="104">
        <v>0</v>
      </c>
      <c r="F22" s="104">
        <v>0</v>
      </c>
      <c r="G22" s="104">
        <v>10000000</v>
      </c>
      <c r="H22" s="104">
        <v>0</v>
      </c>
      <c r="I22" s="104">
        <v>0</v>
      </c>
      <c r="J22" s="104">
        <v>5000000</v>
      </c>
      <c r="K22" s="104">
        <v>0</v>
      </c>
      <c r="L22" s="104">
        <v>0</v>
      </c>
      <c r="M22" s="103">
        <f t="shared" si="3"/>
        <v>15833553</v>
      </c>
      <c r="N22" s="104">
        <v>0</v>
      </c>
      <c r="O22" s="104">
        <v>0</v>
      </c>
      <c r="P22" s="104">
        <f>14723631+2500000-1390078</f>
        <v>15833553</v>
      </c>
      <c r="Q22" s="104">
        <v>0</v>
      </c>
      <c r="R22" s="104">
        <v>0</v>
      </c>
      <c r="S22" s="104">
        <f>5000000-2500000-2500000</f>
        <v>0</v>
      </c>
      <c r="T22" s="104">
        <v>0</v>
      </c>
      <c r="U22" s="104">
        <v>0</v>
      </c>
    </row>
    <row r="23" spans="1:21" ht="18">
      <c r="A23" s="12"/>
      <c r="B23" s="12" t="s">
        <v>281</v>
      </c>
      <c r="C23" s="107" t="s">
        <v>286</v>
      </c>
      <c r="D23" s="103">
        <f t="shared" si="2"/>
        <v>100000000</v>
      </c>
      <c r="E23" s="104">
        <v>0</v>
      </c>
      <c r="F23" s="104">
        <v>0</v>
      </c>
      <c r="G23" s="104">
        <v>100000000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3">
        <f t="shared" si="3"/>
        <v>179425830</v>
      </c>
      <c r="N23" s="104">
        <v>0</v>
      </c>
      <c r="O23" s="104">
        <v>0</v>
      </c>
      <c r="P23" s="104">
        <f>156316959+12000000+11144871-36000</f>
        <v>179425830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</row>
    <row r="24" spans="1:21" ht="18">
      <c r="A24" s="12"/>
      <c r="B24" s="12" t="s">
        <v>283</v>
      </c>
      <c r="C24" s="108" t="s">
        <v>288</v>
      </c>
      <c r="D24" s="103">
        <f t="shared" si="2"/>
        <v>300000000</v>
      </c>
      <c r="E24" s="104">
        <v>0</v>
      </c>
      <c r="F24" s="104">
        <v>0</v>
      </c>
      <c r="G24" s="104">
        <v>300000000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3">
        <f t="shared" si="3"/>
        <v>339341810</v>
      </c>
      <c r="N24" s="104">
        <v>0</v>
      </c>
      <c r="O24" s="104">
        <v>0</v>
      </c>
      <c r="P24" s="104">
        <f>323112548+2500000+15600000-2500000+629262</f>
        <v>339341810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</row>
    <row r="25" spans="1:21" ht="18">
      <c r="A25" s="12"/>
      <c r="B25" s="12" t="s">
        <v>285</v>
      </c>
      <c r="C25" s="107" t="s">
        <v>290</v>
      </c>
      <c r="D25" s="103">
        <f t="shared" si="2"/>
        <v>50000000</v>
      </c>
      <c r="E25" s="104">
        <v>0</v>
      </c>
      <c r="F25" s="104">
        <v>0</v>
      </c>
      <c r="G25" s="104">
        <v>50000000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3">
        <f t="shared" si="3"/>
        <v>50010242</v>
      </c>
      <c r="N25" s="104">
        <v>0</v>
      </c>
      <c r="O25" s="104">
        <v>0</v>
      </c>
      <c r="P25" s="104">
        <v>50010242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</row>
    <row r="26" spans="1:21" ht="18">
      <c r="A26" s="12"/>
      <c r="B26" s="12" t="s">
        <v>287</v>
      </c>
      <c r="C26" s="107" t="s">
        <v>292</v>
      </c>
      <c r="D26" s="103">
        <f t="shared" si="2"/>
        <v>57000000</v>
      </c>
      <c r="E26" s="104">
        <v>0</v>
      </c>
      <c r="F26" s="104">
        <v>0</v>
      </c>
      <c r="G26" s="104">
        <v>57000000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3">
        <f t="shared" si="3"/>
        <v>85493368</v>
      </c>
      <c r="N26" s="104">
        <v>0</v>
      </c>
      <c r="O26" s="104">
        <v>0</v>
      </c>
      <c r="P26" s="104">
        <f>75618282+6000000-1480000+5355086</f>
        <v>85493368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</row>
    <row r="27" spans="1:21" ht="18">
      <c r="A27" s="12"/>
      <c r="B27" s="12" t="s">
        <v>289</v>
      </c>
      <c r="C27" s="107" t="s">
        <v>294</v>
      </c>
      <c r="D27" s="103">
        <f t="shared" si="2"/>
        <v>70000000</v>
      </c>
      <c r="E27" s="104">
        <v>0</v>
      </c>
      <c r="F27" s="104">
        <v>0</v>
      </c>
      <c r="G27" s="104">
        <v>70000000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3">
        <f t="shared" si="3"/>
        <v>90312086</v>
      </c>
      <c r="N27" s="104">
        <v>0</v>
      </c>
      <c r="O27" s="104">
        <v>0</v>
      </c>
      <c r="P27" s="104">
        <f>70021536+20290550</f>
        <v>90312086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</row>
    <row r="28" spans="1:21" ht="30">
      <c r="A28" s="12"/>
      <c r="B28" s="12" t="s">
        <v>291</v>
      </c>
      <c r="C28" s="107" t="s">
        <v>880</v>
      </c>
      <c r="D28" s="103">
        <f t="shared" si="2"/>
        <v>35000000</v>
      </c>
      <c r="E28" s="104">
        <v>0</v>
      </c>
      <c r="F28" s="104">
        <v>0</v>
      </c>
      <c r="G28" s="104">
        <v>35000000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3">
        <f t="shared" si="3"/>
        <v>40105743</v>
      </c>
      <c r="N28" s="104">
        <v>0</v>
      </c>
      <c r="O28" s="104">
        <v>0</v>
      </c>
      <c r="P28" s="104">
        <v>40105743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</row>
    <row r="29" spans="1:21" ht="30">
      <c r="A29" s="12"/>
      <c r="B29" s="12" t="s">
        <v>293</v>
      </c>
      <c r="C29" s="107" t="s">
        <v>297</v>
      </c>
      <c r="D29" s="103">
        <f t="shared" si="2"/>
        <v>7000000</v>
      </c>
      <c r="E29" s="104">
        <v>0</v>
      </c>
      <c r="F29" s="104">
        <v>0</v>
      </c>
      <c r="G29" s="104">
        <v>7000000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3">
        <f t="shared" si="3"/>
        <v>8406294</v>
      </c>
      <c r="N29" s="104">
        <v>0</v>
      </c>
      <c r="O29" s="104">
        <v>0</v>
      </c>
      <c r="P29" s="104">
        <f>8406294-558800</f>
        <v>7847494</v>
      </c>
      <c r="Q29" s="104">
        <v>0</v>
      </c>
      <c r="R29" s="104">
        <v>0</v>
      </c>
      <c r="S29" s="104">
        <f>0+558800</f>
        <v>558800</v>
      </c>
      <c r="T29" s="104">
        <v>0</v>
      </c>
      <c r="U29" s="104">
        <v>0</v>
      </c>
    </row>
    <row r="30" spans="1:21" ht="18">
      <c r="A30" s="12"/>
      <c r="B30" s="12" t="s">
        <v>295</v>
      </c>
      <c r="C30" s="107" t="s">
        <v>987</v>
      </c>
      <c r="D30" s="103">
        <f t="shared" si="2"/>
        <v>8000000</v>
      </c>
      <c r="E30" s="104">
        <v>0</v>
      </c>
      <c r="F30" s="104">
        <v>0</v>
      </c>
      <c r="G30" s="104">
        <v>8000000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3">
        <f t="shared" si="3"/>
        <v>6752514</v>
      </c>
      <c r="N30" s="104">
        <v>0</v>
      </c>
      <c r="O30" s="104">
        <v>0</v>
      </c>
      <c r="P30" s="104">
        <f>8000000-1500000-1390015-228600-303905-361950-375761+932180-520700</f>
        <v>4251249</v>
      </c>
      <c r="Q30" s="104">
        <v>0</v>
      </c>
      <c r="R30" s="104">
        <v>0</v>
      </c>
      <c r="S30" s="104">
        <f>0+1390015+228600+361950+520700</f>
        <v>2501265</v>
      </c>
      <c r="T30" s="104">
        <v>0</v>
      </c>
      <c r="U30" s="104">
        <v>0</v>
      </c>
    </row>
    <row r="31" spans="1:21" ht="30">
      <c r="A31" s="12"/>
      <c r="B31" s="12" t="s">
        <v>296</v>
      </c>
      <c r="C31" s="109" t="s">
        <v>299</v>
      </c>
      <c r="D31" s="103">
        <f t="shared" si="2"/>
        <v>777856000</v>
      </c>
      <c r="E31" s="104">
        <v>0</v>
      </c>
      <c r="F31" s="104">
        <v>0</v>
      </c>
      <c r="G31" s="104">
        <v>777856000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3">
        <f t="shared" si="3"/>
        <v>832870673</v>
      </c>
      <c r="N31" s="104">
        <v>0</v>
      </c>
      <c r="O31" s="104">
        <v>0</v>
      </c>
      <c r="P31" s="104">
        <f>777856000+55014673</f>
        <v>832870673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</row>
    <row r="32" spans="1:21" ht="18">
      <c r="A32" s="12"/>
      <c r="B32" s="12" t="s">
        <v>298</v>
      </c>
      <c r="C32" s="109" t="s">
        <v>834</v>
      </c>
      <c r="D32" s="103">
        <f t="shared" si="2"/>
        <v>100577222</v>
      </c>
      <c r="E32" s="104">
        <v>0</v>
      </c>
      <c r="F32" s="104">
        <v>0</v>
      </c>
      <c r="G32" s="104">
        <v>100577222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3">
        <f t="shared" si="3"/>
        <v>205697222</v>
      </c>
      <c r="N32" s="104">
        <v>0</v>
      </c>
      <c r="O32" s="104">
        <v>0</v>
      </c>
      <c r="P32" s="104">
        <f>100577222+14560000+355000+3065000+245000+140000+85630000+55000+140000+930000</f>
        <v>205697222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</row>
    <row r="33" spans="1:21" ht="18">
      <c r="A33" s="12" t="s">
        <v>53</v>
      </c>
      <c r="B33" s="12"/>
      <c r="C33" s="99" t="s">
        <v>42</v>
      </c>
      <c r="D33" s="100">
        <f>SUM(E33:L33)</f>
        <v>302000000</v>
      </c>
      <c r="E33" s="101">
        <f>SUM(E34:E47)</f>
        <v>0</v>
      </c>
      <c r="F33" s="101">
        <f aca="true" t="shared" si="4" ref="F33:L33">SUM(F34:F47)</f>
        <v>0</v>
      </c>
      <c r="G33" s="101">
        <f t="shared" si="4"/>
        <v>249000000</v>
      </c>
      <c r="H33" s="101">
        <f t="shared" si="4"/>
        <v>0</v>
      </c>
      <c r="I33" s="101">
        <f t="shared" si="4"/>
        <v>0</v>
      </c>
      <c r="J33" s="101">
        <f t="shared" si="4"/>
        <v>53000000</v>
      </c>
      <c r="K33" s="101">
        <f t="shared" si="4"/>
        <v>0</v>
      </c>
      <c r="L33" s="101">
        <f t="shared" si="4"/>
        <v>0</v>
      </c>
      <c r="M33" s="100">
        <f>SUM(N33:U33)</f>
        <v>267230007</v>
      </c>
      <c r="N33" s="101">
        <f>SUM(N34:N47)</f>
        <v>0</v>
      </c>
      <c r="O33" s="101">
        <f aca="true" t="shared" si="5" ref="O33:U33">SUM(O34:O47)</f>
        <v>0</v>
      </c>
      <c r="P33" s="101">
        <f t="shared" si="5"/>
        <v>235438738</v>
      </c>
      <c r="Q33" s="101">
        <f t="shared" si="5"/>
        <v>0</v>
      </c>
      <c r="R33" s="101">
        <f t="shared" si="5"/>
        <v>0</v>
      </c>
      <c r="S33" s="101">
        <f t="shared" si="5"/>
        <v>31791269</v>
      </c>
      <c r="T33" s="101">
        <f t="shared" si="5"/>
        <v>0</v>
      </c>
      <c r="U33" s="101">
        <f t="shared" si="5"/>
        <v>0</v>
      </c>
    </row>
    <row r="34" spans="1:21" ht="18">
      <c r="A34" s="12"/>
      <c r="B34" s="12" t="s">
        <v>300</v>
      </c>
      <c r="C34" s="102" t="s">
        <v>301</v>
      </c>
      <c r="D34" s="103">
        <f aca="true" t="shared" si="6" ref="D34:D47">SUM(E34:L34)</f>
        <v>155000000</v>
      </c>
      <c r="E34" s="104">
        <v>0</v>
      </c>
      <c r="F34" s="104">
        <v>0</v>
      </c>
      <c r="G34" s="104">
        <v>155000000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3">
        <f aca="true" t="shared" si="7" ref="M34:M47">SUM(N34:U34)</f>
        <v>155000000</v>
      </c>
      <c r="N34" s="104">
        <v>0</v>
      </c>
      <c r="O34" s="104">
        <v>0</v>
      </c>
      <c r="P34" s="104">
        <v>155000000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</row>
    <row r="35" spans="1:21" ht="19.5" customHeight="1">
      <c r="A35" s="12"/>
      <c r="B35" s="12" t="s">
        <v>302</v>
      </c>
      <c r="C35" s="106" t="s">
        <v>303</v>
      </c>
      <c r="D35" s="103">
        <f t="shared" si="6"/>
        <v>6000000</v>
      </c>
      <c r="E35" s="104">
        <v>0</v>
      </c>
      <c r="F35" s="104">
        <v>0</v>
      </c>
      <c r="G35" s="104">
        <v>6000000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3">
        <f t="shared" si="7"/>
        <v>1232459</v>
      </c>
      <c r="N35" s="104">
        <v>0</v>
      </c>
      <c r="O35" s="104">
        <v>0</v>
      </c>
      <c r="P35" s="104">
        <f>6758825-5500000-91440-26366</f>
        <v>1141019</v>
      </c>
      <c r="Q35" s="104">
        <v>0</v>
      </c>
      <c r="R35" s="104">
        <v>0</v>
      </c>
      <c r="S35" s="104">
        <f>0+91440</f>
        <v>91440</v>
      </c>
      <c r="T35" s="104">
        <v>0</v>
      </c>
      <c r="U35" s="104">
        <v>0</v>
      </c>
    </row>
    <row r="36" spans="1:21" ht="19.5" customHeight="1">
      <c r="A36" s="12"/>
      <c r="B36" s="12" t="s">
        <v>304</v>
      </c>
      <c r="C36" s="106" t="s">
        <v>305</v>
      </c>
      <c r="D36" s="103">
        <f t="shared" si="6"/>
        <v>20000000</v>
      </c>
      <c r="E36" s="104">
        <v>0</v>
      </c>
      <c r="F36" s="104">
        <v>0</v>
      </c>
      <c r="G36" s="104">
        <v>20000000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3">
        <f t="shared" si="7"/>
        <v>19812000</v>
      </c>
      <c r="N36" s="104">
        <f>762000+762000-762000-762000</f>
        <v>0</v>
      </c>
      <c r="O36" s="104">
        <f>205740+205740-205740-205740</f>
        <v>0</v>
      </c>
      <c r="P36" s="104">
        <f>20000000-967740+967740-188000</f>
        <v>19812000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</row>
    <row r="37" spans="1:21" ht="30">
      <c r="A37" s="12"/>
      <c r="B37" s="12" t="s">
        <v>306</v>
      </c>
      <c r="C37" s="106" t="s">
        <v>307</v>
      </c>
      <c r="D37" s="103">
        <f t="shared" si="6"/>
        <v>3000000</v>
      </c>
      <c r="E37" s="104">
        <v>0</v>
      </c>
      <c r="F37" s="104">
        <v>0</v>
      </c>
      <c r="G37" s="104">
        <v>3000000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3">
        <f t="shared" si="7"/>
        <v>2061210</v>
      </c>
      <c r="N37" s="104">
        <v>0</v>
      </c>
      <c r="O37" s="104">
        <v>0</v>
      </c>
      <c r="P37" s="104">
        <f>3000000-938790</f>
        <v>2061210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</row>
    <row r="38" spans="1:21" ht="18">
      <c r="A38" s="12"/>
      <c r="B38" s="12" t="s">
        <v>308</v>
      </c>
      <c r="C38" s="107" t="s">
        <v>309</v>
      </c>
      <c r="D38" s="103">
        <f t="shared" si="6"/>
        <v>10000000</v>
      </c>
      <c r="E38" s="104">
        <v>0</v>
      </c>
      <c r="F38" s="104">
        <v>0</v>
      </c>
      <c r="G38" s="104">
        <v>10000000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3">
        <f t="shared" si="7"/>
        <v>10000298</v>
      </c>
      <c r="N38" s="104">
        <v>0</v>
      </c>
      <c r="O38" s="104">
        <v>0</v>
      </c>
      <c r="P38" s="104">
        <f>10009843-9545</f>
        <v>10000298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</row>
    <row r="39" spans="1:21" ht="19.5" customHeight="1">
      <c r="A39" s="12"/>
      <c r="B39" s="12" t="s">
        <v>310</v>
      </c>
      <c r="C39" s="106" t="s">
        <v>311</v>
      </c>
      <c r="D39" s="103">
        <f t="shared" si="6"/>
        <v>30000000</v>
      </c>
      <c r="E39" s="104">
        <v>0</v>
      </c>
      <c r="F39" s="104">
        <v>0</v>
      </c>
      <c r="G39" s="104">
        <v>30000000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3">
        <f t="shared" si="7"/>
        <v>15849600</v>
      </c>
      <c r="N39" s="104">
        <v>0</v>
      </c>
      <c r="O39" s="104">
        <v>0</v>
      </c>
      <c r="P39" s="104">
        <f>31765300-13290550-2625150</f>
        <v>15849600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</row>
    <row r="40" spans="1:21" ht="19.5" customHeight="1">
      <c r="A40" s="12"/>
      <c r="B40" s="12" t="s">
        <v>312</v>
      </c>
      <c r="C40" s="106" t="s">
        <v>313</v>
      </c>
      <c r="D40" s="103">
        <f t="shared" si="6"/>
        <v>15000000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15000000</v>
      </c>
      <c r="K40" s="104">
        <v>0</v>
      </c>
      <c r="L40" s="104">
        <v>0</v>
      </c>
      <c r="M40" s="103">
        <f t="shared" si="7"/>
        <v>15000000</v>
      </c>
      <c r="N40" s="104">
        <v>0</v>
      </c>
      <c r="O40" s="104">
        <v>0</v>
      </c>
      <c r="P40" s="104">
        <f>0+15000000</f>
        <v>15000000</v>
      </c>
      <c r="Q40" s="104">
        <v>0</v>
      </c>
      <c r="R40" s="104">
        <v>0</v>
      </c>
      <c r="S40" s="104">
        <f>15000000-15000000</f>
        <v>0</v>
      </c>
      <c r="T40" s="104">
        <v>0</v>
      </c>
      <c r="U40" s="104">
        <v>0</v>
      </c>
    </row>
    <row r="41" spans="1:21" ht="18">
      <c r="A41" s="12"/>
      <c r="B41" s="12" t="s">
        <v>314</v>
      </c>
      <c r="C41" s="106" t="s">
        <v>315</v>
      </c>
      <c r="D41" s="103">
        <f t="shared" si="6"/>
        <v>10000000</v>
      </c>
      <c r="E41" s="104">
        <v>0</v>
      </c>
      <c r="F41" s="104">
        <v>0</v>
      </c>
      <c r="G41" s="104">
        <v>10000000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3">
        <f t="shared" si="7"/>
        <v>5819480</v>
      </c>
      <c r="N41" s="104">
        <v>0</v>
      </c>
      <c r="O41" s="104">
        <v>0</v>
      </c>
      <c r="P41" s="104">
        <f>10924566-4900000-5105086</f>
        <v>919480</v>
      </c>
      <c r="Q41" s="104">
        <v>0</v>
      </c>
      <c r="R41" s="104">
        <v>0</v>
      </c>
      <c r="S41" s="104">
        <f>0+4900000</f>
        <v>4900000</v>
      </c>
      <c r="T41" s="104">
        <v>0</v>
      </c>
      <c r="U41" s="104">
        <v>0</v>
      </c>
    </row>
    <row r="42" spans="1:21" ht="30">
      <c r="A42" s="12"/>
      <c r="B42" s="12" t="s">
        <v>316</v>
      </c>
      <c r="C42" s="106" t="s">
        <v>317</v>
      </c>
      <c r="D42" s="103">
        <f t="shared" si="6"/>
        <v>5000000</v>
      </c>
      <c r="E42" s="104">
        <v>0</v>
      </c>
      <c r="F42" s="104">
        <v>0</v>
      </c>
      <c r="G42" s="104">
        <v>5000000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3">
        <f t="shared" si="7"/>
        <v>2713</v>
      </c>
      <c r="N42" s="104">
        <v>0</v>
      </c>
      <c r="O42" s="104">
        <v>0</v>
      </c>
      <c r="P42" s="104">
        <f>5002713-5000000</f>
        <v>2713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</row>
    <row r="43" spans="1:21" ht="19.5" customHeight="1">
      <c r="A43" s="12"/>
      <c r="B43" s="12" t="s">
        <v>318</v>
      </c>
      <c r="C43" s="106" t="s">
        <v>319</v>
      </c>
      <c r="D43" s="103">
        <f t="shared" si="6"/>
        <v>15000000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15000000</v>
      </c>
      <c r="K43" s="104">
        <v>0</v>
      </c>
      <c r="L43" s="104">
        <v>0</v>
      </c>
      <c r="M43" s="103">
        <f t="shared" si="7"/>
        <v>15002635</v>
      </c>
      <c r="N43" s="104">
        <v>0</v>
      </c>
      <c r="O43" s="104">
        <v>0</v>
      </c>
      <c r="P43" s="104">
        <f>0+54800+274000+2768582+54800+1953359</f>
        <v>5105541</v>
      </c>
      <c r="Q43" s="104">
        <v>0</v>
      </c>
      <c r="R43" s="104">
        <v>0</v>
      </c>
      <c r="S43" s="104">
        <f>15002635-54800-274000-2768582-54800-1953359</f>
        <v>9897094</v>
      </c>
      <c r="T43" s="104">
        <v>0</v>
      </c>
      <c r="U43" s="104">
        <v>0</v>
      </c>
    </row>
    <row r="44" spans="1:21" ht="30">
      <c r="A44" s="12"/>
      <c r="B44" s="12" t="s">
        <v>320</v>
      </c>
      <c r="C44" s="106" t="s">
        <v>321</v>
      </c>
      <c r="D44" s="103">
        <f t="shared" si="6"/>
        <v>10000000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10000000</v>
      </c>
      <c r="K44" s="104">
        <v>0</v>
      </c>
      <c r="L44" s="104">
        <v>0</v>
      </c>
      <c r="M44" s="103">
        <f t="shared" si="7"/>
        <v>9888779</v>
      </c>
      <c r="N44" s="104">
        <v>0</v>
      </c>
      <c r="O44" s="104">
        <v>0</v>
      </c>
      <c r="P44" s="104">
        <f>0+213360</f>
        <v>213360</v>
      </c>
      <c r="Q44" s="104">
        <v>0</v>
      </c>
      <c r="R44" s="104">
        <v>0</v>
      </c>
      <c r="S44" s="104">
        <f>10000000-213360-111221</f>
        <v>9675419</v>
      </c>
      <c r="T44" s="104">
        <v>0</v>
      </c>
      <c r="U44" s="104">
        <v>0</v>
      </c>
    </row>
    <row r="45" spans="1:21" ht="18">
      <c r="A45" s="12"/>
      <c r="B45" s="12" t="s">
        <v>322</v>
      </c>
      <c r="C45" s="106" t="s">
        <v>323</v>
      </c>
      <c r="D45" s="103">
        <f t="shared" si="6"/>
        <v>3000000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3000000</v>
      </c>
      <c r="K45" s="104">
        <v>0</v>
      </c>
      <c r="L45" s="104">
        <v>0</v>
      </c>
      <c r="M45" s="103">
        <f t="shared" si="7"/>
        <v>2950464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f>3000000-49536</f>
        <v>2950464</v>
      </c>
      <c r="T45" s="104">
        <v>0</v>
      </c>
      <c r="U45" s="104">
        <v>0</v>
      </c>
    </row>
    <row r="46" spans="1:21" ht="18">
      <c r="A46" s="12"/>
      <c r="B46" s="12" t="s">
        <v>324</v>
      </c>
      <c r="C46" s="110" t="s">
        <v>325</v>
      </c>
      <c r="D46" s="111">
        <f t="shared" si="6"/>
        <v>10000000</v>
      </c>
      <c r="E46" s="112">
        <v>0</v>
      </c>
      <c r="F46" s="112">
        <v>0</v>
      </c>
      <c r="G46" s="112">
        <v>10000000</v>
      </c>
      <c r="H46" s="112">
        <v>0</v>
      </c>
      <c r="I46" s="112">
        <v>0</v>
      </c>
      <c r="J46" s="196">
        <v>0</v>
      </c>
      <c r="K46" s="112">
        <v>0</v>
      </c>
      <c r="L46" s="112">
        <v>0</v>
      </c>
      <c r="M46" s="111">
        <f t="shared" si="7"/>
        <v>10003317</v>
      </c>
      <c r="N46" s="112">
        <v>0</v>
      </c>
      <c r="O46" s="112">
        <v>0</v>
      </c>
      <c r="P46" s="112">
        <v>10003317</v>
      </c>
      <c r="Q46" s="112">
        <v>0</v>
      </c>
      <c r="R46" s="112">
        <v>0</v>
      </c>
      <c r="S46" s="196">
        <v>0</v>
      </c>
      <c r="T46" s="112">
        <v>0</v>
      </c>
      <c r="U46" s="112">
        <v>0</v>
      </c>
    </row>
    <row r="47" spans="1:21" ht="30">
      <c r="A47" s="12"/>
      <c r="B47" s="12" t="s">
        <v>985</v>
      </c>
      <c r="C47" s="19" t="s">
        <v>986</v>
      </c>
      <c r="D47" s="111">
        <f t="shared" si="6"/>
        <v>10000000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96">
        <v>10000000</v>
      </c>
      <c r="K47" s="112">
        <v>0</v>
      </c>
      <c r="L47" s="112">
        <v>0</v>
      </c>
      <c r="M47" s="111">
        <f t="shared" si="7"/>
        <v>4607052</v>
      </c>
      <c r="N47" s="112">
        <v>0</v>
      </c>
      <c r="O47" s="112">
        <v>0</v>
      </c>
      <c r="P47" s="112">
        <f>0+330200</f>
        <v>330200</v>
      </c>
      <c r="Q47" s="112">
        <v>0</v>
      </c>
      <c r="R47" s="112">
        <v>0</v>
      </c>
      <c r="S47" s="196">
        <f>10000000-330200-6466098+1073150</f>
        <v>4276852</v>
      </c>
      <c r="T47" s="112">
        <v>0</v>
      </c>
      <c r="U47" s="112">
        <v>0</v>
      </c>
    </row>
    <row r="48" spans="1:21" ht="18">
      <c r="A48" s="12" t="s">
        <v>54</v>
      </c>
      <c r="B48" s="12"/>
      <c r="C48" s="99" t="s">
        <v>44</v>
      </c>
      <c r="D48" s="100">
        <f>SUM(E48:L48)</f>
        <v>0</v>
      </c>
      <c r="E48" s="101">
        <f aca="true" t="shared" si="8" ref="E48:L48">SUM(E49)</f>
        <v>0</v>
      </c>
      <c r="F48" s="101">
        <f t="shared" si="8"/>
        <v>0</v>
      </c>
      <c r="G48" s="101">
        <f t="shared" si="8"/>
        <v>0</v>
      </c>
      <c r="H48" s="101">
        <f t="shared" si="8"/>
        <v>0</v>
      </c>
      <c r="I48" s="101">
        <f t="shared" si="8"/>
        <v>0</v>
      </c>
      <c r="J48" s="101">
        <f t="shared" si="8"/>
        <v>0</v>
      </c>
      <c r="K48" s="101">
        <f t="shared" si="8"/>
        <v>0</v>
      </c>
      <c r="L48" s="101">
        <f t="shared" si="8"/>
        <v>0</v>
      </c>
      <c r="M48" s="100">
        <f>SUM(N48:U48)</f>
        <v>0</v>
      </c>
      <c r="N48" s="101">
        <f aca="true" t="shared" si="9" ref="N48:U48">SUM(N49)</f>
        <v>0</v>
      </c>
      <c r="O48" s="101">
        <f t="shared" si="9"/>
        <v>0</v>
      </c>
      <c r="P48" s="101">
        <f t="shared" si="9"/>
        <v>0</v>
      </c>
      <c r="Q48" s="101">
        <f t="shared" si="9"/>
        <v>0</v>
      </c>
      <c r="R48" s="101">
        <f t="shared" si="9"/>
        <v>0</v>
      </c>
      <c r="S48" s="101">
        <f t="shared" si="9"/>
        <v>0</v>
      </c>
      <c r="T48" s="101">
        <f t="shared" si="9"/>
        <v>0</v>
      </c>
      <c r="U48" s="101">
        <f t="shared" si="9"/>
        <v>0</v>
      </c>
    </row>
    <row r="49" spans="1:21" ht="18">
      <c r="A49" s="12"/>
      <c r="B49" s="12"/>
      <c r="C49" s="19"/>
      <c r="D49" s="103">
        <f>SUM(E49:L49)</f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5">
        <v>0</v>
      </c>
      <c r="M49" s="103">
        <f>SUM(N49:U49)</f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5">
        <v>0</v>
      </c>
    </row>
    <row r="50" spans="1:21" ht="30" customHeight="1">
      <c r="A50" s="326" t="s">
        <v>326</v>
      </c>
      <c r="B50" s="326"/>
      <c r="C50" s="326"/>
      <c r="D50" s="100">
        <f>SUM(E50:L50)</f>
        <v>2639433222</v>
      </c>
      <c r="E50" s="101">
        <f aca="true" t="shared" si="10" ref="E50:L50">E10+E33+E48</f>
        <v>0</v>
      </c>
      <c r="F50" s="101">
        <f t="shared" si="10"/>
        <v>0</v>
      </c>
      <c r="G50" s="101">
        <f t="shared" si="10"/>
        <v>2505433222</v>
      </c>
      <c r="H50" s="101">
        <f t="shared" si="10"/>
        <v>0</v>
      </c>
      <c r="I50" s="101">
        <f t="shared" si="10"/>
        <v>76000000</v>
      </c>
      <c r="J50" s="101">
        <f>J10+J33+J48</f>
        <v>58000000</v>
      </c>
      <c r="K50" s="101">
        <f t="shared" si="10"/>
        <v>0</v>
      </c>
      <c r="L50" s="101">
        <f t="shared" si="10"/>
        <v>0</v>
      </c>
      <c r="M50" s="100">
        <f>SUM(N50:U50)</f>
        <v>3015786329</v>
      </c>
      <c r="N50" s="101">
        <f>N10+N33+N48</f>
        <v>0</v>
      </c>
      <c r="O50" s="101">
        <f aca="true" t="shared" si="11" ref="O50:U50">O10+O33+O48</f>
        <v>0</v>
      </c>
      <c r="P50" s="101">
        <f t="shared" si="11"/>
        <v>2859296672</v>
      </c>
      <c r="Q50" s="101">
        <f t="shared" si="11"/>
        <v>0</v>
      </c>
      <c r="R50" s="101">
        <f t="shared" si="11"/>
        <v>87792823</v>
      </c>
      <c r="S50" s="101">
        <f t="shared" si="11"/>
        <v>68696834</v>
      </c>
      <c r="T50" s="101">
        <f t="shared" si="11"/>
        <v>0</v>
      </c>
      <c r="U50" s="101">
        <f t="shared" si="11"/>
        <v>0</v>
      </c>
    </row>
    <row r="51" s="181" customFormat="1" ht="12.75"/>
    <row r="52" s="181" customFormat="1" ht="12.75"/>
    <row r="53" s="181" customFormat="1" ht="12.75"/>
    <row r="54" s="181" customFormat="1" ht="12.75"/>
    <row r="55" s="181" customFormat="1" ht="12.75"/>
    <row r="56" s="181" customFormat="1" ht="12.75"/>
    <row r="57" s="181" customFormat="1" ht="12.75"/>
    <row r="58" s="181" customFormat="1" ht="12.75"/>
  </sheetData>
  <sheetProtection selectLockedCells="1" selectUnlockedCells="1"/>
  <mergeCells count="16">
    <mergeCell ref="A50:C50"/>
    <mergeCell ref="C7:C9"/>
    <mergeCell ref="D7:D9"/>
    <mergeCell ref="E7:L7"/>
    <mergeCell ref="E8:I8"/>
    <mergeCell ref="J8:L8"/>
    <mergeCell ref="A7:A9"/>
    <mergeCell ref="B7:B9"/>
    <mergeCell ref="A1:U1"/>
    <mergeCell ref="A2:U2"/>
    <mergeCell ref="A3:U3"/>
    <mergeCell ref="A4:U4"/>
    <mergeCell ref="N7:U7"/>
    <mergeCell ref="N8:R8"/>
    <mergeCell ref="S8:U8"/>
    <mergeCell ref="M7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1"/>
  <sheetViews>
    <sheetView view="pageBreakPreview" zoomScale="50" zoomScaleNormal="74" zoomScaleSheetLayoutView="50" zoomScalePageLayoutView="0" workbookViewId="0" topLeftCell="A1">
      <selection activeCell="A1" sqref="A1:U1"/>
    </sheetView>
  </sheetViews>
  <sheetFormatPr defaultColWidth="9.140625" defaultRowHeight="12.75"/>
  <cols>
    <col min="1" max="1" width="5.140625" style="96" customWidth="1"/>
    <col min="2" max="2" width="9.8515625" style="96" customWidth="1"/>
    <col min="3" max="3" width="72.8515625" style="96" customWidth="1"/>
    <col min="4" max="4" width="23.57421875" style="96" customWidth="1"/>
    <col min="5" max="6" width="14.57421875" style="96" customWidth="1"/>
    <col min="7" max="7" width="21.7109375" style="96" customWidth="1"/>
    <col min="8" max="8" width="14.57421875" style="96" customWidth="1"/>
    <col min="9" max="9" width="21.28125" style="96" customWidth="1"/>
    <col min="10" max="10" width="20.28125" style="96" customWidth="1"/>
    <col min="11" max="11" width="17.28125" style="96" customWidth="1"/>
    <col min="12" max="12" width="14.57421875" style="96" customWidth="1"/>
    <col min="13" max="13" width="21.8515625" style="96" customWidth="1"/>
    <col min="14" max="14" width="17.57421875" style="96" customWidth="1"/>
    <col min="15" max="15" width="15.7109375" style="96" customWidth="1"/>
    <col min="16" max="16" width="19.57421875" style="96" customWidth="1"/>
    <col min="17" max="17" width="13.57421875" style="96" customWidth="1"/>
    <col min="18" max="18" width="18.28125" style="96" customWidth="1"/>
    <col min="19" max="19" width="15.57421875" style="96" customWidth="1"/>
    <col min="20" max="20" width="17.57421875" style="96" customWidth="1"/>
    <col min="21" max="21" width="18.00390625" style="96" customWidth="1"/>
    <col min="22" max="16384" width="9.140625" style="96" customWidth="1"/>
  </cols>
  <sheetData>
    <row r="1" spans="1:21" ht="15.75" customHeight="1">
      <c r="A1" s="262" t="s">
        <v>1256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5.75" customHeight="1">
      <c r="A2" s="322" t="s">
        <v>1053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1" ht="18" customHeight="1">
      <c r="A3" s="323" t="s">
        <v>327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1" ht="15" customHeight="1">
      <c r="A4" s="324" t="s">
        <v>328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</row>
    <row r="5" spans="1:21" ht="14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42"/>
      <c r="U5" s="42" t="s">
        <v>1</v>
      </c>
    </row>
    <row r="6" spans="1:21" ht="12.75">
      <c r="A6" s="220" t="s">
        <v>2</v>
      </c>
      <c r="B6" s="220" t="s">
        <v>3</v>
      </c>
      <c r="C6" s="220" t="s">
        <v>4</v>
      </c>
      <c r="D6" s="220" t="s">
        <v>5</v>
      </c>
      <c r="E6" s="220" t="s">
        <v>6</v>
      </c>
      <c r="F6" s="220" t="s">
        <v>7</v>
      </c>
      <c r="G6" s="220" t="s">
        <v>8</v>
      </c>
      <c r="H6" s="220" t="s">
        <v>9</v>
      </c>
      <c r="I6" s="220" t="s">
        <v>10</v>
      </c>
      <c r="J6" s="220" t="s">
        <v>11</v>
      </c>
      <c r="K6" s="220" t="s">
        <v>12</v>
      </c>
      <c r="L6" s="220" t="s">
        <v>13</v>
      </c>
      <c r="M6" s="6" t="s">
        <v>14</v>
      </c>
      <c r="N6" s="6" t="s">
        <v>15</v>
      </c>
      <c r="O6" s="6" t="s">
        <v>16</v>
      </c>
      <c r="P6" s="6" t="s">
        <v>17</v>
      </c>
      <c r="Q6" s="6" t="s">
        <v>18</v>
      </c>
      <c r="R6" s="6" t="s">
        <v>19</v>
      </c>
      <c r="S6" s="6" t="s">
        <v>20</v>
      </c>
      <c r="T6" s="6" t="s">
        <v>21</v>
      </c>
      <c r="U6" s="6" t="s">
        <v>22</v>
      </c>
    </row>
    <row r="7" spans="1:21" ht="12.75" customHeight="1">
      <c r="A7" s="328" t="s">
        <v>24</v>
      </c>
      <c r="B7" s="328" t="s">
        <v>185</v>
      </c>
      <c r="C7" s="330" t="s">
        <v>25</v>
      </c>
      <c r="D7" s="330" t="s">
        <v>853</v>
      </c>
      <c r="E7" s="330" t="s">
        <v>26</v>
      </c>
      <c r="F7" s="330"/>
      <c r="G7" s="330"/>
      <c r="H7" s="330"/>
      <c r="I7" s="330"/>
      <c r="J7" s="330"/>
      <c r="K7" s="330"/>
      <c r="L7" s="330"/>
      <c r="M7" s="265" t="s">
        <v>1049</v>
      </c>
      <c r="N7" s="325" t="s">
        <v>1047</v>
      </c>
      <c r="O7" s="325"/>
      <c r="P7" s="325"/>
      <c r="Q7" s="325"/>
      <c r="R7" s="325"/>
      <c r="S7" s="325"/>
      <c r="T7" s="325"/>
      <c r="U7" s="325"/>
    </row>
    <row r="8" spans="1:21" ht="12.75" customHeight="1">
      <c r="A8" s="328"/>
      <c r="B8" s="328"/>
      <c r="C8" s="330"/>
      <c r="D8" s="330"/>
      <c r="E8" s="331" t="s">
        <v>27</v>
      </c>
      <c r="F8" s="331"/>
      <c r="G8" s="331"/>
      <c r="H8" s="331"/>
      <c r="I8" s="331"/>
      <c r="J8" s="331" t="s">
        <v>28</v>
      </c>
      <c r="K8" s="331"/>
      <c r="L8" s="331"/>
      <c r="M8" s="265"/>
      <c r="N8" s="267" t="s">
        <v>27</v>
      </c>
      <c r="O8" s="267"/>
      <c r="P8" s="267"/>
      <c r="Q8" s="267"/>
      <c r="R8" s="267"/>
      <c r="S8" s="267" t="s">
        <v>28</v>
      </c>
      <c r="T8" s="267"/>
      <c r="U8" s="267"/>
    </row>
    <row r="9" spans="1:21" ht="98.25" customHeight="1">
      <c r="A9" s="328"/>
      <c r="B9" s="328"/>
      <c r="C9" s="330"/>
      <c r="D9" s="330"/>
      <c r="E9" s="221" t="s">
        <v>29</v>
      </c>
      <c r="F9" s="221" t="s">
        <v>30</v>
      </c>
      <c r="G9" s="221" t="s">
        <v>31</v>
      </c>
      <c r="H9" s="221" t="s">
        <v>32</v>
      </c>
      <c r="I9" s="221" t="s">
        <v>33</v>
      </c>
      <c r="J9" s="221" t="s">
        <v>34</v>
      </c>
      <c r="K9" s="221" t="s">
        <v>35</v>
      </c>
      <c r="L9" s="221" t="s">
        <v>36</v>
      </c>
      <c r="M9" s="26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92" t="s">
        <v>57</v>
      </c>
      <c r="B10" s="192"/>
      <c r="C10" s="193" t="s">
        <v>40</v>
      </c>
      <c r="D10" s="194">
        <f aca="true" t="shared" si="0" ref="D10:D46">SUM(E10:L10)</f>
        <v>1048000000</v>
      </c>
      <c r="E10" s="195">
        <f aca="true" t="shared" si="1" ref="E10:L10">SUM(E11:E25)</f>
        <v>0</v>
      </c>
      <c r="F10" s="195">
        <f t="shared" si="1"/>
        <v>0</v>
      </c>
      <c r="G10" s="195">
        <f t="shared" si="1"/>
        <v>929500000</v>
      </c>
      <c r="H10" s="195">
        <f t="shared" si="1"/>
        <v>0</v>
      </c>
      <c r="I10" s="195">
        <f t="shared" si="1"/>
        <v>6000000</v>
      </c>
      <c r="J10" s="195">
        <f t="shared" si="1"/>
        <v>30000000</v>
      </c>
      <c r="K10" s="195">
        <f t="shared" si="1"/>
        <v>82500000</v>
      </c>
      <c r="L10" s="195">
        <f t="shared" si="1"/>
        <v>0</v>
      </c>
      <c r="M10" s="194">
        <f aca="true" t="shared" si="2" ref="M10:M46">SUM(N10:U10)</f>
        <v>1141690204</v>
      </c>
      <c r="N10" s="195">
        <f aca="true" t="shared" si="3" ref="N10:U10">SUM(N11:N25)</f>
        <v>0</v>
      </c>
      <c r="O10" s="195">
        <f t="shared" si="3"/>
        <v>0</v>
      </c>
      <c r="P10" s="195">
        <f t="shared" si="3"/>
        <v>1050750673</v>
      </c>
      <c r="Q10" s="195">
        <f t="shared" si="3"/>
        <v>0</v>
      </c>
      <c r="R10" s="195">
        <f t="shared" si="3"/>
        <v>3000000</v>
      </c>
      <c r="S10" s="195">
        <f t="shared" si="3"/>
        <v>3374531</v>
      </c>
      <c r="T10" s="195">
        <f t="shared" si="3"/>
        <v>82565000</v>
      </c>
      <c r="U10" s="195">
        <f t="shared" si="3"/>
        <v>2000000</v>
      </c>
    </row>
    <row r="11" spans="1:21" s="189" customFormat="1" ht="18">
      <c r="A11" s="222"/>
      <c r="B11" s="222" t="s">
        <v>329</v>
      </c>
      <c r="C11" s="223" t="s">
        <v>330</v>
      </c>
      <c r="D11" s="230">
        <f aca="true" t="shared" si="4" ref="D11:D25">SUM(E11:L11)</f>
        <v>450000000</v>
      </c>
      <c r="E11" s="231">
        <v>0</v>
      </c>
      <c r="F11" s="231">
        <v>0</v>
      </c>
      <c r="G11" s="231">
        <v>450000000</v>
      </c>
      <c r="H11" s="231">
        <v>0</v>
      </c>
      <c r="I11" s="231">
        <v>0</v>
      </c>
      <c r="J11" s="231">
        <v>0</v>
      </c>
      <c r="K11" s="231">
        <v>0</v>
      </c>
      <c r="L11" s="231">
        <v>0</v>
      </c>
      <c r="M11" s="230">
        <f t="shared" si="2"/>
        <v>473610935</v>
      </c>
      <c r="N11" s="231">
        <v>0</v>
      </c>
      <c r="O11" s="231">
        <v>0</v>
      </c>
      <c r="P11" s="231">
        <f>472013543+1605000-7608</f>
        <v>473610935</v>
      </c>
      <c r="Q11" s="231">
        <v>0</v>
      </c>
      <c r="R11" s="231">
        <v>0</v>
      </c>
      <c r="S11" s="231">
        <v>0</v>
      </c>
      <c r="T11" s="231">
        <v>0</v>
      </c>
      <c r="U11" s="231">
        <v>0</v>
      </c>
    </row>
    <row r="12" spans="1:21" s="189" customFormat="1" ht="18">
      <c r="A12" s="222"/>
      <c r="B12" s="222" t="s">
        <v>331</v>
      </c>
      <c r="C12" s="223" t="s">
        <v>332</v>
      </c>
      <c r="D12" s="230">
        <f t="shared" si="4"/>
        <v>10000000</v>
      </c>
      <c r="E12" s="231">
        <v>0</v>
      </c>
      <c r="F12" s="231">
        <v>0</v>
      </c>
      <c r="G12" s="231">
        <v>10000000</v>
      </c>
      <c r="H12" s="231">
        <v>0</v>
      </c>
      <c r="I12" s="231">
        <v>0</v>
      </c>
      <c r="J12" s="231">
        <v>0</v>
      </c>
      <c r="K12" s="231">
        <v>0</v>
      </c>
      <c r="L12" s="231">
        <v>0</v>
      </c>
      <c r="M12" s="230">
        <f t="shared" si="2"/>
        <v>6400800</v>
      </c>
      <c r="N12" s="231">
        <v>0</v>
      </c>
      <c r="O12" s="231">
        <v>0</v>
      </c>
      <c r="P12" s="231">
        <f>10000000-1605000-1994200</f>
        <v>6400800</v>
      </c>
      <c r="Q12" s="231">
        <v>0</v>
      </c>
      <c r="R12" s="231">
        <v>0</v>
      </c>
      <c r="S12" s="231">
        <v>0</v>
      </c>
      <c r="T12" s="231">
        <v>0</v>
      </c>
      <c r="U12" s="231">
        <v>0</v>
      </c>
    </row>
    <row r="13" spans="1:21" s="189" customFormat="1" ht="18">
      <c r="A13" s="222"/>
      <c r="B13" s="222" t="s">
        <v>333</v>
      </c>
      <c r="C13" s="223" t="s">
        <v>334</v>
      </c>
      <c r="D13" s="230">
        <f t="shared" si="4"/>
        <v>43000000</v>
      </c>
      <c r="E13" s="231">
        <v>0</v>
      </c>
      <c r="F13" s="231">
        <v>0</v>
      </c>
      <c r="G13" s="231">
        <v>43000000</v>
      </c>
      <c r="H13" s="231">
        <v>0</v>
      </c>
      <c r="I13" s="231">
        <v>0</v>
      </c>
      <c r="J13" s="231">
        <v>0</v>
      </c>
      <c r="K13" s="231">
        <v>0</v>
      </c>
      <c r="L13" s="231">
        <v>0</v>
      </c>
      <c r="M13" s="230">
        <f t="shared" si="2"/>
        <v>44447903</v>
      </c>
      <c r="N13" s="231">
        <v>0</v>
      </c>
      <c r="O13" s="231">
        <v>0</v>
      </c>
      <c r="P13" s="231">
        <f>44995960-548057</f>
        <v>44447903</v>
      </c>
      <c r="Q13" s="231">
        <v>0</v>
      </c>
      <c r="R13" s="231">
        <v>0</v>
      </c>
      <c r="S13" s="231">
        <v>0</v>
      </c>
      <c r="T13" s="231">
        <v>0</v>
      </c>
      <c r="U13" s="231">
        <v>0</v>
      </c>
    </row>
    <row r="14" spans="1:21" s="189" customFormat="1" ht="18">
      <c r="A14" s="222"/>
      <c r="B14" s="222" t="s">
        <v>335</v>
      </c>
      <c r="C14" s="223" t="s">
        <v>336</v>
      </c>
      <c r="D14" s="230">
        <f t="shared" si="4"/>
        <v>12000000</v>
      </c>
      <c r="E14" s="231">
        <v>0</v>
      </c>
      <c r="F14" s="231">
        <v>0</v>
      </c>
      <c r="G14" s="231">
        <v>12000000</v>
      </c>
      <c r="H14" s="231">
        <v>0</v>
      </c>
      <c r="I14" s="231">
        <v>0</v>
      </c>
      <c r="J14" s="231">
        <v>0</v>
      </c>
      <c r="K14" s="231">
        <v>0</v>
      </c>
      <c r="L14" s="231">
        <v>0</v>
      </c>
      <c r="M14" s="230">
        <f t="shared" si="2"/>
        <v>7645955</v>
      </c>
      <c r="N14" s="231">
        <v>0</v>
      </c>
      <c r="O14" s="231">
        <v>0</v>
      </c>
      <c r="P14" s="231">
        <f>12000000-56181-4354045</f>
        <v>7589774</v>
      </c>
      <c r="Q14" s="231">
        <v>0</v>
      </c>
      <c r="R14" s="231">
        <v>0</v>
      </c>
      <c r="S14" s="231">
        <f>0+56181</f>
        <v>56181</v>
      </c>
      <c r="T14" s="231">
        <v>0</v>
      </c>
      <c r="U14" s="231">
        <v>0</v>
      </c>
    </row>
    <row r="15" spans="1:21" s="189" customFormat="1" ht="18">
      <c r="A15" s="222"/>
      <c r="B15" s="222" t="s">
        <v>337</v>
      </c>
      <c r="C15" s="224" t="s">
        <v>338</v>
      </c>
      <c r="D15" s="230">
        <f t="shared" si="4"/>
        <v>20000000</v>
      </c>
      <c r="E15" s="231">
        <v>0</v>
      </c>
      <c r="F15" s="231">
        <v>0</v>
      </c>
      <c r="G15" s="231">
        <v>17500000</v>
      </c>
      <c r="H15" s="231">
        <v>0</v>
      </c>
      <c r="I15" s="231">
        <v>2500000</v>
      </c>
      <c r="J15" s="231">
        <v>0</v>
      </c>
      <c r="K15" s="231">
        <v>0</v>
      </c>
      <c r="L15" s="231">
        <v>0</v>
      </c>
      <c r="M15" s="230">
        <f t="shared" si="2"/>
        <v>18585260</v>
      </c>
      <c r="N15" s="231">
        <v>0</v>
      </c>
      <c r="O15" s="231">
        <v>0</v>
      </c>
      <c r="P15" s="231">
        <f>22662223-2500000-6576963</f>
        <v>13585260</v>
      </c>
      <c r="Q15" s="231">
        <v>0</v>
      </c>
      <c r="R15" s="231">
        <f>2500000+500000</f>
        <v>3000000</v>
      </c>
      <c r="S15" s="231">
        <v>0</v>
      </c>
      <c r="T15" s="231">
        <v>0</v>
      </c>
      <c r="U15" s="231">
        <f>0+2000000</f>
        <v>2000000</v>
      </c>
    </row>
    <row r="16" spans="1:21" s="189" customFormat="1" ht="45" customHeight="1">
      <c r="A16" s="222"/>
      <c r="B16" s="222" t="s">
        <v>339</v>
      </c>
      <c r="C16" s="225" t="s">
        <v>994</v>
      </c>
      <c r="D16" s="230">
        <f t="shared" si="4"/>
        <v>10000000</v>
      </c>
      <c r="E16" s="231">
        <v>0</v>
      </c>
      <c r="F16" s="231">
        <v>0</v>
      </c>
      <c r="G16" s="231">
        <v>3000000</v>
      </c>
      <c r="H16" s="231">
        <v>0</v>
      </c>
      <c r="I16" s="232">
        <v>0</v>
      </c>
      <c r="J16" s="231">
        <v>0</v>
      </c>
      <c r="K16" s="231">
        <v>7000000</v>
      </c>
      <c r="L16" s="231">
        <v>0</v>
      </c>
      <c r="M16" s="230">
        <f t="shared" si="2"/>
        <v>15668000</v>
      </c>
      <c r="N16" s="231">
        <v>0</v>
      </c>
      <c r="O16" s="231">
        <v>0</v>
      </c>
      <c r="P16" s="231">
        <f>3000000+1668000+4000000</f>
        <v>8668000</v>
      </c>
      <c r="Q16" s="231">
        <v>0</v>
      </c>
      <c r="R16" s="232">
        <v>0</v>
      </c>
      <c r="S16" s="231">
        <v>0</v>
      </c>
      <c r="T16" s="231">
        <v>7000000</v>
      </c>
      <c r="U16" s="231">
        <v>0</v>
      </c>
    </row>
    <row r="17" spans="1:21" s="189" customFormat="1" ht="28.5">
      <c r="A17" s="222"/>
      <c r="B17" s="222" t="s">
        <v>989</v>
      </c>
      <c r="C17" s="225" t="s">
        <v>881</v>
      </c>
      <c r="D17" s="230">
        <f t="shared" si="4"/>
        <v>254000000</v>
      </c>
      <c r="E17" s="231">
        <v>0</v>
      </c>
      <c r="F17" s="231">
        <v>0</v>
      </c>
      <c r="G17" s="231">
        <v>254000000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0">
        <f t="shared" si="2"/>
        <v>270321881</v>
      </c>
      <c r="N17" s="231">
        <v>0</v>
      </c>
      <c r="O17" s="231">
        <v>0</v>
      </c>
      <c r="P17" s="231">
        <f>261939881-571500+8382000</f>
        <v>269750381</v>
      </c>
      <c r="Q17" s="231">
        <v>0</v>
      </c>
      <c r="R17" s="231">
        <v>0</v>
      </c>
      <c r="S17" s="231">
        <f>0+571500</f>
        <v>571500</v>
      </c>
      <c r="T17" s="231">
        <v>0</v>
      </c>
      <c r="U17" s="231">
        <v>0</v>
      </c>
    </row>
    <row r="18" spans="1:21" s="189" customFormat="1" ht="18">
      <c r="A18" s="222"/>
      <c r="B18" s="222" t="s">
        <v>341</v>
      </c>
      <c r="C18" s="225" t="s">
        <v>973</v>
      </c>
      <c r="D18" s="230">
        <f t="shared" si="4"/>
        <v>35000000</v>
      </c>
      <c r="E18" s="231">
        <v>0</v>
      </c>
      <c r="F18" s="231">
        <v>0</v>
      </c>
      <c r="G18" s="231">
        <v>35000000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0">
        <f t="shared" si="2"/>
        <v>25497155</v>
      </c>
      <c r="N18" s="231">
        <v>0</v>
      </c>
      <c r="O18" s="231">
        <v>0</v>
      </c>
      <c r="P18" s="231">
        <f>35000000-1341120-670560-10681405-5298440+6477000</f>
        <v>23485475</v>
      </c>
      <c r="Q18" s="231">
        <v>0</v>
      </c>
      <c r="R18" s="231">
        <v>0</v>
      </c>
      <c r="S18" s="231">
        <f>0+1341120+670560</f>
        <v>2011680</v>
      </c>
      <c r="T18" s="231">
        <v>0</v>
      </c>
      <c r="U18" s="231">
        <v>0</v>
      </c>
    </row>
    <row r="19" spans="1:21" s="189" customFormat="1" ht="18">
      <c r="A19" s="222"/>
      <c r="B19" s="222" t="s">
        <v>343</v>
      </c>
      <c r="C19" s="223" t="s">
        <v>340</v>
      </c>
      <c r="D19" s="230">
        <f t="shared" si="4"/>
        <v>81000000</v>
      </c>
      <c r="E19" s="231">
        <v>0</v>
      </c>
      <c r="F19" s="231">
        <v>0</v>
      </c>
      <c r="G19" s="231">
        <v>2000000</v>
      </c>
      <c r="H19" s="231">
        <v>0</v>
      </c>
      <c r="I19" s="231">
        <v>3500000</v>
      </c>
      <c r="J19" s="231">
        <v>0</v>
      </c>
      <c r="K19" s="231">
        <v>75500000</v>
      </c>
      <c r="L19" s="231">
        <v>0</v>
      </c>
      <c r="M19" s="230">
        <f t="shared" si="2"/>
        <v>84979934</v>
      </c>
      <c r="N19" s="231">
        <v>0</v>
      </c>
      <c r="O19" s="231">
        <v>0</v>
      </c>
      <c r="P19" s="231">
        <f>2000000-565000-645000+2030496+5810500+138938</f>
        <v>8769934</v>
      </c>
      <c r="Q19" s="231">
        <v>0</v>
      </c>
      <c r="R19" s="231">
        <f>3500000-1530496-138938-83294-794924-952348</f>
        <v>0</v>
      </c>
      <c r="S19" s="231">
        <f>645000</f>
        <v>645000</v>
      </c>
      <c r="T19" s="231">
        <f>75500000+565000-500000</f>
        <v>75565000</v>
      </c>
      <c r="U19" s="231">
        <v>0</v>
      </c>
    </row>
    <row r="20" spans="1:21" s="189" customFormat="1" ht="18">
      <c r="A20" s="222"/>
      <c r="B20" s="222" t="s">
        <v>345</v>
      </c>
      <c r="C20" s="223" t="s">
        <v>342</v>
      </c>
      <c r="D20" s="230">
        <f t="shared" si="4"/>
        <v>4000000</v>
      </c>
      <c r="E20" s="231">
        <v>0</v>
      </c>
      <c r="F20" s="231">
        <v>0</v>
      </c>
      <c r="G20" s="231">
        <v>4000000</v>
      </c>
      <c r="H20" s="231">
        <v>0</v>
      </c>
      <c r="I20" s="231">
        <v>0</v>
      </c>
      <c r="J20" s="231">
        <v>0</v>
      </c>
      <c r="K20" s="231">
        <v>0</v>
      </c>
      <c r="L20" s="231">
        <v>0</v>
      </c>
      <c r="M20" s="230">
        <f t="shared" si="2"/>
        <v>5602000</v>
      </c>
      <c r="N20" s="231">
        <v>0</v>
      </c>
      <c r="O20" s="231">
        <v>0</v>
      </c>
      <c r="P20" s="231">
        <v>5602000</v>
      </c>
      <c r="Q20" s="231">
        <v>0</v>
      </c>
      <c r="R20" s="231">
        <v>0</v>
      </c>
      <c r="S20" s="231">
        <v>0</v>
      </c>
      <c r="T20" s="231">
        <v>0</v>
      </c>
      <c r="U20" s="231">
        <v>0</v>
      </c>
    </row>
    <row r="21" spans="1:21" s="189" customFormat="1" ht="18">
      <c r="A21" s="222"/>
      <c r="B21" s="222" t="s">
        <v>855</v>
      </c>
      <c r="C21" s="223" t="s">
        <v>344</v>
      </c>
      <c r="D21" s="230">
        <f t="shared" si="4"/>
        <v>35000000</v>
      </c>
      <c r="E21" s="231">
        <v>0</v>
      </c>
      <c r="F21" s="231">
        <v>0</v>
      </c>
      <c r="G21" s="231">
        <v>35000000</v>
      </c>
      <c r="H21" s="231">
        <v>0</v>
      </c>
      <c r="I21" s="231">
        <v>0</v>
      </c>
      <c r="J21" s="231">
        <v>0</v>
      </c>
      <c r="K21" s="231">
        <v>0</v>
      </c>
      <c r="L21" s="231">
        <v>0</v>
      </c>
      <c r="M21" s="230">
        <f t="shared" si="2"/>
        <v>46171241</v>
      </c>
      <c r="N21" s="231">
        <v>0</v>
      </c>
      <c r="O21" s="231">
        <v>0</v>
      </c>
      <c r="P21" s="231">
        <f>36171241+10000000</f>
        <v>46171241</v>
      </c>
      <c r="Q21" s="231">
        <v>0</v>
      </c>
      <c r="R21" s="231">
        <v>0</v>
      </c>
      <c r="S21" s="231">
        <v>0</v>
      </c>
      <c r="T21" s="231">
        <v>0</v>
      </c>
      <c r="U21" s="231">
        <v>0</v>
      </c>
    </row>
    <row r="22" spans="1:21" s="189" customFormat="1" ht="18">
      <c r="A22" s="222"/>
      <c r="B22" s="222" t="s">
        <v>990</v>
      </c>
      <c r="C22" s="223" t="s">
        <v>346</v>
      </c>
      <c r="D22" s="230">
        <f t="shared" si="4"/>
        <v>40000000</v>
      </c>
      <c r="E22" s="231">
        <v>0</v>
      </c>
      <c r="F22" s="231">
        <v>0</v>
      </c>
      <c r="G22" s="231">
        <v>20000000</v>
      </c>
      <c r="H22" s="231">
        <v>0</v>
      </c>
      <c r="I22" s="231">
        <v>0</v>
      </c>
      <c r="J22" s="231">
        <v>20000000</v>
      </c>
      <c r="K22" s="231">
        <v>0</v>
      </c>
      <c r="L22" s="231">
        <v>0</v>
      </c>
      <c r="M22" s="230">
        <f t="shared" si="2"/>
        <v>51794042</v>
      </c>
      <c r="N22" s="231">
        <v>0</v>
      </c>
      <c r="O22" s="231">
        <v>0</v>
      </c>
      <c r="P22" s="231">
        <f>41763330+1046000+4984712+4000000</f>
        <v>51794042</v>
      </c>
      <c r="Q22" s="231">
        <v>0</v>
      </c>
      <c r="R22" s="231">
        <v>0</v>
      </c>
      <c r="S22" s="231">
        <f>20000000-4984712-6477000-8538288</f>
        <v>0</v>
      </c>
      <c r="T22" s="231">
        <v>0</v>
      </c>
      <c r="U22" s="231">
        <v>0</v>
      </c>
    </row>
    <row r="23" spans="1:21" s="189" customFormat="1" ht="18">
      <c r="A23" s="222"/>
      <c r="B23" s="222" t="s">
        <v>991</v>
      </c>
      <c r="C23" s="225" t="s">
        <v>280</v>
      </c>
      <c r="D23" s="230">
        <f t="shared" si="4"/>
        <v>45000000</v>
      </c>
      <c r="E23" s="231">
        <v>0</v>
      </c>
      <c r="F23" s="231">
        <v>0</v>
      </c>
      <c r="G23" s="231">
        <v>35000000</v>
      </c>
      <c r="H23" s="231">
        <v>0</v>
      </c>
      <c r="I23" s="231">
        <v>0</v>
      </c>
      <c r="J23" s="231">
        <v>10000000</v>
      </c>
      <c r="K23" s="231">
        <v>0</v>
      </c>
      <c r="L23" s="231">
        <v>0</v>
      </c>
      <c r="M23" s="230">
        <f t="shared" si="2"/>
        <v>75530622</v>
      </c>
      <c r="N23" s="231">
        <v>0</v>
      </c>
      <c r="O23" s="231">
        <v>0</v>
      </c>
      <c r="P23" s="231">
        <f>43668153+5190641+26581658</f>
        <v>75440452</v>
      </c>
      <c r="Q23" s="231">
        <v>0</v>
      </c>
      <c r="R23" s="231">
        <v>0</v>
      </c>
      <c r="S23" s="231">
        <f>10000000-4719189-5190641</f>
        <v>90170</v>
      </c>
      <c r="T23" s="231">
        <v>0</v>
      </c>
      <c r="U23" s="231">
        <v>0</v>
      </c>
    </row>
    <row r="24" spans="1:21" s="189" customFormat="1" ht="18">
      <c r="A24" s="222"/>
      <c r="B24" s="222" t="s">
        <v>992</v>
      </c>
      <c r="C24" s="225" t="s">
        <v>284</v>
      </c>
      <c r="D24" s="230">
        <f t="shared" si="4"/>
        <v>8000000</v>
      </c>
      <c r="E24" s="231">
        <v>0</v>
      </c>
      <c r="F24" s="231">
        <v>0</v>
      </c>
      <c r="G24" s="231">
        <v>8000000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0">
        <f t="shared" si="2"/>
        <v>15434476</v>
      </c>
      <c r="N24" s="231">
        <v>0</v>
      </c>
      <c r="O24" s="231">
        <v>0</v>
      </c>
      <c r="P24" s="231">
        <f>8330667+8000000-896191</f>
        <v>15434476</v>
      </c>
      <c r="Q24" s="231">
        <v>0</v>
      </c>
      <c r="R24" s="231">
        <v>0</v>
      </c>
      <c r="S24" s="231">
        <v>0</v>
      </c>
      <c r="T24" s="231">
        <v>0</v>
      </c>
      <c r="U24" s="231">
        <v>0</v>
      </c>
    </row>
    <row r="25" spans="1:21" s="189" customFormat="1" ht="18">
      <c r="A25" s="190"/>
      <c r="B25" s="222" t="s">
        <v>993</v>
      </c>
      <c r="C25" s="191" t="s">
        <v>882</v>
      </c>
      <c r="D25" s="230">
        <f t="shared" si="4"/>
        <v>1000000</v>
      </c>
      <c r="E25" s="231">
        <v>0</v>
      </c>
      <c r="F25" s="231">
        <v>0</v>
      </c>
      <c r="G25" s="231">
        <v>1000000</v>
      </c>
      <c r="H25" s="231">
        <v>0</v>
      </c>
      <c r="I25" s="231">
        <v>0</v>
      </c>
      <c r="J25" s="232">
        <v>0</v>
      </c>
      <c r="K25" s="231">
        <v>0</v>
      </c>
      <c r="L25" s="231">
        <v>0</v>
      </c>
      <c r="M25" s="230">
        <f t="shared" si="2"/>
        <v>0</v>
      </c>
      <c r="N25" s="231">
        <v>0</v>
      </c>
      <c r="O25" s="231">
        <v>0</v>
      </c>
      <c r="P25" s="231">
        <f>1000000-1000000</f>
        <v>0</v>
      </c>
      <c r="Q25" s="231">
        <v>0</v>
      </c>
      <c r="R25" s="231">
        <v>0</v>
      </c>
      <c r="S25" s="232">
        <v>0</v>
      </c>
      <c r="T25" s="231">
        <v>0</v>
      </c>
      <c r="U25" s="231">
        <v>0</v>
      </c>
    </row>
    <row r="26" spans="1:21" ht="18">
      <c r="A26" s="192" t="s">
        <v>58</v>
      </c>
      <c r="B26" s="192"/>
      <c r="C26" s="193" t="s">
        <v>42</v>
      </c>
      <c r="D26" s="194">
        <f t="shared" si="0"/>
        <v>213500000</v>
      </c>
      <c r="E26" s="195">
        <f aca="true" t="shared" si="5" ref="E26:L26">SUM(E27:E48)</f>
        <v>0</v>
      </c>
      <c r="F26" s="195">
        <f t="shared" si="5"/>
        <v>0</v>
      </c>
      <c r="G26" s="195">
        <f t="shared" si="5"/>
        <v>133000000</v>
      </c>
      <c r="H26" s="195">
        <f t="shared" si="5"/>
        <v>0</v>
      </c>
      <c r="I26" s="195">
        <f t="shared" si="5"/>
        <v>38000000</v>
      </c>
      <c r="J26" s="195">
        <f t="shared" si="5"/>
        <v>39000000</v>
      </c>
      <c r="K26" s="195">
        <f t="shared" si="5"/>
        <v>3500000</v>
      </c>
      <c r="L26" s="195">
        <f t="shared" si="5"/>
        <v>0</v>
      </c>
      <c r="M26" s="194">
        <f t="shared" si="2"/>
        <v>178259877</v>
      </c>
      <c r="N26" s="195">
        <f aca="true" t="shared" si="6" ref="N26:U26">SUM(N27:N48)</f>
        <v>151574</v>
      </c>
      <c r="O26" s="195">
        <f t="shared" si="6"/>
        <v>86553</v>
      </c>
      <c r="P26" s="195">
        <f t="shared" si="6"/>
        <v>79758104</v>
      </c>
      <c r="Q26" s="195">
        <f t="shared" si="6"/>
        <v>0</v>
      </c>
      <c r="R26" s="195">
        <f t="shared" si="6"/>
        <v>80400000</v>
      </c>
      <c r="S26" s="195">
        <f t="shared" si="6"/>
        <v>12565206</v>
      </c>
      <c r="T26" s="195">
        <f t="shared" si="6"/>
        <v>5298440</v>
      </c>
      <c r="U26" s="195">
        <f t="shared" si="6"/>
        <v>0</v>
      </c>
    </row>
    <row r="27" spans="1:21" s="189" customFormat="1" ht="18">
      <c r="A27" s="222"/>
      <c r="B27" s="222" t="s">
        <v>347</v>
      </c>
      <c r="C27" s="223" t="s">
        <v>348</v>
      </c>
      <c r="D27" s="230">
        <f t="shared" si="0"/>
        <v>25000000</v>
      </c>
      <c r="E27" s="231">
        <v>0</v>
      </c>
      <c r="F27" s="231">
        <v>0</v>
      </c>
      <c r="G27" s="231">
        <v>25000000</v>
      </c>
      <c r="H27" s="231">
        <v>0</v>
      </c>
      <c r="I27" s="231">
        <v>0</v>
      </c>
      <c r="J27" s="231">
        <v>0</v>
      </c>
      <c r="K27" s="231">
        <v>0</v>
      </c>
      <c r="L27" s="231">
        <v>0</v>
      </c>
      <c r="M27" s="230">
        <f t="shared" si="2"/>
        <v>21971000</v>
      </c>
      <c r="N27" s="231">
        <v>0</v>
      </c>
      <c r="O27" s="231">
        <v>0</v>
      </c>
      <c r="P27" s="231">
        <f>25000000-2000000-1029000</f>
        <v>21971000</v>
      </c>
      <c r="Q27" s="231">
        <v>0</v>
      </c>
      <c r="R27" s="231">
        <v>0</v>
      </c>
      <c r="S27" s="231">
        <v>0</v>
      </c>
      <c r="T27" s="231">
        <v>0</v>
      </c>
      <c r="U27" s="231">
        <v>0</v>
      </c>
    </row>
    <row r="28" spans="1:21" s="189" customFormat="1" ht="18">
      <c r="A28" s="222"/>
      <c r="B28" s="222" t="s">
        <v>349</v>
      </c>
      <c r="C28" s="223" t="s">
        <v>995</v>
      </c>
      <c r="D28" s="230">
        <f t="shared" si="0"/>
        <v>7000000</v>
      </c>
      <c r="E28" s="231">
        <v>0</v>
      </c>
      <c r="F28" s="231">
        <v>0</v>
      </c>
      <c r="G28" s="231">
        <v>7000000</v>
      </c>
      <c r="H28" s="231">
        <v>0</v>
      </c>
      <c r="I28" s="231">
        <v>0</v>
      </c>
      <c r="J28" s="231">
        <v>0</v>
      </c>
      <c r="K28" s="231">
        <v>0</v>
      </c>
      <c r="L28" s="231">
        <v>0</v>
      </c>
      <c r="M28" s="230">
        <f t="shared" si="2"/>
        <v>28723931</v>
      </c>
      <c r="N28" s="231">
        <v>0</v>
      </c>
      <c r="O28" s="231">
        <v>0</v>
      </c>
      <c r="P28" s="231">
        <f>7297751-38100+5298440-5059846+466180+3000000</f>
        <v>10964425</v>
      </c>
      <c r="Q28" s="231">
        <v>0</v>
      </c>
      <c r="R28" s="231">
        <v>0</v>
      </c>
      <c r="S28" s="231">
        <f>0+38100+11919725-238594-17130+1225145-466180</f>
        <v>12461066</v>
      </c>
      <c r="T28" s="231">
        <f>0+5298440</f>
        <v>5298440</v>
      </c>
      <c r="U28" s="231">
        <v>0</v>
      </c>
    </row>
    <row r="29" spans="1:21" s="189" customFormat="1" ht="18">
      <c r="A29" s="222"/>
      <c r="B29" s="222" t="s">
        <v>350</v>
      </c>
      <c r="C29" s="223" t="s">
        <v>351</v>
      </c>
      <c r="D29" s="230">
        <f t="shared" si="0"/>
        <v>15000000</v>
      </c>
      <c r="E29" s="231">
        <v>0</v>
      </c>
      <c r="F29" s="231">
        <v>0</v>
      </c>
      <c r="G29" s="231">
        <v>15000000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0">
        <f t="shared" si="2"/>
        <v>20189807</v>
      </c>
      <c r="N29" s="231">
        <v>0</v>
      </c>
      <c r="O29" s="231">
        <v>0</v>
      </c>
      <c r="P29" s="231">
        <f>15000000+5189807</f>
        <v>20189807</v>
      </c>
      <c r="Q29" s="231">
        <v>0</v>
      </c>
      <c r="R29" s="231">
        <v>0</v>
      </c>
      <c r="S29" s="231">
        <v>0</v>
      </c>
      <c r="T29" s="231">
        <v>0</v>
      </c>
      <c r="U29" s="231">
        <v>0</v>
      </c>
    </row>
    <row r="30" spans="1:21" s="189" customFormat="1" ht="18">
      <c r="A30" s="222"/>
      <c r="B30" s="222" t="s">
        <v>352</v>
      </c>
      <c r="C30" s="223" t="s">
        <v>883</v>
      </c>
      <c r="D30" s="230">
        <f t="shared" si="0"/>
        <v>5000000</v>
      </c>
      <c r="E30" s="231">
        <v>0</v>
      </c>
      <c r="F30" s="231">
        <v>0</v>
      </c>
      <c r="G30" s="231">
        <v>5000000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0">
        <f t="shared" si="2"/>
        <v>0</v>
      </c>
      <c r="N30" s="231">
        <v>0</v>
      </c>
      <c r="O30" s="231">
        <v>0</v>
      </c>
      <c r="P30" s="231">
        <f>5000000-1000000-1644120-2355880</f>
        <v>0</v>
      </c>
      <c r="Q30" s="231">
        <v>0</v>
      </c>
      <c r="R30" s="231">
        <v>0</v>
      </c>
      <c r="S30" s="231">
        <v>0</v>
      </c>
      <c r="T30" s="231">
        <v>0</v>
      </c>
      <c r="U30" s="231">
        <v>0</v>
      </c>
    </row>
    <row r="31" spans="1:21" s="189" customFormat="1" ht="18">
      <c r="A31" s="222"/>
      <c r="B31" s="222" t="s">
        <v>354</v>
      </c>
      <c r="C31" s="223" t="s">
        <v>884</v>
      </c>
      <c r="D31" s="230">
        <f t="shared" si="0"/>
        <v>5000000</v>
      </c>
      <c r="E31" s="231">
        <v>0</v>
      </c>
      <c r="F31" s="231">
        <v>0</v>
      </c>
      <c r="G31" s="231">
        <v>5000000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230">
        <f t="shared" si="2"/>
        <v>2060080</v>
      </c>
      <c r="N31" s="231">
        <v>0</v>
      </c>
      <c r="O31" s="231">
        <f>0+17130</f>
        <v>17130</v>
      </c>
      <c r="P31" s="231">
        <f>5000000-1000000-2000000+896191-853241</f>
        <v>2042950</v>
      </c>
      <c r="Q31" s="231">
        <v>0</v>
      </c>
      <c r="R31" s="231">
        <v>0</v>
      </c>
      <c r="S31" s="231">
        <v>0</v>
      </c>
      <c r="T31" s="231">
        <v>0</v>
      </c>
      <c r="U31" s="231">
        <v>0</v>
      </c>
    </row>
    <row r="32" spans="1:21" s="189" customFormat="1" ht="18">
      <c r="A32" s="222"/>
      <c r="B32" s="222" t="s">
        <v>355</v>
      </c>
      <c r="C32" s="223" t="s">
        <v>353</v>
      </c>
      <c r="D32" s="230">
        <f t="shared" si="0"/>
        <v>15000000</v>
      </c>
      <c r="E32" s="231">
        <v>0</v>
      </c>
      <c r="F32" s="231">
        <v>0</v>
      </c>
      <c r="G32" s="231">
        <v>10000000</v>
      </c>
      <c r="H32" s="231">
        <v>0</v>
      </c>
      <c r="I32" s="231">
        <v>0</v>
      </c>
      <c r="J32" s="231">
        <f>30000000-25000000</f>
        <v>5000000</v>
      </c>
      <c r="K32" s="231">
        <v>0</v>
      </c>
      <c r="L32" s="231">
        <v>0</v>
      </c>
      <c r="M32" s="230">
        <f t="shared" si="2"/>
        <v>5993448</v>
      </c>
      <c r="N32" s="231">
        <v>0</v>
      </c>
      <c r="O32" s="231">
        <v>0</v>
      </c>
      <c r="P32" s="231">
        <f>15993448-10000000</f>
        <v>5993448</v>
      </c>
      <c r="Q32" s="231">
        <v>0</v>
      </c>
      <c r="R32" s="231">
        <v>0</v>
      </c>
      <c r="S32" s="231">
        <f>5000000-5000000</f>
        <v>0</v>
      </c>
      <c r="T32" s="231">
        <v>0</v>
      </c>
      <c r="U32" s="231">
        <v>0</v>
      </c>
    </row>
    <row r="33" spans="1:21" s="189" customFormat="1" ht="18">
      <c r="A33" s="222"/>
      <c r="B33" s="222" t="s">
        <v>357</v>
      </c>
      <c r="C33" s="223" t="s">
        <v>885</v>
      </c>
      <c r="D33" s="230">
        <f t="shared" si="0"/>
        <v>20000000</v>
      </c>
      <c r="E33" s="231"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f>25000000-20000000+15000000</f>
        <v>20000000</v>
      </c>
      <c r="K33" s="231">
        <v>0</v>
      </c>
      <c r="L33" s="231">
        <v>0</v>
      </c>
      <c r="M33" s="230">
        <f t="shared" si="2"/>
        <v>0</v>
      </c>
      <c r="N33" s="231">
        <v>0</v>
      </c>
      <c r="O33" s="231">
        <v>0</v>
      </c>
      <c r="P33" s="231">
        <v>0</v>
      </c>
      <c r="Q33" s="231">
        <v>0</v>
      </c>
      <c r="R33" s="231">
        <v>0</v>
      </c>
      <c r="S33" s="231">
        <f>20000000-20000000</f>
        <v>0</v>
      </c>
      <c r="T33" s="231">
        <v>0</v>
      </c>
      <c r="U33" s="231">
        <v>0</v>
      </c>
    </row>
    <row r="34" spans="1:21" s="189" customFormat="1" ht="18">
      <c r="A34" s="222"/>
      <c r="B34" s="222" t="s">
        <v>358</v>
      </c>
      <c r="C34" s="227" t="s">
        <v>356</v>
      </c>
      <c r="D34" s="230">
        <f t="shared" si="0"/>
        <v>2000000</v>
      </c>
      <c r="E34" s="231">
        <v>0</v>
      </c>
      <c r="F34" s="231">
        <v>0</v>
      </c>
      <c r="G34" s="233">
        <f>3500000-1500000</f>
        <v>2000000</v>
      </c>
      <c r="H34" s="231">
        <v>0</v>
      </c>
      <c r="I34" s="231">
        <v>0</v>
      </c>
      <c r="J34" s="233">
        <v>0</v>
      </c>
      <c r="K34" s="233">
        <v>0</v>
      </c>
      <c r="L34" s="233">
        <v>0</v>
      </c>
      <c r="M34" s="230">
        <f t="shared" si="2"/>
        <v>24130</v>
      </c>
      <c r="N34" s="231">
        <v>0</v>
      </c>
      <c r="O34" s="231">
        <v>0</v>
      </c>
      <c r="P34" s="233">
        <f>2000000-1975870</f>
        <v>24130</v>
      </c>
      <c r="Q34" s="231">
        <v>0</v>
      </c>
      <c r="R34" s="231">
        <v>0</v>
      </c>
      <c r="S34" s="233">
        <v>0</v>
      </c>
      <c r="T34" s="233">
        <v>0</v>
      </c>
      <c r="U34" s="233">
        <v>0</v>
      </c>
    </row>
    <row r="35" spans="1:21" s="189" customFormat="1" ht="18">
      <c r="A35" s="222"/>
      <c r="B35" s="222" t="s">
        <v>360</v>
      </c>
      <c r="C35" s="228" t="s">
        <v>1000</v>
      </c>
      <c r="D35" s="230">
        <f t="shared" si="0"/>
        <v>4000000</v>
      </c>
      <c r="E35" s="231">
        <v>0</v>
      </c>
      <c r="F35" s="231">
        <v>0</v>
      </c>
      <c r="G35" s="231">
        <v>0</v>
      </c>
      <c r="H35" s="231">
        <v>0</v>
      </c>
      <c r="I35" s="231">
        <v>0</v>
      </c>
      <c r="J35" s="233">
        <f>24000000-20000000</f>
        <v>4000000</v>
      </c>
      <c r="K35" s="233">
        <v>0</v>
      </c>
      <c r="L35" s="233">
        <v>0</v>
      </c>
      <c r="M35" s="230">
        <f t="shared" si="2"/>
        <v>0</v>
      </c>
      <c r="N35" s="231">
        <v>0</v>
      </c>
      <c r="O35" s="231">
        <v>0</v>
      </c>
      <c r="P35" s="231">
        <v>0</v>
      </c>
      <c r="Q35" s="231">
        <v>0</v>
      </c>
      <c r="R35" s="231">
        <v>0</v>
      </c>
      <c r="S35" s="233">
        <f>4000000-4000000</f>
        <v>0</v>
      </c>
      <c r="T35" s="233">
        <v>0</v>
      </c>
      <c r="U35" s="233">
        <v>0</v>
      </c>
    </row>
    <row r="36" spans="1:21" s="189" customFormat="1" ht="18">
      <c r="A36" s="222"/>
      <c r="B36" s="222" t="s">
        <v>362</v>
      </c>
      <c r="C36" s="229" t="s">
        <v>886</v>
      </c>
      <c r="D36" s="230">
        <f t="shared" si="0"/>
        <v>10000000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3">
        <v>10000000</v>
      </c>
      <c r="K36" s="233">
        <v>0</v>
      </c>
      <c r="L36" s="233">
        <v>0</v>
      </c>
      <c r="M36" s="230">
        <f t="shared" si="2"/>
        <v>12651867</v>
      </c>
      <c r="N36" s="231">
        <v>0</v>
      </c>
      <c r="O36" s="231">
        <v>0</v>
      </c>
      <c r="P36" s="231">
        <f>4082110+10000000-104140-1430243</f>
        <v>12547727</v>
      </c>
      <c r="Q36" s="231">
        <v>0</v>
      </c>
      <c r="R36" s="231">
        <v>0</v>
      </c>
      <c r="S36" s="233">
        <f>10000000-10000000+104140</f>
        <v>104140</v>
      </c>
      <c r="T36" s="233">
        <v>0</v>
      </c>
      <c r="U36" s="233">
        <v>0</v>
      </c>
    </row>
    <row r="37" spans="1:21" s="189" customFormat="1" ht="18">
      <c r="A37" s="222"/>
      <c r="B37" s="222" t="s">
        <v>1003</v>
      </c>
      <c r="C37" s="229" t="s">
        <v>1001</v>
      </c>
      <c r="D37" s="230">
        <f t="shared" si="0"/>
        <v>1000000</v>
      </c>
      <c r="E37" s="231">
        <v>0</v>
      </c>
      <c r="F37" s="231">
        <v>0</v>
      </c>
      <c r="G37" s="231">
        <v>0</v>
      </c>
      <c r="H37" s="231">
        <v>0</v>
      </c>
      <c r="I37" s="231">
        <v>0</v>
      </c>
      <c r="J37" s="233">
        <v>0</v>
      </c>
      <c r="K37" s="233">
        <v>1000000</v>
      </c>
      <c r="L37" s="233">
        <v>0</v>
      </c>
      <c r="M37" s="230">
        <f t="shared" si="2"/>
        <v>0</v>
      </c>
      <c r="N37" s="231">
        <v>0</v>
      </c>
      <c r="O37" s="231">
        <v>0</v>
      </c>
      <c r="P37" s="231">
        <v>0</v>
      </c>
      <c r="Q37" s="231">
        <v>0</v>
      </c>
      <c r="R37" s="231">
        <v>0</v>
      </c>
      <c r="S37" s="233">
        <v>0</v>
      </c>
      <c r="T37" s="233">
        <f>1000000-1000000</f>
        <v>0</v>
      </c>
      <c r="U37" s="233">
        <v>0</v>
      </c>
    </row>
    <row r="38" spans="1:21" s="189" customFormat="1" ht="18">
      <c r="A38" s="222"/>
      <c r="B38" s="222" t="s">
        <v>1004</v>
      </c>
      <c r="C38" s="229" t="s">
        <v>887</v>
      </c>
      <c r="D38" s="230">
        <f t="shared" si="0"/>
        <v>1000000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3">
        <v>0</v>
      </c>
      <c r="K38" s="233">
        <v>1000000</v>
      </c>
      <c r="L38" s="233">
        <v>0</v>
      </c>
      <c r="M38" s="230">
        <f t="shared" si="2"/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233">
        <v>0</v>
      </c>
      <c r="T38" s="233">
        <f>1000000-1000000</f>
        <v>0</v>
      </c>
      <c r="U38" s="233">
        <v>0</v>
      </c>
    </row>
    <row r="39" spans="1:21" s="189" customFormat="1" ht="18">
      <c r="A39" s="222"/>
      <c r="B39" s="222" t="s">
        <v>1005</v>
      </c>
      <c r="C39" s="229" t="s">
        <v>1002</v>
      </c>
      <c r="D39" s="230">
        <f t="shared" si="0"/>
        <v>1500000</v>
      </c>
      <c r="E39" s="231">
        <v>0</v>
      </c>
      <c r="F39" s="231">
        <v>0</v>
      </c>
      <c r="G39" s="231">
        <v>0</v>
      </c>
      <c r="H39" s="231">
        <v>0</v>
      </c>
      <c r="I39" s="231">
        <v>0</v>
      </c>
      <c r="J39" s="233">
        <v>0</v>
      </c>
      <c r="K39" s="233">
        <v>1500000</v>
      </c>
      <c r="L39" s="233">
        <v>0</v>
      </c>
      <c r="M39" s="230">
        <f t="shared" si="2"/>
        <v>0</v>
      </c>
      <c r="N39" s="231">
        <v>0</v>
      </c>
      <c r="O39" s="231">
        <v>0</v>
      </c>
      <c r="P39" s="231">
        <v>0</v>
      </c>
      <c r="Q39" s="231">
        <v>0</v>
      </c>
      <c r="R39" s="231">
        <v>0</v>
      </c>
      <c r="S39" s="233">
        <v>0</v>
      </c>
      <c r="T39" s="233">
        <f>1500000-1500000</f>
        <v>0</v>
      </c>
      <c r="U39" s="233">
        <v>0</v>
      </c>
    </row>
    <row r="40" spans="1:21" s="189" customFormat="1" ht="18">
      <c r="A40" s="222"/>
      <c r="B40" s="222" t="s">
        <v>1006</v>
      </c>
      <c r="C40" s="229" t="s">
        <v>888</v>
      </c>
      <c r="D40" s="234">
        <f t="shared" si="0"/>
        <v>6000000</v>
      </c>
      <c r="E40" s="231">
        <v>0</v>
      </c>
      <c r="F40" s="231">
        <v>0</v>
      </c>
      <c r="G40" s="233">
        <v>6000000</v>
      </c>
      <c r="H40" s="231">
        <v>0</v>
      </c>
      <c r="I40" s="231">
        <v>0</v>
      </c>
      <c r="J40" s="233">
        <v>0</v>
      </c>
      <c r="K40" s="233">
        <v>0</v>
      </c>
      <c r="L40" s="233">
        <v>0</v>
      </c>
      <c r="M40" s="234">
        <f t="shared" si="2"/>
        <v>400000</v>
      </c>
      <c r="N40" s="231">
        <v>0</v>
      </c>
      <c r="O40" s="231">
        <v>0</v>
      </c>
      <c r="P40" s="233">
        <f>6000000-1000000-400000-4600000</f>
        <v>0</v>
      </c>
      <c r="Q40" s="231">
        <v>0</v>
      </c>
      <c r="R40" s="231">
        <f>0+400000</f>
        <v>400000</v>
      </c>
      <c r="S40" s="233">
        <v>0</v>
      </c>
      <c r="T40" s="233">
        <v>0</v>
      </c>
      <c r="U40" s="233">
        <v>0</v>
      </c>
    </row>
    <row r="41" spans="1:21" s="189" customFormat="1" ht="18">
      <c r="A41" s="222"/>
      <c r="B41" s="222" t="s">
        <v>1007</v>
      </c>
      <c r="C41" s="229" t="s">
        <v>889</v>
      </c>
      <c r="D41" s="234">
        <f t="shared" si="0"/>
        <v>5000000</v>
      </c>
      <c r="E41" s="231">
        <v>0</v>
      </c>
      <c r="F41" s="231">
        <v>0</v>
      </c>
      <c r="G41" s="233">
        <v>5000000</v>
      </c>
      <c r="H41" s="231">
        <v>0</v>
      </c>
      <c r="I41" s="231">
        <v>0</v>
      </c>
      <c r="J41" s="233">
        <v>0</v>
      </c>
      <c r="K41" s="233">
        <v>0</v>
      </c>
      <c r="L41" s="233">
        <v>0</v>
      </c>
      <c r="M41" s="234">
        <f t="shared" si="2"/>
        <v>4833620</v>
      </c>
      <c r="N41" s="231">
        <v>0</v>
      </c>
      <c r="O41" s="231">
        <v>0</v>
      </c>
      <c r="P41" s="233">
        <f>5000000-166380</f>
        <v>4833620</v>
      </c>
      <c r="Q41" s="231">
        <v>0</v>
      </c>
      <c r="R41" s="231">
        <v>0</v>
      </c>
      <c r="S41" s="233">
        <v>0</v>
      </c>
      <c r="T41" s="233">
        <v>0</v>
      </c>
      <c r="U41" s="233">
        <v>0</v>
      </c>
    </row>
    <row r="42" spans="1:21" s="189" customFormat="1" ht="18">
      <c r="A42" s="222"/>
      <c r="B42" s="222" t="s">
        <v>1008</v>
      </c>
      <c r="C42" s="229" t="s">
        <v>890</v>
      </c>
      <c r="D42" s="234">
        <f t="shared" si="0"/>
        <v>5000000</v>
      </c>
      <c r="E42" s="231">
        <v>0</v>
      </c>
      <c r="F42" s="231">
        <v>0</v>
      </c>
      <c r="G42" s="233">
        <v>5000000</v>
      </c>
      <c r="H42" s="231">
        <v>0</v>
      </c>
      <c r="I42" s="231">
        <v>0</v>
      </c>
      <c r="J42" s="233">
        <v>0</v>
      </c>
      <c r="K42" s="233">
        <v>0</v>
      </c>
      <c r="L42" s="233">
        <v>0</v>
      </c>
      <c r="M42" s="234">
        <f t="shared" si="2"/>
        <v>0</v>
      </c>
      <c r="N42" s="231">
        <v>0</v>
      </c>
      <c r="O42" s="231">
        <v>0</v>
      </c>
      <c r="P42" s="233">
        <f>5000000-1000000-1000000-3000000</f>
        <v>0</v>
      </c>
      <c r="Q42" s="231">
        <v>0</v>
      </c>
      <c r="R42" s="231">
        <v>0</v>
      </c>
      <c r="S42" s="233">
        <v>0</v>
      </c>
      <c r="T42" s="233">
        <v>0</v>
      </c>
      <c r="U42" s="233">
        <v>0</v>
      </c>
    </row>
    <row r="43" spans="1:21" s="189" customFormat="1" ht="18">
      <c r="A43" s="222"/>
      <c r="B43" s="222" t="s">
        <v>1009</v>
      </c>
      <c r="C43" s="229" t="s">
        <v>891</v>
      </c>
      <c r="D43" s="234">
        <f t="shared" si="0"/>
        <v>3000000</v>
      </c>
      <c r="E43" s="231">
        <v>0</v>
      </c>
      <c r="F43" s="231">
        <v>0</v>
      </c>
      <c r="G43" s="233">
        <v>3000000</v>
      </c>
      <c r="H43" s="231">
        <v>0</v>
      </c>
      <c r="I43" s="231">
        <v>0</v>
      </c>
      <c r="J43" s="233">
        <v>0</v>
      </c>
      <c r="K43" s="233">
        <v>0</v>
      </c>
      <c r="L43" s="233">
        <v>0</v>
      </c>
      <c r="M43" s="234">
        <f t="shared" si="2"/>
        <v>1411994</v>
      </c>
      <c r="N43" s="231">
        <f>0+151420+154</f>
        <v>151574</v>
      </c>
      <c r="O43" s="231">
        <f>0+100000-30577</f>
        <v>69423</v>
      </c>
      <c r="P43" s="233">
        <f>3000000-100000-120843-154-1588006</f>
        <v>1190997</v>
      </c>
      <c r="Q43" s="231">
        <v>0</v>
      </c>
      <c r="R43" s="231">
        <v>0</v>
      </c>
      <c r="S43" s="233">
        <v>0</v>
      </c>
      <c r="T43" s="233">
        <v>0</v>
      </c>
      <c r="U43" s="233">
        <v>0</v>
      </c>
    </row>
    <row r="44" spans="1:21" s="189" customFormat="1" ht="18">
      <c r="A44" s="222"/>
      <c r="B44" s="222" t="s">
        <v>1010</v>
      </c>
      <c r="C44" s="227" t="s">
        <v>359</v>
      </c>
      <c r="D44" s="234">
        <f t="shared" si="0"/>
        <v>0</v>
      </c>
      <c r="E44" s="231">
        <v>0</v>
      </c>
      <c r="F44" s="231">
        <v>0</v>
      </c>
      <c r="G44" s="233">
        <v>0</v>
      </c>
      <c r="H44" s="231">
        <v>0</v>
      </c>
      <c r="I44" s="231">
        <v>0</v>
      </c>
      <c r="J44" s="233">
        <v>0</v>
      </c>
      <c r="K44" s="233">
        <v>0</v>
      </c>
      <c r="L44" s="233">
        <v>0</v>
      </c>
      <c r="M44" s="234">
        <f t="shared" si="2"/>
        <v>0</v>
      </c>
      <c r="N44" s="231">
        <v>0</v>
      </c>
      <c r="O44" s="231">
        <v>0</v>
      </c>
      <c r="P44" s="233">
        <v>0</v>
      </c>
      <c r="Q44" s="231">
        <v>0</v>
      </c>
      <c r="R44" s="231">
        <v>0</v>
      </c>
      <c r="S44" s="233">
        <v>0</v>
      </c>
      <c r="T44" s="233">
        <v>0</v>
      </c>
      <c r="U44" s="233">
        <v>0</v>
      </c>
    </row>
    <row r="45" spans="1:21" s="189" customFormat="1" ht="27.75" customHeight="1">
      <c r="A45" s="222"/>
      <c r="B45" s="222" t="s">
        <v>1011</v>
      </c>
      <c r="C45" s="227" t="s">
        <v>361</v>
      </c>
      <c r="D45" s="234">
        <f t="shared" si="0"/>
        <v>35000000</v>
      </c>
      <c r="E45" s="231">
        <v>0</v>
      </c>
      <c r="F45" s="231">
        <v>0</v>
      </c>
      <c r="G45" s="233">
        <v>0</v>
      </c>
      <c r="H45" s="233">
        <v>0</v>
      </c>
      <c r="I45" s="233">
        <f>50000000-15000000</f>
        <v>35000000</v>
      </c>
      <c r="J45" s="233">
        <v>0</v>
      </c>
      <c r="K45" s="233">
        <v>0</v>
      </c>
      <c r="L45" s="233">
        <v>0</v>
      </c>
      <c r="M45" s="234">
        <f t="shared" si="2"/>
        <v>80000000</v>
      </c>
      <c r="N45" s="231">
        <v>0</v>
      </c>
      <c r="O45" s="231">
        <v>0</v>
      </c>
      <c r="P45" s="233">
        <v>0</v>
      </c>
      <c r="Q45" s="233">
        <v>0</v>
      </c>
      <c r="R45" s="233">
        <f>60000000+20000000</f>
        <v>80000000</v>
      </c>
      <c r="S45" s="233">
        <v>0</v>
      </c>
      <c r="T45" s="233">
        <v>0</v>
      </c>
      <c r="U45" s="233">
        <v>0</v>
      </c>
    </row>
    <row r="46" spans="1:21" s="189" customFormat="1" ht="28.5">
      <c r="A46" s="222"/>
      <c r="B46" s="222" t="s">
        <v>1012</v>
      </c>
      <c r="C46" s="191" t="s">
        <v>1035</v>
      </c>
      <c r="D46" s="234">
        <f t="shared" si="0"/>
        <v>3000000</v>
      </c>
      <c r="E46" s="231">
        <v>0</v>
      </c>
      <c r="F46" s="231">
        <v>0</v>
      </c>
      <c r="G46" s="233">
        <v>0</v>
      </c>
      <c r="H46" s="233">
        <v>0</v>
      </c>
      <c r="I46" s="233">
        <f>5000000-2000000</f>
        <v>3000000</v>
      </c>
      <c r="J46" s="233">
        <v>0</v>
      </c>
      <c r="K46" s="233">
        <v>0</v>
      </c>
      <c r="L46" s="233">
        <v>0</v>
      </c>
      <c r="M46" s="234">
        <f t="shared" si="2"/>
        <v>0</v>
      </c>
      <c r="N46" s="231">
        <v>0</v>
      </c>
      <c r="O46" s="231">
        <v>0</v>
      </c>
      <c r="P46" s="233">
        <v>0</v>
      </c>
      <c r="Q46" s="233">
        <v>0</v>
      </c>
      <c r="R46" s="233">
        <f>3000000-2000000-1000000</f>
        <v>0</v>
      </c>
      <c r="S46" s="233">
        <v>0</v>
      </c>
      <c r="T46" s="233">
        <v>0</v>
      </c>
      <c r="U46" s="233">
        <v>0</v>
      </c>
    </row>
    <row r="47" spans="1:21" s="189" customFormat="1" ht="28.5">
      <c r="A47" s="222"/>
      <c r="B47" s="222" t="s">
        <v>1013</v>
      </c>
      <c r="C47" s="225" t="s">
        <v>856</v>
      </c>
      <c r="D47" s="234">
        <f>SUM(E47:L47)</f>
        <v>5000000</v>
      </c>
      <c r="E47" s="231">
        <v>0</v>
      </c>
      <c r="F47" s="231">
        <v>0</v>
      </c>
      <c r="G47" s="233">
        <v>5000000</v>
      </c>
      <c r="H47" s="233">
        <v>0</v>
      </c>
      <c r="I47" s="233">
        <v>0</v>
      </c>
      <c r="J47" s="233">
        <v>0</v>
      </c>
      <c r="K47" s="233">
        <v>0</v>
      </c>
      <c r="L47" s="233">
        <v>0</v>
      </c>
      <c r="M47" s="234">
        <f>SUM(N47:U47)</f>
        <v>0</v>
      </c>
      <c r="N47" s="231">
        <v>0</v>
      </c>
      <c r="O47" s="231">
        <v>0</v>
      </c>
      <c r="P47" s="233">
        <f>5000000-5000000</f>
        <v>0</v>
      </c>
      <c r="Q47" s="233">
        <v>0</v>
      </c>
      <c r="R47" s="233">
        <v>0</v>
      </c>
      <c r="S47" s="233">
        <v>0</v>
      </c>
      <c r="T47" s="233">
        <v>0</v>
      </c>
      <c r="U47" s="233">
        <v>0</v>
      </c>
    </row>
    <row r="48" spans="1:21" s="189" customFormat="1" ht="18">
      <c r="A48" s="190"/>
      <c r="B48" s="222" t="s">
        <v>1014</v>
      </c>
      <c r="C48" s="226" t="s">
        <v>483</v>
      </c>
      <c r="D48" s="234">
        <f>SUM(E48:L48)</f>
        <v>40000000</v>
      </c>
      <c r="E48" s="231">
        <v>0</v>
      </c>
      <c r="F48" s="231">
        <v>0</v>
      </c>
      <c r="G48" s="233">
        <v>40000000</v>
      </c>
      <c r="H48" s="233">
        <v>0</v>
      </c>
      <c r="I48" s="233">
        <v>0</v>
      </c>
      <c r="J48" s="233">
        <v>0</v>
      </c>
      <c r="K48" s="233">
        <v>0</v>
      </c>
      <c r="L48" s="233">
        <v>0</v>
      </c>
      <c r="M48" s="234">
        <f>SUM(N48:U48)</f>
        <v>0</v>
      </c>
      <c r="N48" s="231">
        <v>0</v>
      </c>
      <c r="O48" s="231">
        <v>0</v>
      </c>
      <c r="P48" s="233">
        <f>40000000-40000000</f>
        <v>0</v>
      </c>
      <c r="Q48" s="233">
        <v>0</v>
      </c>
      <c r="R48" s="233">
        <v>0</v>
      </c>
      <c r="S48" s="233">
        <v>0</v>
      </c>
      <c r="T48" s="233">
        <v>0</v>
      </c>
      <c r="U48" s="233">
        <v>0</v>
      </c>
    </row>
    <row r="49" spans="1:21" ht="18">
      <c r="A49" s="192" t="s">
        <v>59</v>
      </c>
      <c r="B49" s="192"/>
      <c r="C49" s="193" t="s">
        <v>44</v>
      </c>
      <c r="D49" s="194">
        <f>SUM(E49:L49)</f>
        <v>0</v>
      </c>
      <c r="E49" s="195">
        <f aca="true" t="shared" si="7" ref="E49:L49">SUM(E50)</f>
        <v>0</v>
      </c>
      <c r="F49" s="195">
        <f t="shared" si="7"/>
        <v>0</v>
      </c>
      <c r="G49" s="195">
        <f t="shared" si="7"/>
        <v>0</v>
      </c>
      <c r="H49" s="195">
        <f t="shared" si="7"/>
        <v>0</v>
      </c>
      <c r="I49" s="195">
        <f t="shared" si="7"/>
        <v>0</v>
      </c>
      <c r="J49" s="195">
        <f t="shared" si="7"/>
        <v>0</v>
      </c>
      <c r="K49" s="195">
        <f t="shared" si="7"/>
        <v>0</v>
      </c>
      <c r="L49" s="195">
        <f t="shared" si="7"/>
        <v>0</v>
      </c>
      <c r="M49" s="194">
        <f>SUM(N49:U49)</f>
        <v>0</v>
      </c>
      <c r="N49" s="195">
        <f aca="true" t="shared" si="8" ref="N49:U49">SUM(N50)</f>
        <v>0</v>
      </c>
      <c r="O49" s="195">
        <f t="shared" si="8"/>
        <v>0</v>
      </c>
      <c r="P49" s="195">
        <f t="shared" si="8"/>
        <v>0</v>
      </c>
      <c r="Q49" s="195">
        <f t="shared" si="8"/>
        <v>0</v>
      </c>
      <c r="R49" s="195">
        <f t="shared" si="8"/>
        <v>0</v>
      </c>
      <c r="S49" s="195">
        <f t="shared" si="8"/>
        <v>0</v>
      </c>
      <c r="T49" s="195">
        <f t="shared" si="8"/>
        <v>0</v>
      </c>
      <c r="U49" s="195">
        <f t="shared" si="8"/>
        <v>0</v>
      </c>
    </row>
    <row r="50" spans="1:21" s="189" customFormat="1" ht="18">
      <c r="A50" s="222"/>
      <c r="B50" s="222" t="s">
        <v>363</v>
      </c>
      <c r="C50" s="191"/>
      <c r="D50" s="230">
        <f>SUM(E50:L50)</f>
        <v>0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0</v>
      </c>
      <c r="L50" s="235">
        <v>0</v>
      </c>
      <c r="M50" s="230">
        <f>SUM(N50:U50)</f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5">
        <v>0</v>
      </c>
    </row>
    <row r="51" spans="1:21" ht="32.25" customHeight="1">
      <c r="A51" s="329" t="s">
        <v>326</v>
      </c>
      <c r="B51" s="329"/>
      <c r="C51" s="329"/>
      <c r="D51" s="194">
        <f>SUM(E51:L51)</f>
        <v>1261500000</v>
      </c>
      <c r="E51" s="195">
        <f aca="true" t="shared" si="9" ref="E51:L51">E10+E26+E49</f>
        <v>0</v>
      </c>
      <c r="F51" s="195">
        <f t="shared" si="9"/>
        <v>0</v>
      </c>
      <c r="G51" s="195">
        <f t="shared" si="9"/>
        <v>1062500000</v>
      </c>
      <c r="H51" s="195">
        <f t="shared" si="9"/>
        <v>0</v>
      </c>
      <c r="I51" s="195">
        <f t="shared" si="9"/>
        <v>44000000</v>
      </c>
      <c r="J51" s="195">
        <f t="shared" si="9"/>
        <v>69000000</v>
      </c>
      <c r="K51" s="195">
        <f t="shared" si="9"/>
        <v>86000000</v>
      </c>
      <c r="L51" s="195">
        <f t="shared" si="9"/>
        <v>0</v>
      </c>
      <c r="M51" s="194">
        <f>SUM(N51:U51)</f>
        <v>1319950081</v>
      </c>
      <c r="N51" s="195">
        <f aca="true" t="shared" si="10" ref="N51:U51">N10+N26+N49</f>
        <v>151574</v>
      </c>
      <c r="O51" s="195">
        <f t="shared" si="10"/>
        <v>86553</v>
      </c>
      <c r="P51" s="195">
        <f t="shared" si="10"/>
        <v>1130508777</v>
      </c>
      <c r="Q51" s="195">
        <f t="shared" si="10"/>
        <v>0</v>
      </c>
      <c r="R51" s="195">
        <f t="shared" si="10"/>
        <v>83400000</v>
      </c>
      <c r="S51" s="195">
        <f t="shared" si="10"/>
        <v>15939737</v>
      </c>
      <c r="T51" s="195">
        <f t="shared" si="10"/>
        <v>87863440</v>
      </c>
      <c r="U51" s="195">
        <f t="shared" si="10"/>
        <v>2000000</v>
      </c>
    </row>
    <row r="52" s="181" customFormat="1" ht="12.75"/>
    <row r="53" s="181" customFormat="1" ht="12.75"/>
    <row r="54" s="181" customFormat="1" ht="12.75"/>
    <row r="55" s="181" customFormat="1" ht="12.75"/>
    <row r="56" s="181" customFormat="1" ht="12.75"/>
    <row r="57" s="181" customFormat="1" ht="12.75"/>
    <row r="58" s="181" customFormat="1" ht="12.75"/>
    <row r="59" s="181" customFormat="1" ht="12.75"/>
    <row r="60" s="181" customFormat="1" ht="12.75"/>
    <row r="61" s="181" customFormat="1" ht="12.75"/>
    <row r="62" s="181" customFormat="1" ht="12.75"/>
    <row r="63" s="181" customFormat="1" ht="12.75"/>
    <row r="64" s="181" customFormat="1" ht="12.75"/>
    <row r="65" s="181" customFormat="1" ht="12.75"/>
    <row r="66" s="181" customFormat="1" ht="12.75"/>
    <row r="67" s="181" customFormat="1" ht="12.75"/>
  </sheetData>
  <sheetProtection selectLockedCells="1" selectUnlockedCells="1"/>
  <mergeCells count="16">
    <mergeCell ref="A51:C51"/>
    <mergeCell ref="C7:C9"/>
    <mergeCell ref="D7:D9"/>
    <mergeCell ref="E7:L7"/>
    <mergeCell ref="E8:I8"/>
    <mergeCell ref="J8:L8"/>
    <mergeCell ref="A1:U1"/>
    <mergeCell ref="A2:U2"/>
    <mergeCell ref="A3:U3"/>
    <mergeCell ref="A4:U4"/>
    <mergeCell ref="M7:M9"/>
    <mergeCell ref="N7:U7"/>
    <mergeCell ref="N8:R8"/>
    <mergeCell ref="S8:U8"/>
    <mergeCell ref="A7:A9"/>
    <mergeCell ref="B7:B9"/>
  </mergeCells>
  <printOptions horizontalCentered="1" verticalCentered="1"/>
  <pageMargins left="0.5118110236220472" right="0.5118110236220472" top="0.7480314960629921" bottom="0.7480314960629921" header="0.5118110236220472" footer="0.5118110236220472"/>
  <pageSetup fitToHeight="1" fitToWidth="1" horizontalDpi="300" verticalDpi="300" orientation="landscape" paperSize="8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168"/>
  <sheetViews>
    <sheetView view="pageBreakPreview" zoomScale="50" zoomScaleNormal="46" zoomScaleSheetLayoutView="50" zoomScalePageLayoutView="0" workbookViewId="0" topLeftCell="D1">
      <pane xSplit="2" ySplit="12" topLeftCell="F13" activePane="bottomRight" state="frozen"/>
      <selection pane="topLeft" activeCell="D1" sqref="D1"/>
      <selection pane="topRight" activeCell="F1" sqref="F1"/>
      <selection pane="bottomLeft" activeCell="D13" sqref="D13"/>
      <selection pane="bottomRight" activeCell="B1" sqref="B1:V1"/>
    </sheetView>
  </sheetViews>
  <sheetFormatPr defaultColWidth="9.140625" defaultRowHeight="12.75"/>
  <cols>
    <col min="1" max="1" width="7.28125" style="113" customWidth="1"/>
    <col min="2" max="2" width="17.00390625" style="113" customWidth="1"/>
    <col min="3" max="3" width="4.57421875" style="113" customWidth="1"/>
    <col min="4" max="4" width="80.28125" style="114" customWidth="1"/>
    <col min="5" max="5" width="28.28125" style="113" customWidth="1"/>
    <col min="6" max="6" width="17.7109375" style="113" customWidth="1"/>
    <col min="7" max="7" width="23.28125" style="113" customWidth="1"/>
    <col min="8" max="8" width="26.421875" style="113" customWidth="1"/>
    <col min="9" max="9" width="19.00390625" style="113" customWidth="1"/>
    <col min="10" max="10" width="22.7109375" style="113" customWidth="1"/>
    <col min="11" max="11" width="28.421875" style="113" customWidth="1"/>
    <col min="12" max="12" width="24.421875" style="113" customWidth="1"/>
    <col min="13" max="13" width="29.421875" style="113" customWidth="1"/>
    <col min="14" max="14" width="25.57421875" style="113" customWidth="1"/>
    <col min="15" max="15" width="24.7109375" style="113" customWidth="1"/>
    <col min="16" max="16" width="25.00390625" style="113" customWidth="1"/>
    <col min="17" max="17" width="26.00390625" style="113" customWidth="1"/>
    <col min="18" max="18" width="21.8515625" style="113" customWidth="1"/>
    <col min="19" max="19" width="32.8515625" style="113" customWidth="1"/>
    <col min="20" max="20" width="30.28125" style="113" customWidth="1"/>
    <col min="21" max="21" width="24.421875" style="113" customWidth="1"/>
    <col min="22" max="22" width="27.28125" style="113" customWidth="1"/>
    <col min="23" max="16384" width="9.140625" style="113" customWidth="1"/>
  </cols>
  <sheetData>
    <row r="1" spans="2:22" ht="20.25">
      <c r="B1" s="332" t="s">
        <v>1257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</row>
    <row r="2" spans="2:22" ht="23.25" customHeight="1">
      <c r="B2" s="263" t="s">
        <v>1054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2" ht="18" customHeight="1">
      <c r="A3" s="275" t="s">
        <v>364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</row>
    <row r="4" spans="1:22" ht="20.25">
      <c r="A4" s="276" t="s">
        <v>365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</row>
    <row r="5" spans="1:22" ht="23.25">
      <c r="A5" s="115"/>
      <c r="B5" s="115"/>
      <c r="C5" s="115"/>
      <c r="D5" s="116"/>
      <c r="E5" s="115"/>
      <c r="F5" s="115"/>
      <c r="G5" s="115"/>
      <c r="H5" s="115"/>
      <c r="I5" s="115"/>
      <c r="J5" s="115"/>
      <c r="K5" s="115"/>
      <c r="L5" s="115"/>
      <c r="M5" s="242"/>
      <c r="V5" s="242" t="s">
        <v>1</v>
      </c>
    </row>
    <row r="6" spans="1:22" ht="23.25">
      <c r="A6" s="117" t="s">
        <v>2</v>
      </c>
      <c r="B6" s="117" t="s">
        <v>3</v>
      </c>
      <c r="C6" s="117" t="s">
        <v>4</v>
      </c>
      <c r="D6" s="118" t="s">
        <v>5</v>
      </c>
      <c r="E6" s="117" t="s">
        <v>6</v>
      </c>
      <c r="F6" s="117" t="s">
        <v>7</v>
      </c>
      <c r="G6" s="117" t="s">
        <v>8</v>
      </c>
      <c r="H6" s="117" t="s">
        <v>9</v>
      </c>
      <c r="I6" s="117" t="s">
        <v>10</v>
      </c>
      <c r="J6" s="117" t="s">
        <v>11</v>
      </c>
      <c r="K6" s="119" t="s">
        <v>12</v>
      </c>
      <c r="L6" s="117" t="s">
        <v>13</v>
      </c>
      <c r="M6" s="119" t="s">
        <v>14</v>
      </c>
      <c r="N6" s="117" t="s">
        <v>15</v>
      </c>
      <c r="O6" s="117" t="s">
        <v>16</v>
      </c>
      <c r="P6" s="117" t="s">
        <v>17</v>
      </c>
      <c r="Q6" s="117" t="s">
        <v>18</v>
      </c>
      <c r="R6" s="117" t="s">
        <v>19</v>
      </c>
      <c r="S6" s="117" t="s">
        <v>20</v>
      </c>
      <c r="T6" s="117" t="s">
        <v>21</v>
      </c>
      <c r="U6" s="117" t="s">
        <v>22</v>
      </c>
      <c r="V6" s="117" t="s">
        <v>181</v>
      </c>
    </row>
    <row r="7" spans="1:22" ht="27.75" customHeight="1">
      <c r="A7" s="350" t="s">
        <v>24</v>
      </c>
      <c r="B7" s="350" t="s">
        <v>185</v>
      </c>
      <c r="C7" s="350" t="s">
        <v>366</v>
      </c>
      <c r="D7" s="335" t="s">
        <v>25</v>
      </c>
      <c r="E7" s="334" t="s">
        <v>853</v>
      </c>
      <c r="F7" s="333" t="s">
        <v>26</v>
      </c>
      <c r="G7" s="333"/>
      <c r="H7" s="333"/>
      <c r="I7" s="333"/>
      <c r="J7" s="333"/>
      <c r="K7" s="333"/>
      <c r="L7" s="333"/>
      <c r="M7" s="333"/>
      <c r="N7" s="334" t="s">
        <v>1049</v>
      </c>
      <c r="O7" s="333" t="s">
        <v>1047</v>
      </c>
      <c r="P7" s="333"/>
      <c r="Q7" s="333"/>
      <c r="R7" s="333"/>
      <c r="S7" s="333"/>
      <c r="T7" s="333"/>
      <c r="U7" s="333"/>
      <c r="V7" s="333"/>
    </row>
    <row r="8" spans="1:22" ht="27.75" customHeight="1">
      <c r="A8" s="350"/>
      <c r="B8" s="350"/>
      <c r="C8" s="350"/>
      <c r="D8" s="335"/>
      <c r="E8" s="334"/>
      <c r="F8" s="336" t="s">
        <v>27</v>
      </c>
      <c r="G8" s="336"/>
      <c r="H8" s="336"/>
      <c r="I8" s="336"/>
      <c r="J8" s="336"/>
      <c r="K8" s="336" t="s">
        <v>28</v>
      </c>
      <c r="L8" s="336"/>
      <c r="M8" s="336"/>
      <c r="N8" s="334"/>
      <c r="O8" s="336" t="s">
        <v>27</v>
      </c>
      <c r="P8" s="336"/>
      <c r="Q8" s="336"/>
      <c r="R8" s="336"/>
      <c r="S8" s="336"/>
      <c r="T8" s="336" t="s">
        <v>28</v>
      </c>
      <c r="U8" s="336"/>
      <c r="V8" s="336"/>
    </row>
    <row r="9" spans="1:22" ht="141.75">
      <c r="A9" s="350"/>
      <c r="B9" s="350"/>
      <c r="C9" s="350"/>
      <c r="D9" s="335"/>
      <c r="E9" s="334"/>
      <c r="F9" s="120" t="s">
        <v>29</v>
      </c>
      <c r="G9" s="120" t="s">
        <v>30</v>
      </c>
      <c r="H9" s="120" t="s">
        <v>31</v>
      </c>
      <c r="I9" s="120" t="s">
        <v>32</v>
      </c>
      <c r="J9" s="120" t="s">
        <v>33</v>
      </c>
      <c r="K9" s="120" t="s">
        <v>34</v>
      </c>
      <c r="L9" s="120" t="s">
        <v>35</v>
      </c>
      <c r="M9" s="120" t="s">
        <v>36</v>
      </c>
      <c r="N9" s="334"/>
      <c r="O9" s="120" t="s">
        <v>29</v>
      </c>
      <c r="P9" s="120" t="s">
        <v>30</v>
      </c>
      <c r="Q9" s="120" t="s">
        <v>31</v>
      </c>
      <c r="R9" s="120" t="s">
        <v>32</v>
      </c>
      <c r="S9" s="120" t="s">
        <v>33</v>
      </c>
      <c r="T9" s="120" t="s">
        <v>34</v>
      </c>
      <c r="U9" s="120" t="s">
        <v>35</v>
      </c>
      <c r="V9" s="120" t="s">
        <v>36</v>
      </c>
    </row>
    <row r="10" spans="1:22" ht="23.25">
      <c r="A10" s="121" t="s">
        <v>62</v>
      </c>
      <c r="B10" s="121"/>
      <c r="C10" s="121"/>
      <c r="D10" s="122" t="s">
        <v>40</v>
      </c>
      <c r="E10" s="123">
        <f>SUM(F10:M10)</f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3">
        <v>0</v>
      </c>
      <c r="N10" s="123">
        <f>SUM(O10:V10)</f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3">
        <v>0</v>
      </c>
    </row>
    <row r="11" spans="1:22" ht="23.25">
      <c r="A11" s="121" t="s">
        <v>63</v>
      </c>
      <c r="B11" s="212"/>
      <c r="C11" s="212"/>
      <c r="D11" s="125" t="s">
        <v>42</v>
      </c>
      <c r="E11" s="123">
        <f>SUM(F11:M11)</f>
        <v>29505745004</v>
      </c>
      <c r="F11" s="124">
        <f>SUM(F13:F160)</f>
        <v>0</v>
      </c>
      <c r="G11" s="124">
        <f aca="true" t="shared" si="0" ref="G11:M11">SUM(G13:G160)</f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124">
        <f t="shared" si="0"/>
        <v>25113229943</v>
      </c>
      <c r="L11" s="124">
        <f t="shared" si="0"/>
        <v>4392515061</v>
      </c>
      <c r="M11" s="124">
        <f t="shared" si="0"/>
        <v>0</v>
      </c>
      <c r="N11" s="123">
        <f>SUM(O11:V11)</f>
        <v>49060187521</v>
      </c>
      <c r="O11" s="124">
        <f>SUM(O12:O160)</f>
        <v>0</v>
      </c>
      <c r="P11" s="124">
        <f aca="true" t="shared" si="1" ref="P11:V11">SUM(P12:P160)</f>
        <v>0</v>
      </c>
      <c r="Q11" s="124">
        <f t="shared" si="1"/>
        <v>2796754272</v>
      </c>
      <c r="R11" s="124">
        <f t="shared" si="1"/>
        <v>0</v>
      </c>
      <c r="S11" s="124">
        <f t="shared" si="1"/>
        <v>24975748</v>
      </c>
      <c r="T11" s="124">
        <f t="shared" si="1"/>
        <v>37496958661</v>
      </c>
      <c r="U11" s="124">
        <f t="shared" si="1"/>
        <v>8183265222</v>
      </c>
      <c r="V11" s="124">
        <f t="shared" si="1"/>
        <v>558233618</v>
      </c>
    </row>
    <row r="12" spans="1:22" ht="18.75" customHeight="1">
      <c r="A12" s="211"/>
      <c r="B12" s="351" t="s">
        <v>367</v>
      </c>
      <c r="C12" s="351"/>
      <c r="D12" s="351"/>
      <c r="E12" s="126"/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6"/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</row>
    <row r="13" spans="1:22" ht="46.5">
      <c r="A13" s="121"/>
      <c r="B13" s="213" t="s">
        <v>1069</v>
      </c>
      <c r="C13" s="214"/>
      <c r="D13" s="215" t="s">
        <v>368</v>
      </c>
      <c r="E13" s="126">
        <f>SUM(F13:M13)</f>
        <v>2186557647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27">
        <v>2186557647</v>
      </c>
      <c r="L13" s="127">
        <v>0</v>
      </c>
      <c r="M13" s="127">
        <v>0</v>
      </c>
      <c r="N13" s="126">
        <f>SUM(O13:V13)</f>
        <v>2362650447</v>
      </c>
      <c r="O13" s="130">
        <v>0</v>
      </c>
      <c r="P13" s="130">
        <v>0</v>
      </c>
      <c r="Q13" s="130">
        <v>248574030</v>
      </c>
      <c r="R13" s="130">
        <v>0</v>
      </c>
      <c r="S13" s="130">
        <v>0</v>
      </c>
      <c r="T13" s="127">
        <v>2114076417</v>
      </c>
      <c r="U13" s="130">
        <v>0</v>
      </c>
      <c r="V13" s="130">
        <v>0</v>
      </c>
    </row>
    <row r="14" spans="1:22" ht="18.75" customHeight="1">
      <c r="A14" s="197"/>
      <c r="B14" s="352" t="s">
        <v>910</v>
      </c>
      <c r="C14" s="353"/>
      <c r="D14" s="354"/>
      <c r="E14" s="126"/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27">
        <v>0</v>
      </c>
      <c r="L14" s="127">
        <v>0</v>
      </c>
      <c r="M14" s="127">
        <v>0</v>
      </c>
      <c r="N14" s="126"/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</row>
    <row r="15" spans="1:22" s="132" customFormat="1" ht="46.5">
      <c r="A15" s="131"/>
      <c r="B15" s="201" t="s">
        <v>1070</v>
      </c>
      <c r="C15" s="201"/>
      <c r="D15" s="215" t="s">
        <v>1197</v>
      </c>
      <c r="E15" s="126">
        <f>SUM(F15:M15)</f>
        <v>105500000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7">
        <v>105500000</v>
      </c>
      <c r="L15" s="127">
        <v>0</v>
      </c>
      <c r="M15" s="127">
        <v>0</v>
      </c>
      <c r="N15" s="126">
        <f>SUM(O15:V15)</f>
        <v>85381092</v>
      </c>
      <c r="O15" s="130">
        <v>0</v>
      </c>
      <c r="P15" s="130">
        <v>0</v>
      </c>
      <c r="Q15" s="129">
        <v>17881092</v>
      </c>
      <c r="R15" s="130">
        <v>0</v>
      </c>
      <c r="S15" s="130">
        <v>0</v>
      </c>
      <c r="T15" s="127">
        <v>67500000</v>
      </c>
      <c r="U15" s="130">
        <v>0</v>
      </c>
      <c r="V15" s="130">
        <v>0</v>
      </c>
    </row>
    <row r="16" spans="1:22" ht="18.75" customHeight="1">
      <c r="A16" s="197"/>
      <c r="B16" s="355" t="s">
        <v>369</v>
      </c>
      <c r="C16" s="356"/>
      <c r="D16" s="357"/>
      <c r="E16" s="126"/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27">
        <v>0</v>
      </c>
      <c r="L16" s="127">
        <v>0</v>
      </c>
      <c r="M16" s="127">
        <v>0</v>
      </c>
      <c r="N16" s="126"/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</row>
    <row r="17" spans="1:22" s="132" customFormat="1" ht="46.5">
      <c r="A17" s="131"/>
      <c r="B17" s="202" t="s">
        <v>1071</v>
      </c>
      <c r="C17" s="201"/>
      <c r="D17" s="199" t="s">
        <v>370</v>
      </c>
      <c r="E17" s="126">
        <f>SUM(F17:M17)</f>
        <v>285247414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7">
        <v>285247414</v>
      </c>
      <c r="L17" s="127">
        <v>0</v>
      </c>
      <c r="M17" s="127">
        <v>0</v>
      </c>
      <c r="N17" s="126">
        <f>SUM(O17:V17)</f>
        <v>250644728</v>
      </c>
      <c r="O17" s="130">
        <v>0</v>
      </c>
      <c r="P17" s="130">
        <v>0</v>
      </c>
      <c r="Q17" s="129">
        <v>51685334</v>
      </c>
      <c r="R17" s="130">
        <v>0</v>
      </c>
      <c r="S17" s="130">
        <v>310524</v>
      </c>
      <c r="T17" s="127">
        <v>198648870</v>
      </c>
      <c r="U17" s="130">
        <v>0</v>
      </c>
      <c r="V17" s="130"/>
    </row>
    <row r="18" spans="1:22" ht="20.25">
      <c r="A18" s="121"/>
      <c r="B18" s="355" t="s">
        <v>371</v>
      </c>
      <c r="C18" s="356"/>
      <c r="D18" s="357"/>
      <c r="E18" s="126">
        <f aca="true" t="shared" si="2" ref="E18:E29">SUM(F18:M18)</f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27">
        <v>0</v>
      </c>
      <c r="L18" s="127">
        <v>0</v>
      </c>
      <c r="M18" s="127">
        <v>0</v>
      </c>
      <c r="N18" s="126">
        <f aca="true" t="shared" si="3" ref="N18:N36">SUM(O18:V18)</f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</row>
    <row r="19" spans="1:22" ht="69.75">
      <c r="A19" s="121"/>
      <c r="B19" s="200" t="s">
        <v>1072</v>
      </c>
      <c r="C19" s="201"/>
      <c r="D19" s="199" t="s">
        <v>372</v>
      </c>
      <c r="E19" s="126">
        <f t="shared" si="2"/>
        <v>777385292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27">
        <v>777385292</v>
      </c>
      <c r="L19" s="127">
        <v>0</v>
      </c>
      <c r="M19" s="127">
        <v>0</v>
      </c>
      <c r="N19" s="126">
        <f t="shared" si="3"/>
        <v>786922792</v>
      </c>
      <c r="O19" s="130">
        <v>0</v>
      </c>
      <c r="P19" s="130">
        <v>0</v>
      </c>
      <c r="Q19" s="130">
        <v>10309962</v>
      </c>
      <c r="R19" s="130">
        <v>0</v>
      </c>
      <c r="S19" s="130">
        <v>0</v>
      </c>
      <c r="T19" s="127">
        <v>776612830</v>
      </c>
      <c r="U19" s="130">
        <v>0</v>
      </c>
      <c r="V19" s="130">
        <v>0</v>
      </c>
    </row>
    <row r="20" spans="1:22" ht="20.25">
      <c r="A20" s="121"/>
      <c r="B20" s="340" t="s">
        <v>911</v>
      </c>
      <c r="C20" s="341"/>
      <c r="D20" s="342"/>
      <c r="E20" s="126">
        <f t="shared" si="2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27">
        <v>0</v>
      </c>
      <c r="L20" s="127">
        <v>0</v>
      </c>
      <c r="M20" s="127">
        <v>0</v>
      </c>
      <c r="N20" s="126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</row>
    <row r="21" spans="1:22" ht="46.5">
      <c r="A21" s="121"/>
      <c r="B21" s="202" t="s">
        <v>1073</v>
      </c>
      <c r="C21" s="203"/>
      <c r="D21" s="204" t="s">
        <v>849</v>
      </c>
      <c r="E21" s="126">
        <f t="shared" si="2"/>
        <v>471467120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27">
        <v>471467120</v>
      </c>
      <c r="L21" s="127">
        <v>0</v>
      </c>
      <c r="M21" s="127">
        <v>0</v>
      </c>
      <c r="N21" s="126">
        <f t="shared" si="3"/>
        <v>450548248</v>
      </c>
      <c r="O21" s="130">
        <v>0</v>
      </c>
      <c r="P21" s="130">
        <v>0</v>
      </c>
      <c r="Q21" s="130">
        <v>80237864</v>
      </c>
      <c r="R21" s="130">
        <v>0</v>
      </c>
      <c r="S21" s="130">
        <v>440956</v>
      </c>
      <c r="T21" s="127">
        <v>359988342</v>
      </c>
      <c r="U21" s="130">
        <v>0</v>
      </c>
      <c r="V21" s="130">
        <v>9881086</v>
      </c>
    </row>
    <row r="22" spans="1:22" ht="46.5">
      <c r="A22" s="121"/>
      <c r="B22" s="202" t="s">
        <v>1074</v>
      </c>
      <c r="C22" s="205"/>
      <c r="D22" s="204" t="s">
        <v>848</v>
      </c>
      <c r="E22" s="126">
        <f t="shared" si="2"/>
        <v>28829000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27">
        <v>28829000</v>
      </c>
      <c r="L22" s="127">
        <v>0</v>
      </c>
      <c r="M22" s="127">
        <v>0</v>
      </c>
      <c r="N22" s="126">
        <f t="shared" si="3"/>
        <v>928236232</v>
      </c>
      <c r="O22" s="130">
        <v>0</v>
      </c>
      <c r="P22" s="130">
        <v>0</v>
      </c>
      <c r="Q22" s="130">
        <v>14690344</v>
      </c>
      <c r="R22" s="130">
        <v>0</v>
      </c>
      <c r="S22" s="130">
        <v>0</v>
      </c>
      <c r="T22" s="127">
        <v>913545888</v>
      </c>
      <c r="U22" s="130">
        <v>0</v>
      </c>
      <c r="V22" s="130">
        <v>0</v>
      </c>
    </row>
    <row r="23" spans="1:22" ht="46.5">
      <c r="A23" s="131"/>
      <c r="B23" s="202" t="s">
        <v>1075</v>
      </c>
      <c r="C23" s="205"/>
      <c r="D23" s="204" t="s">
        <v>836</v>
      </c>
      <c r="E23" s="126">
        <f t="shared" si="2"/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7">
        <v>0</v>
      </c>
      <c r="L23" s="127">
        <v>0</v>
      </c>
      <c r="M23" s="127">
        <v>0</v>
      </c>
      <c r="N23" s="126">
        <f t="shared" si="3"/>
        <v>230078100</v>
      </c>
      <c r="O23" s="130">
        <v>0</v>
      </c>
      <c r="P23" s="130">
        <v>0</v>
      </c>
      <c r="Q23" s="129">
        <v>3679444</v>
      </c>
      <c r="R23" s="130">
        <v>0</v>
      </c>
      <c r="S23" s="130">
        <v>0</v>
      </c>
      <c r="T23" s="127">
        <v>226398656</v>
      </c>
      <c r="U23" s="130">
        <v>0</v>
      </c>
      <c r="V23" s="130">
        <v>0</v>
      </c>
    </row>
    <row r="24" spans="1:22" ht="46.5">
      <c r="A24" s="121"/>
      <c r="B24" s="202" t="s">
        <v>1076</v>
      </c>
      <c r="C24" s="205"/>
      <c r="D24" s="204" t="s">
        <v>1046</v>
      </c>
      <c r="E24" s="126">
        <f t="shared" si="2"/>
        <v>43576550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27">
        <v>43576550</v>
      </c>
      <c r="L24" s="127">
        <v>0</v>
      </c>
      <c r="M24" s="127">
        <v>0</v>
      </c>
      <c r="N24" s="126">
        <f t="shared" si="3"/>
        <v>603576550</v>
      </c>
      <c r="O24" s="130">
        <v>0</v>
      </c>
      <c r="P24" s="130">
        <v>0</v>
      </c>
      <c r="Q24" s="130">
        <v>7876090</v>
      </c>
      <c r="R24" s="130">
        <v>0</v>
      </c>
      <c r="S24" s="130">
        <v>990572</v>
      </c>
      <c r="T24" s="127">
        <v>594709888</v>
      </c>
      <c r="U24" s="130">
        <v>0</v>
      </c>
      <c r="V24" s="130">
        <v>0</v>
      </c>
    </row>
    <row r="25" spans="1:22" ht="46.5">
      <c r="A25" s="121"/>
      <c r="B25" s="202" t="s">
        <v>1077</v>
      </c>
      <c r="C25" s="205"/>
      <c r="D25" s="204" t="s">
        <v>835</v>
      </c>
      <c r="E25" s="126">
        <f t="shared" si="2"/>
        <v>293495610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27">
        <v>293495610</v>
      </c>
      <c r="L25" s="127">
        <v>0</v>
      </c>
      <c r="M25" s="127">
        <v>0</v>
      </c>
      <c r="N25" s="126">
        <f t="shared" si="3"/>
        <v>3137486448</v>
      </c>
      <c r="O25" s="130">
        <v>0</v>
      </c>
      <c r="P25" s="130">
        <v>0</v>
      </c>
      <c r="Q25" s="130">
        <v>614941093</v>
      </c>
      <c r="R25" s="130">
        <v>0</v>
      </c>
      <c r="S25" s="130">
        <v>0</v>
      </c>
      <c r="T25" s="127">
        <v>2252545355</v>
      </c>
      <c r="U25" s="130">
        <v>0</v>
      </c>
      <c r="V25" s="130">
        <v>270000000</v>
      </c>
    </row>
    <row r="26" spans="1:22" ht="52.5" customHeight="1">
      <c r="A26" s="121"/>
      <c r="B26" s="337" t="s">
        <v>373</v>
      </c>
      <c r="C26" s="338"/>
      <c r="D26" s="339"/>
      <c r="E26" s="126">
        <f t="shared" si="2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27">
        <v>0</v>
      </c>
      <c r="L26" s="127">
        <v>0</v>
      </c>
      <c r="M26" s="127">
        <v>0</v>
      </c>
      <c r="N26" s="126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</row>
    <row r="27" spans="1:22" ht="46.5">
      <c r="A27" s="121"/>
      <c r="B27" s="200" t="s">
        <v>1078</v>
      </c>
      <c r="C27" s="205"/>
      <c r="D27" s="204" t="s">
        <v>374</v>
      </c>
      <c r="E27" s="126">
        <f t="shared" si="2"/>
        <v>368676883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27">
        <v>16799642</v>
      </c>
      <c r="L27" s="127">
        <v>351877241</v>
      </c>
      <c r="M27" s="127">
        <v>0</v>
      </c>
      <c r="N27" s="126">
        <f t="shared" si="3"/>
        <v>357036570</v>
      </c>
      <c r="O27" s="256">
        <v>0</v>
      </c>
      <c r="P27" s="261">
        <v>0</v>
      </c>
      <c r="Q27" s="130">
        <v>74501574</v>
      </c>
      <c r="R27" s="130">
        <v>0</v>
      </c>
      <c r="S27" s="130">
        <v>4659512</v>
      </c>
      <c r="T27" s="127">
        <v>6713304</v>
      </c>
      <c r="U27" s="127">
        <v>271162180</v>
      </c>
      <c r="V27" s="130">
        <v>0</v>
      </c>
    </row>
    <row r="28" spans="1:22" ht="46.5">
      <c r="A28" s="121"/>
      <c r="B28" s="200" t="s">
        <v>1079</v>
      </c>
      <c r="C28" s="205"/>
      <c r="D28" s="204" t="s">
        <v>375</v>
      </c>
      <c r="E28" s="126">
        <f t="shared" si="2"/>
        <v>115313021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27">
        <v>2713228</v>
      </c>
      <c r="L28" s="127">
        <v>112599793</v>
      </c>
      <c r="M28" s="127">
        <v>0</v>
      </c>
      <c r="N28" s="126">
        <f t="shared" si="3"/>
        <v>146208403</v>
      </c>
      <c r="O28" s="130">
        <v>0</v>
      </c>
      <c r="P28" s="258">
        <v>0</v>
      </c>
      <c r="Q28" s="130">
        <v>10704287</v>
      </c>
      <c r="R28" s="130">
        <v>0</v>
      </c>
      <c r="S28" s="130">
        <v>0</v>
      </c>
      <c r="T28" s="127">
        <v>28598738</v>
      </c>
      <c r="U28" s="127">
        <v>106905378</v>
      </c>
      <c r="V28" s="130">
        <v>0</v>
      </c>
    </row>
    <row r="29" spans="1:22" ht="46.5" customHeight="1">
      <c r="A29" s="197"/>
      <c r="B29" s="200" t="s">
        <v>1080</v>
      </c>
      <c r="C29" s="205"/>
      <c r="D29" s="204" t="s">
        <v>376</v>
      </c>
      <c r="E29" s="126">
        <f t="shared" si="2"/>
        <v>18527984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27">
        <v>8309029</v>
      </c>
      <c r="L29" s="127">
        <v>10218955</v>
      </c>
      <c r="M29" s="127">
        <v>0</v>
      </c>
      <c r="N29" s="126">
        <f t="shared" si="3"/>
        <v>9527984</v>
      </c>
      <c r="O29" s="130">
        <v>0</v>
      </c>
      <c r="P29" s="130">
        <v>0</v>
      </c>
      <c r="Q29" s="130">
        <v>447294</v>
      </c>
      <c r="R29" s="130">
        <v>0</v>
      </c>
      <c r="S29" s="130">
        <v>0</v>
      </c>
      <c r="T29" s="127">
        <v>463306</v>
      </c>
      <c r="U29" s="127">
        <v>8617384</v>
      </c>
      <c r="V29" s="130">
        <v>0</v>
      </c>
    </row>
    <row r="30" spans="1:22" s="132" customFormat="1" ht="46.5">
      <c r="A30" s="131"/>
      <c r="B30" s="200" t="s">
        <v>1081</v>
      </c>
      <c r="C30" s="205"/>
      <c r="D30" s="204" t="s">
        <v>377</v>
      </c>
      <c r="E30" s="126">
        <f aca="true" t="shared" si="4" ref="E30:E36">SUM(F30:M30)</f>
        <v>6994892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7">
        <v>6994892</v>
      </c>
      <c r="L30" s="127">
        <v>0</v>
      </c>
      <c r="M30" s="127">
        <v>0</v>
      </c>
      <c r="N30" s="126">
        <f t="shared" si="3"/>
        <v>8498451</v>
      </c>
      <c r="O30" s="130">
        <v>0</v>
      </c>
      <c r="P30" s="130">
        <v>0</v>
      </c>
      <c r="Q30" s="129">
        <v>359410</v>
      </c>
      <c r="R30" s="130">
        <v>0</v>
      </c>
      <c r="S30" s="130">
        <v>0</v>
      </c>
      <c r="T30" s="127">
        <v>2302670</v>
      </c>
      <c r="U30" s="130">
        <v>5836371</v>
      </c>
      <c r="V30" s="130">
        <v>0</v>
      </c>
    </row>
    <row r="31" spans="1:22" s="132" customFormat="1" ht="93">
      <c r="A31" s="131"/>
      <c r="B31" s="200" t="s">
        <v>1082</v>
      </c>
      <c r="C31" s="205"/>
      <c r="D31" s="204" t="s">
        <v>378</v>
      </c>
      <c r="E31" s="126">
        <f t="shared" si="4"/>
        <v>17964846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7">
        <v>17964846</v>
      </c>
      <c r="L31" s="127">
        <v>0</v>
      </c>
      <c r="M31" s="127">
        <v>0</v>
      </c>
      <c r="N31" s="126">
        <f t="shared" si="3"/>
        <v>20919154</v>
      </c>
      <c r="O31" s="130">
        <v>0</v>
      </c>
      <c r="P31" s="130">
        <v>0</v>
      </c>
      <c r="Q31" s="129">
        <v>446126</v>
      </c>
      <c r="R31" s="130">
        <v>0</v>
      </c>
      <c r="S31" s="130">
        <v>0</v>
      </c>
      <c r="T31" s="127">
        <v>20473028</v>
      </c>
      <c r="U31" s="130">
        <v>0</v>
      </c>
      <c r="V31" s="130">
        <v>0</v>
      </c>
    </row>
    <row r="32" spans="1:22" s="132" customFormat="1" ht="46.5">
      <c r="A32" s="131"/>
      <c r="B32" s="200" t="s">
        <v>1083</v>
      </c>
      <c r="C32" s="205"/>
      <c r="D32" s="204" t="s">
        <v>379</v>
      </c>
      <c r="E32" s="126">
        <f t="shared" si="4"/>
        <v>311518577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7">
        <v>3264916</v>
      </c>
      <c r="L32" s="127">
        <v>308253661</v>
      </c>
      <c r="M32" s="127">
        <v>0</v>
      </c>
      <c r="N32" s="126">
        <f t="shared" si="3"/>
        <v>340350132</v>
      </c>
      <c r="O32" s="130">
        <v>0</v>
      </c>
      <c r="P32" s="130">
        <v>0</v>
      </c>
      <c r="Q32" s="129">
        <v>66692833</v>
      </c>
      <c r="R32" s="130">
        <v>0</v>
      </c>
      <c r="S32" s="130">
        <v>0</v>
      </c>
      <c r="T32" s="127">
        <v>28831555</v>
      </c>
      <c r="U32" s="127">
        <v>244825744</v>
      </c>
      <c r="V32" s="130">
        <v>0</v>
      </c>
    </row>
    <row r="33" spans="1:22" s="132" customFormat="1" ht="69.75">
      <c r="A33" s="131"/>
      <c r="B33" s="200" t="s">
        <v>1084</v>
      </c>
      <c r="C33" s="205"/>
      <c r="D33" s="204" t="s">
        <v>380</v>
      </c>
      <c r="E33" s="126">
        <f t="shared" si="4"/>
        <v>332713711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7">
        <v>3834638</v>
      </c>
      <c r="L33" s="127">
        <v>328879073</v>
      </c>
      <c r="M33" s="127">
        <v>0</v>
      </c>
      <c r="N33" s="126">
        <f t="shared" si="3"/>
        <v>367290084</v>
      </c>
      <c r="O33" s="130">
        <v>0</v>
      </c>
      <c r="P33" s="130">
        <v>0</v>
      </c>
      <c r="Q33" s="129">
        <v>76858236</v>
      </c>
      <c r="R33" s="130">
        <v>0</v>
      </c>
      <c r="S33" s="130">
        <v>0</v>
      </c>
      <c r="T33" s="127"/>
      <c r="U33" s="127">
        <v>290431848</v>
      </c>
      <c r="V33" s="130">
        <v>0</v>
      </c>
    </row>
    <row r="34" spans="1:22" s="132" customFormat="1" ht="69.75">
      <c r="A34" s="131"/>
      <c r="B34" s="200" t="s">
        <v>1085</v>
      </c>
      <c r="C34" s="205"/>
      <c r="D34" s="204" t="s">
        <v>381</v>
      </c>
      <c r="E34" s="126">
        <f t="shared" si="4"/>
        <v>241550251</v>
      </c>
      <c r="F34" s="129">
        <v>0</v>
      </c>
      <c r="G34" s="129">
        <v>0</v>
      </c>
      <c r="H34" s="129">
        <v>0</v>
      </c>
      <c r="I34" s="129">
        <v>0</v>
      </c>
      <c r="J34" s="129">
        <v>0</v>
      </c>
      <c r="K34" s="127">
        <v>2633777</v>
      </c>
      <c r="L34" s="127">
        <v>238916474</v>
      </c>
      <c r="M34" s="127">
        <v>0</v>
      </c>
      <c r="N34" s="126">
        <f t="shared" si="3"/>
        <v>241550251</v>
      </c>
      <c r="O34" s="130">
        <v>0</v>
      </c>
      <c r="P34" s="130">
        <v>0</v>
      </c>
      <c r="Q34" s="129">
        <v>2633777</v>
      </c>
      <c r="R34" s="130">
        <v>0</v>
      </c>
      <c r="S34" s="130">
        <v>0</v>
      </c>
      <c r="T34" s="127">
        <v>2633777</v>
      </c>
      <c r="U34" s="127">
        <v>236282697</v>
      </c>
      <c r="V34" s="130">
        <v>0</v>
      </c>
    </row>
    <row r="35" spans="1:22" s="132" customFormat="1" ht="69.75">
      <c r="A35" s="131"/>
      <c r="B35" s="200" t="s">
        <v>1086</v>
      </c>
      <c r="C35" s="205"/>
      <c r="D35" s="204" t="s">
        <v>382</v>
      </c>
      <c r="E35" s="126">
        <f t="shared" si="4"/>
        <v>277457692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7">
        <v>2787396</v>
      </c>
      <c r="L35" s="127">
        <v>274670296</v>
      </c>
      <c r="M35" s="127">
        <v>0</v>
      </c>
      <c r="N35" s="126">
        <f>SUM(O35:V35)</f>
        <v>270120859</v>
      </c>
      <c r="O35" s="130">
        <v>0</v>
      </c>
      <c r="P35" s="130">
        <v>0</v>
      </c>
      <c r="Q35" s="129">
        <v>2787396</v>
      </c>
      <c r="R35" s="130">
        <v>0</v>
      </c>
      <c r="S35" s="130">
        <v>3210667</v>
      </c>
      <c r="T35" s="127">
        <v>17885501</v>
      </c>
      <c r="U35" s="127">
        <v>246237295</v>
      </c>
      <c r="V35" s="130">
        <v>0</v>
      </c>
    </row>
    <row r="36" spans="1:22" ht="48" customHeight="1">
      <c r="A36" s="197"/>
      <c r="B36" s="343" t="s">
        <v>912</v>
      </c>
      <c r="C36" s="344"/>
      <c r="D36" s="345"/>
      <c r="E36" s="126">
        <f t="shared" si="4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27">
        <v>0</v>
      </c>
      <c r="L36" s="127">
        <v>0</v>
      </c>
      <c r="M36" s="127">
        <v>0</v>
      </c>
      <c r="N36" s="126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0">
        <v>0</v>
      </c>
      <c r="T36" s="127">
        <v>0</v>
      </c>
      <c r="U36" s="130">
        <v>0</v>
      </c>
      <c r="V36" s="130">
        <v>0</v>
      </c>
    </row>
    <row r="37" spans="1:22" ht="46.5">
      <c r="A37" s="128"/>
      <c r="B37" s="202" t="s">
        <v>1087</v>
      </c>
      <c r="C37" s="203"/>
      <c r="D37" s="199" t="s">
        <v>913</v>
      </c>
      <c r="E37" s="126">
        <f>SUM(F37:M37)</f>
        <v>2000000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27">
        <v>2000000</v>
      </c>
      <c r="L37" s="127">
        <v>0</v>
      </c>
      <c r="M37" s="127">
        <v>0</v>
      </c>
      <c r="N37" s="126">
        <f>SUM(O37:V37)</f>
        <v>105542760</v>
      </c>
      <c r="O37" s="130">
        <v>0</v>
      </c>
      <c r="P37" s="130">
        <v>0</v>
      </c>
      <c r="Q37" s="130">
        <v>2972945</v>
      </c>
      <c r="R37" s="130">
        <v>0</v>
      </c>
      <c r="S37" s="130">
        <v>0</v>
      </c>
      <c r="T37" s="127">
        <v>102569815</v>
      </c>
      <c r="U37" s="130">
        <v>0</v>
      </c>
      <c r="V37" s="130">
        <v>0</v>
      </c>
    </row>
    <row r="38" spans="1:22" ht="46.5">
      <c r="A38" s="128"/>
      <c r="B38" s="202" t="s">
        <v>1088</v>
      </c>
      <c r="C38" s="203"/>
      <c r="D38" s="199" t="s">
        <v>914</v>
      </c>
      <c r="E38" s="126">
        <f>SUM(F38:M38)</f>
        <v>37542900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27">
        <v>37542900</v>
      </c>
      <c r="L38" s="127">
        <v>0</v>
      </c>
      <c r="M38" s="127">
        <v>0</v>
      </c>
      <c r="N38" s="126">
        <f>SUM(O38:V38)</f>
        <v>643440985</v>
      </c>
      <c r="O38" s="130">
        <v>0</v>
      </c>
      <c r="P38" s="130">
        <v>0</v>
      </c>
      <c r="Q38" s="130">
        <v>11749119</v>
      </c>
      <c r="R38" s="130">
        <v>0</v>
      </c>
      <c r="S38" s="130">
        <v>692986</v>
      </c>
      <c r="T38" s="127">
        <v>630998880</v>
      </c>
      <c r="U38" s="130">
        <v>0</v>
      </c>
      <c r="V38" s="130">
        <v>0</v>
      </c>
    </row>
    <row r="39" spans="1:22" ht="69.75">
      <c r="A39" s="128"/>
      <c r="B39" s="202" t="s">
        <v>1089</v>
      </c>
      <c r="C39" s="203"/>
      <c r="D39" s="199" t="s">
        <v>915</v>
      </c>
      <c r="E39" s="126">
        <f>SUM(F39:M39)</f>
        <v>4317876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27">
        <v>4317876</v>
      </c>
      <c r="L39" s="127">
        <v>0</v>
      </c>
      <c r="M39" s="127">
        <v>0</v>
      </c>
      <c r="N39" s="126">
        <f>SUM(O39:V39)</f>
        <v>383724231</v>
      </c>
      <c r="O39" s="130">
        <v>0</v>
      </c>
      <c r="P39" s="130">
        <v>0</v>
      </c>
      <c r="Q39" s="130">
        <v>6407404</v>
      </c>
      <c r="R39" s="130">
        <v>0</v>
      </c>
      <c r="S39" s="130">
        <v>0</v>
      </c>
      <c r="T39" s="127">
        <v>377316827</v>
      </c>
      <c r="U39" s="130">
        <v>0</v>
      </c>
      <c r="V39" s="130">
        <v>0</v>
      </c>
    </row>
    <row r="40" spans="1:22" ht="95.25" customHeight="1">
      <c r="A40" s="197"/>
      <c r="B40" s="202" t="s">
        <v>1090</v>
      </c>
      <c r="C40" s="203"/>
      <c r="D40" s="199" t="s">
        <v>916</v>
      </c>
      <c r="E40" s="126">
        <f>SUM(F40:M40)</f>
        <v>1000000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27">
        <v>1000000</v>
      </c>
      <c r="L40" s="127">
        <v>0</v>
      </c>
      <c r="M40" s="127">
        <v>0</v>
      </c>
      <c r="N40" s="126">
        <f>SUM(O40:V40)</f>
        <v>69057566</v>
      </c>
      <c r="O40" s="130">
        <v>0</v>
      </c>
      <c r="P40" s="130">
        <v>0</v>
      </c>
      <c r="Q40" s="130">
        <v>1976448</v>
      </c>
      <c r="R40" s="130">
        <v>0</v>
      </c>
      <c r="S40" s="130">
        <v>0</v>
      </c>
      <c r="T40" s="127">
        <v>67081118</v>
      </c>
      <c r="U40" s="130">
        <v>0</v>
      </c>
      <c r="V40" s="130">
        <v>0</v>
      </c>
    </row>
    <row r="41" spans="1:22" ht="46.5">
      <c r="A41" s="121"/>
      <c r="B41" s="202" t="s">
        <v>1091</v>
      </c>
      <c r="C41" s="203"/>
      <c r="D41" s="199" t="s">
        <v>1198</v>
      </c>
      <c r="E41" s="126">
        <f aca="true" t="shared" si="5" ref="E41:E54">SUM(F41:M41)</f>
        <v>35504000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27">
        <v>35504000</v>
      </c>
      <c r="L41" s="127">
        <v>0</v>
      </c>
      <c r="M41" s="127">
        <v>0</v>
      </c>
      <c r="N41" s="126">
        <f aca="true" t="shared" si="6" ref="N41:N55">SUM(O41:V41)</f>
        <v>600413760</v>
      </c>
      <c r="O41" s="130">
        <v>0</v>
      </c>
      <c r="P41" s="130">
        <v>0</v>
      </c>
      <c r="Q41" s="130">
        <v>11153340</v>
      </c>
      <c r="R41" s="130">
        <v>0</v>
      </c>
      <c r="S41" s="130">
        <v>0</v>
      </c>
      <c r="T41" s="127">
        <v>589260420</v>
      </c>
      <c r="U41" s="130">
        <v>0</v>
      </c>
      <c r="V41" s="130">
        <v>0</v>
      </c>
    </row>
    <row r="42" spans="1:22" ht="20.25">
      <c r="A42" s="121"/>
      <c r="B42" s="337" t="s">
        <v>383</v>
      </c>
      <c r="C42" s="338"/>
      <c r="D42" s="339"/>
      <c r="E42" s="126">
        <f t="shared" si="5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27">
        <v>0</v>
      </c>
      <c r="L42" s="127">
        <v>0</v>
      </c>
      <c r="M42" s="127">
        <v>0</v>
      </c>
      <c r="N42" s="126">
        <f t="shared" si="6"/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0">
        <v>0</v>
      </c>
      <c r="U42" s="130">
        <v>0</v>
      </c>
      <c r="V42" s="130">
        <v>0</v>
      </c>
    </row>
    <row r="43" spans="1:22" ht="46.5">
      <c r="A43" s="121"/>
      <c r="B43" s="202" t="s">
        <v>1092</v>
      </c>
      <c r="C43" s="206"/>
      <c r="D43" s="206" t="s">
        <v>384</v>
      </c>
      <c r="E43" s="126">
        <f t="shared" si="5"/>
        <v>604353139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27">
        <v>604353139</v>
      </c>
      <c r="L43" s="127">
        <v>0</v>
      </c>
      <c r="M43" s="127">
        <v>0</v>
      </c>
      <c r="N43" s="126">
        <f t="shared" si="6"/>
        <v>604353139</v>
      </c>
      <c r="O43" s="130">
        <v>0</v>
      </c>
      <c r="P43" s="130">
        <v>0</v>
      </c>
      <c r="Q43" s="130">
        <v>9420098</v>
      </c>
      <c r="R43" s="130">
        <v>0</v>
      </c>
      <c r="S43" s="130">
        <v>0</v>
      </c>
      <c r="T43" s="127">
        <v>594933041</v>
      </c>
      <c r="U43" s="130">
        <v>0</v>
      </c>
      <c r="V43" s="130">
        <v>0</v>
      </c>
    </row>
    <row r="44" spans="1:22" s="132" customFormat="1" ht="46.5">
      <c r="A44" s="131"/>
      <c r="B44" s="202" t="s">
        <v>1093</v>
      </c>
      <c r="C44" s="203"/>
      <c r="D44" s="199" t="s">
        <v>385</v>
      </c>
      <c r="E44" s="126">
        <f t="shared" si="5"/>
        <v>1571332977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7">
        <v>1571332977</v>
      </c>
      <c r="L44" s="127">
        <v>0</v>
      </c>
      <c r="M44" s="127">
        <v>0</v>
      </c>
      <c r="N44" s="126">
        <f t="shared" si="6"/>
        <v>1416339281</v>
      </c>
      <c r="O44" s="130">
        <v>0</v>
      </c>
      <c r="P44" s="130">
        <v>0</v>
      </c>
      <c r="Q44" s="129">
        <v>30975942</v>
      </c>
      <c r="R44" s="130">
        <v>0</v>
      </c>
      <c r="S44" s="130">
        <v>0</v>
      </c>
      <c r="T44" s="127">
        <v>1385363339</v>
      </c>
      <c r="U44" s="130">
        <v>0</v>
      </c>
      <c r="V44" s="130">
        <v>0</v>
      </c>
    </row>
    <row r="45" spans="1:22" ht="46.5">
      <c r="A45" s="121"/>
      <c r="B45" s="202" t="s">
        <v>1094</v>
      </c>
      <c r="C45" s="203"/>
      <c r="D45" s="199" t="s">
        <v>386</v>
      </c>
      <c r="E45" s="126">
        <f t="shared" si="5"/>
        <v>217664551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27">
        <v>217664551</v>
      </c>
      <c r="L45" s="127">
        <v>0</v>
      </c>
      <c r="M45" s="127">
        <v>0</v>
      </c>
      <c r="N45" s="126">
        <f t="shared" si="6"/>
        <v>232079751</v>
      </c>
      <c r="O45" s="130">
        <v>0</v>
      </c>
      <c r="P45" s="130">
        <v>0</v>
      </c>
      <c r="Q45" s="130">
        <v>15118654</v>
      </c>
      <c r="R45" s="130">
        <v>0</v>
      </c>
      <c r="S45" s="130">
        <v>0</v>
      </c>
      <c r="T45" s="127">
        <v>216961097</v>
      </c>
      <c r="U45" s="130">
        <v>0</v>
      </c>
      <c r="V45" s="130">
        <v>0</v>
      </c>
    </row>
    <row r="46" spans="1:22" ht="46.5">
      <c r="A46" s="121"/>
      <c r="B46" s="202" t="s">
        <v>1095</v>
      </c>
      <c r="C46" s="203"/>
      <c r="D46" s="199" t="s">
        <v>387</v>
      </c>
      <c r="E46" s="126">
        <f t="shared" si="5"/>
        <v>225299991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27">
        <v>225299991</v>
      </c>
      <c r="L46" s="127">
        <v>0</v>
      </c>
      <c r="M46" s="127">
        <v>0</v>
      </c>
      <c r="N46" s="126">
        <f t="shared" si="6"/>
        <v>236939291</v>
      </c>
      <c r="O46" s="130">
        <v>0</v>
      </c>
      <c r="P46" s="130">
        <v>0</v>
      </c>
      <c r="Q46" s="130">
        <v>2067865</v>
      </c>
      <c r="R46" s="130">
        <v>0</v>
      </c>
      <c r="S46" s="130">
        <v>0</v>
      </c>
      <c r="T46" s="127">
        <v>234871426</v>
      </c>
      <c r="U46" s="130">
        <v>0</v>
      </c>
      <c r="V46" s="130">
        <v>0</v>
      </c>
    </row>
    <row r="47" spans="1:22" ht="46.5">
      <c r="A47" s="121"/>
      <c r="B47" s="202" t="s">
        <v>1096</v>
      </c>
      <c r="C47" s="203"/>
      <c r="D47" s="199" t="s">
        <v>388</v>
      </c>
      <c r="E47" s="126">
        <f t="shared" si="5"/>
        <v>180492116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27">
        <v>180492116</v>
      </c>
      <c r="L47" s="127">
        <v>0</v>
      </c>
      <c r="M47" s="127">
        <v>0</v>
      </c>
      <c r="N47" s="126">
        <f t="shared" si="6"/>
        <v>180492116</v>
      </c>
      <c r="O47" s="130">
        <v>0</v>
      </c>
      <c r="P47" s="130">
        <v>0</v>
      </c>
      <c r="Q47" s="130">
        <v>4572559</v>
      </c>
      <c r="R47" s="130">
        <v>0</v>
      </c>
      <c r="S47" s="130">
        <v>0</v>
      </c>
      <c r="T47" s="127">
        <v>175919557</v>
      </c>
      <c r="U47" s="130">
        <v>0</v>
      </c>
      <c r="V47" s="130">
        <v>0</v>
      </c>
    </row>
    <row r="48" spans="1:22" ht="46.5">
      <c r="A48" s="121"/>
      <c r="B48" s="202" t="s">
        <v>1097</v>
      </c>
      <c r="C48" s="203"/>
      <c r="D48" s="199" t="s">
        <v>389</v>
      </c>
      <c r="E48" s="126">
        <f t="shared" si="5"/>
        <v>622445965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27">
        <v>622445965</v>
      </c>
      <c r="L48" s="127">
        <v>0</v>
      </c>
      <c r="M48" s="127">
        <v>0</v>
      </c>
      <c r="N48" s="126">
        <f t="shared" si="6"/>
        <v>602445965</v>
      </c>
      <c r="O48" s="130">
        <v>0</v>
      </c>
      <c r="P48" s="130">
        <v>0</v>
      </c>
      <c r="Q48" s="130">
        <v>8701634</v>
      </c>
      <c r="R48" s="130">
        <v>0</v>
      </c>
      <c r="S48" s="130">
        <v>0</v>
      </c>
      <c r="T48" s="127">
        <v>593744331</v>
      </c>
      <c r="U48" s="130">
        <v>0</v>
      </c>
      <c r="V48" s="130">
        <v>0</v>
      </c>
    </row>
    <row r="49" spans="1:22" ht="20.25">
      <c r="A49" s="121"/>
      <c r="B49" s="346" t="s">
        <v>917</v>
      </c>
      <c r="C49" s="347"/>
      <c r="D49" s="348"/>
      <c r="E49" s="126">
        <f t="shared" si="5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27">
        <v>0</v>
      </c>
      <c r="L49" s="127">
        <v>0</v>
      </c>
      <c r="M49" s="127">
        <v>0</v>
      </c>
      <c r="N49" s="126">
        <f t="shared" si="6"/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v>0</v>
      </c>
      <c r="V49" s="130">
        <v>0</v>
      </c>
    </row>
    <row r="50" spans="1:22" ht="46.5">
      <c r="A50" s="121"/>
      <c r="B50" s="202" t="s">
        <v>1098</v>
      </c>
      <c r="C50" s="206"/>
      <c r="D50" s="198" t="s">
        <v>979</v>
      </c>
      <c r="E50" s="126">
        <f t="shared" si="5"/>
        <v>11050000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27">
        <v>11050000</v>
      </c>
      <c r="L50" s="127">
        <v>0</v>
      </c>
      <c r="M50" s="127">
        <v>0</v>
      </c>
      <c r="N50" s="126">
        <f t="shared" si="6"/>
        <v>143589202</v>
      </c>
      <c r="O50" s="130">
        <v>0</v>
      </c>
      <c r="P50" s="130">
        <v>0</v>
      </c>
      <c r="Q50" s="130">
        <v>3621180</v>
      </c>
      <c r="R50" s="130">
        <v>0</v>
      </c>
      <c r="S50" s="130">
        <v>0</v>
      </c>
      <c r="T50" s="127">
        <v>139968022</v>
      </c>
      <c r="U50" s="130">
        <v>0</v>
      </c>
      <c r="V50" s="130">
        <v>0</v>
      </c>
    </row>
    <row r="51" spans="1:22" ht="46.5">
      <c r="A51" s="121"/>
      <c r="B51" s="202" t="s">
        <v>1099</v>
      </c>
      <c r="C51" s="203"/>
      <c r="D51" s="198" t="s">
        <v>980</v>
      </c>
      <c r="E51" s="126">
        <f t="shared" si="5"/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27">
        <v>0</v>
      </c>
      <c r="L51" s="127">
        <v>0</v>
      </c>
      <c r="M51" s="127">
        <v>0</v>
      </c>
      <c r="N51" s="126">
        <f t="shared" si="6"/>
        <v>689352702</v>
      </c>
      <c r="O51" s="130">
        <v>0</v>
      </c>
      <c r="P51" s="130">
        <v>0</v>
      </c>
      <c r="Q51" s="130">
        <v>11714480</v>
      </c>
      <c r="R51" s="130">
        <v>0</v>
      </c>
      <c r="S51" s="130">
        <v>0</v>
      </c>
      <c r="T51" s="130">
        <v>677638222</v>
      </c>
      <c r="U51" s="130">
        <v>0</v>
      </c>
      <c r="V51" s="130">
        <v>0</v>
      </c>
    </row>
    <row r="52" spans="1:22" ht="46.5">
      <c r="A52" s="121"/>
      <c r="B52" s="202" t="s">
        <v>1100</v>
      </c>
      <c r="C52" s="203"/>
      <c r="D52" s="198" t="s">
        <v>981</v>
      </c>
      <c r="E52" s="126">
        <f t="shared" si="5"/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27">
        <v>0</v>
      </c>
      <c r="L52" s="127">
        <v>0</v>
      </c>
      <c r="M52" s="127">
        <v>0</v>
      </c>
      <c r="N52" s="126">
        <f t="shared" si="6"/>
        <v>875988900</v>
      </c>
      <c r="O52" s="130">
        <v>0</v>
      </c>
      <c r="P52" s="130">
        <v>0</v>
      </c>
      <c r="Q52" s="130">
        <v>14484350</v>
      </c>
      <c r="R52" s="130">
        <v>0</v>
      </c>
      <c r="S52" s="130">
        <v>0</v>
      </c>
      <c r="T52" s="130">
        <v>861504550</v>
      </c>
      <c r="U52" s="130">
        <v>0</v>
      </c>
      <c r="V52" s="130">
        <v>0</v>
      </c>
    </row>
    <row r="53" spans="1:22" s="132" customFormat="1" ht="46.5">
      <c r="A53" s="131"/>
      <c r="B53" s="202" t="s">
        <v>1101</v>
      </c>
      <c r="C53" s="203"/>
      <c r="D53" s="198" t="s">
        <v>982</v>
      </c>
      <c r="E53" s="126">
        <f t="shared" si="5"/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7">
        <v>0</v>
      </c>
      <c r="L53" s="127">
        <v>0</v>
      </c>
      <c r="M53" s="127">
        <v>0</v>
      </c>
      <c r="N53" s="126">
        <f t="shared" si="6"/>
        <v>416202165</v>
      </c>
      <c r="O53" s="130">
        <v>0</v>
      </c>
      <c r="P53" s="130">
        <v>0</v>
      </c>
      <c r="Q53" s="130">
        <v>6626222</v>
      </c>
      <c r="R53" s="130">
        <v>0</v>
      </c>
      <c r="S53" s="130">
        <v>0</v>
      </c>
      <c r="T53" s="130">
        <v>409575943</v>
      </c>
      <c r="U53" s="130">
        <v>0</v>
      </c>
      <c r="V53" s="130">
        <v>0</v>
      </c>
    </row>
    <row r="54" spans="1:22" ht="46.5">
      <c r="A54" s="121"/>
      <c r="B54" s="202" t="s">
        <v>1102</v>
      </c>
      <c r="C54" s="203"/>
      <c r="D54" s="198" t="s">
        <v>983</v>
      </c>
      <c r="E54" s="126">
        <f t="shared" si="5"/>
        <v>20000000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27">
        <v>20000000</v>
      </c>
      <c r="L54" s="127">
        <v>0</v>
      </c>
      <c r="M54" s="127">
        <v>0</v>
      </c>
      <c r="N54" s="126">
        <f t="shared" si="6"/>
        <v>299165374</v>
      </c>
      <c r="O54" s="130">
        <v>0</v>
      </c>
      <c r="P54" s="130">
        <v>0</v>
      </c>
      <c r="Q54" s="130">
        <v>7608570</v>
      </c>
      <c r="R54" s="130">
        <v>0</v>
      </c>
      <c r="S54" s="130">
        <v>0</v>
      </c>
      <c r="T54" s="127">
        <v>291556804</v>
      </c>
      <c r="U54" s="130">
        <v>0</v>
      </c>
      <c r="V54" s="130">
        <v>0</v>
      </c>
    </row>
    <row r="55" spans="1:22" ht="20.25">
      <c r="A55" s="121"/>
      <c r="B55" s="346" t="s">
        <v>390</v>
      </c>
      <c r="C55" s="347"/>
      <c r="D55" s="348"/>
      <c r="E55" s="126">
        <f aca="true" t="shared" si="7" ref="E55:E72">SUM(F55:M55)</f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27">
        <v>0</v>
      </c>
      <c r="L55" s="127">
        <v>0</v>
      </c>
      <c r="M55" s="127">
        <v>0</v>
      </c>
      <c r="N55" s="126">
        <f t="shared" si="6"/>
        <v>0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</row>
    <row r="56" spans="1:22" ht="69.75">
      <c r="A56" s="121"/>
      <c r="B56" s="200" t="s">
        <v>1103</v>
      </c>
      <c r="C56" s="203"/>
      <c r="D56" s="199" t="s">
        <v>391</v>
      </c>
      <c r="E56" s="126">
        <f>SUM(F56:M56)</f>
        <v>253755248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27">
        <v>253755248</v>
      </c>
      <c r="L56" s="127">
        <v>0</v>
      </c>
      <c r="M56" s="127">
        <v>0</v>
      </c>
      <c r="N56" s="126">
        <f>SUM(O56:V56)</f>
        <v>281155248</v>
      </c>
      <c r="O56" s="130">
        <v>0</v>
      </c>
      <c r="P56" s="130">
        <v>0</v>
      </c>
      <c r="Q56" s="130">
        <v>68053718</v>
      </c>
      <c r="R56" s="130">
        <v>0</v>
      </c>
      <c r="S56" s="130">
        <v>0</v>
      </c>
      <c r="T56" s="127">
        <v>213101530</v>
      </c>
      <c r="U56" s="130">
        <v>0</v>
      </c>
      <c r="V56" s="130">
        <v>0</v>
      </c>
    </row>
    <row r="57" spans="1:22" ht="46.5">
      <c r="A57" s="121"/>
      <c r="B57" s="200" t="s">
        <v>1104</v>
      </c>
      <c r="C57" s="203"/>
      <c r="D57" s="199" t="s">
        <v>392</v>
      </c>
      <c r="E57" s="126">
        <f>SUM(F57:M57)</f>
        <v>550965220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27">
        <v>550965220</v>
      </c>
      <c r="L57" s="127">
        <v>0</v>
      </c>
      <c r="M57" s="127">
        <v>0</v>
      </c>
      <c r="N57" s="126">
        <f>SUM(O57:V57)</f>
        <v>522965220</v>
      </c>
      <c r="O57" s="130">
        <v>0</v>
      </c>
      <c r="P57" s="130">
        <v>0</v>
      </c>
      <c r="Q57" s="130">
        <v>12725400</v>
      </c>
      <c r="R57" s="130">
        <v>0</v>
      </c>
      <c r="S57" s="130">
        <v>0</v>
      </c>
      <c r="T57" s="127">
        <v>510239820</v>
      </c>
      <c r="U57" s="130">
        <v>0</v>
      </c>
      <c r="V57" s="130">
        <v>0</v>
      </c>
    </row>
    <row r="58" spans="1:22" ht="46.5">
      <c r="A58" s="121"/>
      <c r="B58" s="200" t="s">
        <v>1105</v>
      </c>
      <c r="C58" s="203"/>
      <c r="D58" s="199" t="s">
        <v>393</v>
      </c>
      <c r="E58" s="126">
        <f>SUM(F58:M58)</f>
        <v>543925474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27">
        <v>543925474</v>
      </c>
      <c r="L58" s="127">
        <v>0</v>
      </c>
      <c r="M58" s="127">
        <v>0</v>
      </c>
      <c r="N58" s="126">
        <f>SUM(O58:V58)</f>
        <v>681124291</v>
      </c>
      <c r="O58" s="130">
        <v>0</v>
      </c>
      <c r="P58" s="130">
        <v>0</v>
      </c>
      <c r="Q58" s="130">
        <v>135553047</v>
      </c>
      <c r="R58" s="130">
        <v>0</v>
      </c>
      <c r="S58" s="130">
        <v>1473577</v>
      </c>
      <c r="T58" s="127">
        <v>544097667</v>
      </c>
      <c r="U58" s="130">
        <v>0</v>
      </c>
      <c r="V58" s="130">
        <v>0</v>
      </c>
    </row>
    <row r="59" spans="1:22" ht="20.25">
      <c r="A59" s="121"/>
      <c r="B59" s="346" t="s">
        <v>918</v>
      </c>
      <c r="C59" s="347"/>
      <c r="D59" s="348"/>
      <c r="E59" s="126">
        <f t="shared" si="7"/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27">
        <v>0</v>
      </c>
      <c r="L59" s="127">
        <v>0</v>
      </c>
      <c r="M59" s="127">
        <v>0</v>
      </c>
      <c r="N59" s="126">
        <f aca="true" t="shared" si="8" ref="N59:N80">SUM(O59:V59)</f>
        <v>0</v>
      </c>
      <c r="O59" s="130">
        <v>0</v>
      </c>
      <c r="P59" s="130">
        <v>0</v>
      </c>
      <c r="Q59" s="130">
        <v>0</v>
      </c>
      <c r="R59" s="130">
        <v>0</v>
      </c>
      <c r="S59" s="130">
        <v>0</v>
      </c>
      <c r="T59" s="130">
        <v>0</v>
      </c>
      <c r="U59" s="130">
        <v>0</v>
      </c>
      <c r="V59" s="130">
        <v>0</v>
      </c>
    </row>
    <row r="60" spans="1:22" ht="59.25" customHeight="1">
      <c r="A60" s="197"/>
      <c r="B60" s="200" t="s">
        <v>1106</v>
      </c>
      <c r="C60" s="203"/>
      <c r="D60" s="199" t="s">
        <v>919</v>
      </c>
      <c r="E60" s="126">
        <f t="shared" si="7"/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27">
        <v>0</v>
      </c>
      <c r="L60" s="127">
        <v>0</v>
      </c>
      <c r="M60" s="127">
        <v>0</v>
      </c>
      <c r="N60" s="126">
        <f t="shared" si="8"/>
        <v>1281738625</v>
      </c>
      <c r="O60" s="130">
        <v>0</v>
      </c>
      <c r="P60" s="130">
        <v>0</v>
      </c>
      <c r="Q60" s="130">
        <v>33647761</v>
      </c>
      <c r="R60" s="130">
        <v>0</v>
      </c>
      <c r="S60" s="130">
        <v>0</v>
      </c>
      <c r="T60" s="127">
        <v>1248090864</v>
      </c>
      <c r="U60" s="130">
        <v>0</v>
      </c>
      <c r="V60" s="130">
        <v>0</v>
      </c>
    </row>
    <row r="61" spans="1:22" ht="42.75" customHeight="1">
      <c r="A61" s="121"/>
      <c r="B61" s="346" t="s">
        <v>394</v>
      </c>
      <c r="C61" s="347"/>
      <c r="D61" s="348"/>
      <c r="E61" s="126">
        <f t="shared" si="7"/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27">
        <v>0</v>
      </c>
      <c r="L61" s="127">
        <v>0</v>
      </c>
      <c r="M61" s="127">
        <v>0</v>
      </c>
      <c r="N61" s="126">
        <f t="shared" si="8"/>
        <v>0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>
        <v>0</v>
      </c>
      <c r="U61" s="130">
        <v>0</v>
      </c>
      <c r="V61" s="130">
        <v>0</v>
      </c>
    </row>
    <row r="62" spans="1:22" ht="46.5">
      <c r="A62" s="121"/>
      <c r="B62" s="200" t="s">
        <v>1107</v>
      </c>
      <c r="C62" s="203"/>
      <c r="D62" s="199" t="s">
        <v>395</v>
      </c>
      <c r="E62" s="126">
        <f t="shared" si="7"/>
        <v>389350642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27">
        <v>3095244</v>
      </c>
      <c r="L62" s="127">
        <v>386255398</v>
      </c>
      <c r="M62" s="127">
        <v>0</v>
      </c>
      <c r="N62" s="126">
        <f t="shared" si="8"/>
        <v>389350642</v>
      </c>
      <c r="O62" s="130">
        <v>0</v>
      </c>
      <c r="P62" s="130">
        <v>0</v>
      </c>
      <c r="Q62" s="130">
        <v>79195460</v>
      </c>
      <c r="R62" s="130">
        <v>0</v>
      </c>
      <c r="S62" s="130">
        <v>0</v>
      </c>
      <c r="T62" s="130">
        <v>0</v>
      </c>
      <c r="U62" s="127">
        <v>310155182</v>
      </c>
      <c r="V62" s="130">
        <v>0</v>
      </c>
    </row>
    <row r="63" spans="1:22" ht="46.5">
      <c r="A63" s="121"/>
      <c r="B63" s="200" t="s">
        <v>1108</v>
      </c>
      <c r="C63" s="203"/>
      <c r="D63" s="199" t="s">
        <v>396</v>
      </c>
      <c r="E63" s="126">
        <f t="shared" si="7"/>
        <v>123969048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27">
        <v>4028948</v>
      </c>
      <c r="L63" s="127">
        <v>119940100</v>
      </c>
      <c r="M63" s="127">
        <v>0</v>
      </c>
      <c r="N63" s="126">
        <f t="shared" si="8"/>
        <v>123969048</v>
      </c>
      <c r="O63" s="130">
        <v>0</v>
      </c>
      <c r="P63" s="130">
        <v>0</v>
      </c>
      <c r="Q63" s="130">
        <v>3000248</v>
      </c>
      <c r="R63" s="130">
        <v>0</v>
      </c>
      <c r="S63" s="130">
        <v>0</v>
      </c>
      <c r="T63" s="127">
        <v>1028700</v>
      </c>
      <c r="U63" s="127">
        <v>119940100</v>
      </c>
      <c r="V63" s="130">
        <v>0</v>
      </c>
    </row>
    <row r="64" spans="1:22" ht="46.5">
      <c r="A64" s="121"/>
      <c r="B64" s="200" t="s">
        <v>1109</v>
      </c>
      <c r="C64" s="203"/>
      <c r="D64" s="199" t="s">
        <v>397</v>
      </c>
      <c r="E64" s="126">
        <f t="shared" si="7"/>
        <v>122656628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27">
        <v>6090920</v>
      </c>
      <c r="L64" s="127">
        <v>116565708</v>
      </c>
      <c r="M64" s="127">
        <v>0</v>
      </c>
      <c r="N64" s="126">
        <f t="shared" si="8"/>
        <v>122656628</v>
      </c>
      <c r="O64" s="130">
        <v>0</v>
      </c>
      <c r="P64" s="130">
        <v>0</v>
      </c>
      <c r="Q64" s="130">
        <v>3000248</v>
      </c>
      <c r="R64" s="130">
        <v>0</v>
      </c>
      <c r="S64" s="130">
        <v>0</v>
      </c>
      <c r="T64" s="127">
        <v>3090672</v>
      </c>
      <c r="U64" s="127">
        <v>116565708</v>
      </c>
      <c r="V64" s="130">
        <v>0</v>
      </c>
    </row>
    <row r="65" spans="1:22" ht="46.5">
      <c r="A65" s="121"/>
      <c r="B65" s="200" t="s">
        <v>1110</v>
      </c>
      <c r="C65" s="203"/>
      <c r="D65" s="199" t="s">
        <v>398</v>
      </c>
      <c r="E65" s="126">
        <f t="shared" si="7"/>
        <v>200660468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27">
        <v>4438396</v>
      </c>
      <c r="L65" s="127">
        <v>196222072</v>
      </c>
      <c r="M65" s="127">
        <v>0</v>
      </c>
      <c r="N65" s="126">
        <f t="shared" si="8"/>
        <v>251828561</v>
      </c>
      <c r="O65" s="130">
        <v>0</v>
      </c>
      <c r="P65" s="130">
        <v>0</v>
      </c>
      <c r="Q65" s="130">
        <v>13093428</v>
      </c>
      <c r="R65" s="130">
        <v>0</v>
      </c>
      <c r="S65" s="130">
        <v>876836</v>
      </c>
      <c r="T65" s="127">
        <v>2785872</v>
      </c>
      <c r="U65" s="127">
        <v>235072425</v>
      </c>
      <c r="V65" s="130">
        <v>0</v>
      </c>
    </row>
    <row r="66" spans="1:22" ht="46.5">
      <c r="A66" s="121"/>
      <c r="B66" s="200" t="s">
        <v>1111</v>
      </c>
      <c r="C66" s="203"/>
      <c r="D66" s="199" t="s">
        <v>399</v>
      </c>
      <c r="E66" s="126">
        <f t="shared" si="7"/>
        <v>452251677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27">
        <v>6649974</v>
      </c>
      <c r="L66" s="127">
        <v>445601703</v>
      </c>
      <c r="M66" s="127">
        <v>0</v>
      </c>
      <c r="N66" s="126">
        <f t="shared" si="8"/>
        <v>436651677</v>
      </c>
      <c r="O66" s="130">
        <v>0</v>
      </c>
      <c r="P66" s="130">
        <v>0</v>
      </c>
      <c r="Q66" s="130">
        <v>6649974</v>
      </c>
      <c r="R66" s="130">
        <v>0</v>
      </c>
      <c r="S66" s="130">
        <v>0</v>
      </c>
      <c r="T66" s="130">
        <v>0</v>
      </c>
      <c r="U66" s="127">
        <v>430001703</v>
      </c>
      <c r="V66" s="130">
        <v>0</v>
      </c>
    </row>
    <row r="67" spans="1:22" ht="46.5">
      <c r="A67" s="121"/>
      <c r="B67" s="200" t="s">
        <v>1112</v>
      </c>
      <c r="C67" s="203"/>
      <c r="D67" s="199" t="s">
        <v>400</v>
      </c>
      <c r="E67" s="126">
        <f t="shared" si="7"/>
        <v>29564742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27">
        <v>705612</v>
      </c>
      <c r="L67" s="127">
        <v>28859130</v>
      </c>
      <c r="M67" s="127">
        <v>0</v>
      </c>
      <c r="N67" s="126">
        <f t="shared" si="8"/>
        <v>29564742</v>
      </c>
      <c r="O67" s="130">
        <v>0</v>
      </c>
      <c r="P67" s="130">
        <v>0</v>
      </c>
      <c r="Q67" s="130">
        <v>705612</v>
      </c>
      <c r="R67" s="130">
        <v>0</v>
      </c>
      <c r="S67" s="130">
        <v>0</v>
      </c>
      <c r="T67" s="130">
        <v>0</v>
      </c>
      <c r="U67" s="127">
        <v>28859130</v>
      </c>
      <c r="V67" s="130">
        <v>0</v>
      </c>
    </row>
    <row r="68" spans="1:22" ht="46.5">
      <c r="A68" s="121"/>
      <c r="B68" s="200" t="s">
        <v>1113</v>
      </c>
      <c r="C68" s="203"/>
      <c r="D68" s="199" t="s">
        <v>401</v>
      </c>
      <c r="E68" s="126">
        <f t="shared" si="7"/>
        <v>113284616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27">
        <v>2676906</v>
      </c>
      <c r="L68" s="127">
        <v>110607710</v>
      </c>
      <c r="M68" s="127">
        <v>0</v>
      </c>
      <c r="N68" s="126">
        <f t="shared" si="8"/>
        <v>113284616</v>
      </c>
      <c r="O68" s="130">
        <v>0</v>
      </c>
      <c r="P68" s="130">
        <v>0</v>
      </c>
      <c r="Q68" s="130">
        <v>2816606</v>
      </c>
      <c r="R68" s="130">
        <v>0</v>
      </c>
      <c r="S68" s="130">
        <v>0</v>
      </c>
      <c r="T68" s="130">
        <v>0</v>
      </c>
      <c r="U68" s="127">
        <v>110468010</v>
      </c>
      <c r="V68" s="130">
        <v>0</v>
      </c>
    </row>
    <row r="69" spans="1:22" ht="46.5">
      <c r="A69" s="121"/>
      <c r="B69" s="200" t="s">
        <v>1114</v>
      </c>
      <c r="C69" s="203"/>
      <c r="D69" s="199" t="s">
        <v>402</v>
      </c>
      <c r="E69" s="126">
        <f t="shared" si="7"/>
        <v>131786108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27">
        <v>3240278</v>
      </c>
      <c r="L69" s="127">
        <v>128545830</v>
      </c>
      <c r="M69" s="127">
        <v>0</v>
      </c>
      <c r="N69" s="126">
        <f t="shared" si="8"/>
        <v>188258957</v>
      </c>
      <c r="O69" s="130">
        <v>0</v>
      </c>
      <c r="P69" s="130">
        <v>0</v>
      </c>
      <c r="Q69" s="130">
        <v>9506529</v>
      </c>
      <c r="R69" s="130">
        <v>0</v>
      </c>
      <c r="S69" s="130">
        <v>0</v>
      </c>
      <c r="T69" s="127">
        <v>548640</v>
      </c>
      <c r="U69" s="127">
        <v>178203788</v>
      </c>
      <c r="V69" s="130">
        <v>0</v>
      </c>
    </row>
    <row r="70" spans="1:22" ht="69.75">
      <c r="A70" s="121"/>
      <c r="B70" s="200" t="s">
        <v>1115</v>
      </c>
      <c r="C70" s="203"/>
      <c r="D70" s="199" t="s">
        <v>403</v>
      </c>
      <c r="E70" s="126">
        <f t="shared" si="7"/>
        <v>176331744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27">
        <v>8090916</v>
      </c>
      <c r="L70" s="127">
        <v>168240828</v>
      </c>
      <c r="M70" s="127">
        <v>0</v>
      </c>
      <c r="N70" s="126">
        <f t="shared" si="8"/>
        <v>176331744</v>
      </c>
      <c r="O70" s="130">
        <v>0</v>
      </c>
      <c r="P70" s="130">
        <v>0</v>
      </c>
      <c r="Q70" s="130">
        <v>4299204</v>
      </c>
      <c r="R70" s="130">
        <v>0</v>
      </c>
      <c r="S70" s="130">
        <v>0</v>
      </c>
      <c r="T70" s="127">
        <v>8090916</v>
      </c>
      <c r="U70" s="127">
        <v>163941624</v>
      </c>
      <c r="V70" s="130">
        <v>0</v>
      </c>
    </row>
    <row r="71" spans="1:22" ht="46.5">
      <c r="A71" s="121"/>
      <c r="B71" s="200" t="s">
        <v>1116</v>
      </c>
      <c r="C71" s="203"/>
      <c r="D71" s="199" t="s">
        <v>404</v>
      </c>
      <c r="E71" s="126">
        <f t="shared" si="7"/>
        <v>51609986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27">
        <v>1224026</v>
      </c>
      <c r="L71" s="127">
        <v>50385960</v>
      </c>
      <c r="M71" s="127">
        <v>0</v>
      </c>
      <c r="N71" s="126">
        <f t="shared" si="8"/>
        <v>51609986</v>
      </c>
      <c r="O71" s="130">
        <v>0</v>
      </c>
      <c r="P71" s="130">
        <v>0</v>
      </c>
      <c r="Q71" s="130">
        <v>1224026</v>
      </c>
      <c r="R71" s="130">
        <v>0</v>
      </c>
      <c r="S71" s="130">
        <v>0</v>
      </c>
      <c r="T71" s="130">
        <v>0</v>
      </c>
      <c r="U71" s="127">
        <v>50385960</v>
      </c>
      <c r="V71" s="130">
        <v>0</v>
      </c>
    </row>
    <row r="72" spans="1:22" ht="57.75" customHeight="1">
      <c r="A72" s="197"/>
      <c r="B72" s="200" t="s">
        <v>1117</v>
      </c>
      <c r="C72" s="203"/>
      <c r="D72" s="199" t="s">
        <v>405</v>
      </c>
      <c r="E72" s="126">
        <f t="shared" si="7"/>
        <v>193605938</v>
      </c>
      <c r="F72" s="130">
        <v>0</v>
      </c>
      <c r="G72" s="130">
        <v>0</v>
      </c>
      <c r="H72" s="130">
        <v>0</v>
      </c>
      <c r="I72" s="130">
        <v>0</v>
      </c>
      <c r="J72" s="130">
        <v>0</v>
      </c>
      <c r="K72" s="127">
        <v>7748778</v>
      </c>
      <c r="L72" s="127">
        <v>185857160</v>
      </c>
      <c r="M72" s="127">
        <v>0</v>
      </c>
      <c r="N72" s="126">
        <f t="shared" si="8"/>
        <v>193605938</v>
      </c>
      <c r="O72" s="130">
        <v>0</v>
      </c>
      <c r="P72" s="130">
        <v>0</v>
      </c>
      <c r="Q72" s="130">
        <v>4731258</v>
      </c>
      <c r="R72" s="130">
        <v>0</v>
      </c>
      <c r="S72" s="130">
        <v>0</v>
      </c>
      <c r="T72" s="127">
        <v>3017520</v>
      </c>
      <c r="U72" s="127">
        <v>185857160</v>
      </c>
      <c r="V72" s="130">
        <v>0</v>
      </c>
    </row>
    <row r="73" spans="1:22" s="132" customFormat="1" ht="46.5">
      <c r="A73" s="131"/>
      <c r="B73" s="200" t="s">
        <v>1118</v>
      </c>
      <c r="C73" s="203"/>
      <c r="D73" s="199" t="s">
        <v>406</v>
      </c>
      <c r="E73" s="126">
        <f aca="true" t="shared" si="9" ref="E73:E104">SUM(F73:M73)</f>
        <v>122981344</v>
      </c>
      <c r="F73" s="129">
        <v>0</v>
      </c>
      <c r="G73" s="129">
        <v>0</v>
      </c>
      <c r="H73" s="129">
        <v>0</v>
      </c>
      <c r="I73" s="129">
        <v>0</v>
      </c>
      <c r="J73" s="129">
        <v>0</v>
      </c>
      <c r="K73" s="127">
        <v>2972054</v>
      </c>
      <c r="L73" s="127">
        <v>120009290</v>
      </c>
      <c r="M73" s="127">
        <v>0</v>
      </c>
      <c r="N73" s="126">
        <f t="shared" si="8"/>
        <v>122981344</v>
      </c>
      <c r="O73" s="130">
        <v>0</v>
      </c>
      <c r="P73" s="130">
        <v>0</v>
      </c>
      <c r="Q73" s="129">
        <v>2972054</v>
      </c>
      <c r="R73" s="130">
        <v>0</v>
      </c>
      <c r="S73" s="130">
        <v>0</v>
      </c>
      <c r="T73" s="130">
        <v>0</v>
      </c>
      <c r="U73" s="127">
        <v>120009290</v>
      </c>
      <c r="V73" s="130">
        <v>0</v>
      </c>
    </row>
    <row r="74" spans="1:22" ht="30" customHeight="1">
      <c r="A74" s="197"/>
      <c r="B74" s="346" t="s">
        <v>920</v>
      </c>
      <c r="C74" s="347"/>
      <c r="D74" s="348"/>
      <c r="E74" s="126">
        <f t="shared" si="9"/>
        <v>0</v>
      </c>
      <c r="F74" s="130">
        <v>0</v>
      </c>
      <c r="G74" s="130">
        <v>0</v>
      </c>
      <c r="H74" s="130">
        <v>0</v>
      </c>
      <c r="I74" s="130">
        <v>0</v>
      </c>
      <c r="J74" s="130">
        <v>0</v>
      </c>
      <c r="K74" s="127">
        <v>0</v>
      </c>
      <c r="L74" s="127">
        <v>0</v>
      </c>
      <c r="M74" s="127">
        <v>0</v>
      </c>
      <c r="N74" s="126">
        <f t="shared" si="8"/>
        <v>0</v>
      </c>
      <c r="O74" s="130">
        <v>0</v>
      </c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130">
        <v>0</v>
      </c>
    </row>
    <row r="75" spans="1:22" ht="46.5">
      <c r="A75" s="121"/>
      <c r="B75" s="200" t="s">
        <v>1119</v>
      </c>
      <c r="C75" s="203"/>
      <c r="D75" s="207" t="s">
        <v>921</v>
      </c>
      <c r="E75" s="126">
        <f t="shared" si="9"/>
        <v>2000000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27">
        <v>0</v>
      </c>
      <c r="L75" s="127">
        <v>2000000</v>
      </c>
      <c r="M75" s="127">
        <v>0</v>
      </c>
      <c r="N75" s="126">
        <f t="shared" si="8"/>
        <v>164050000</v>
      </c>
      <c r="O75" s="130">
        <v>0</v>
      </c>
      <c r="P75" s="130">
        <v>0</v>
      </c>
      <c r="Q75" s="130">
        <v>4057142</v>
      </c>
      <c r="R75" s="130">
        <v>0</v>
      </c>
      <c r="S75" s="130">
        <v>0</v>
      </c>
      <c r="T75" s="130">
        <v>0</v>
      </c>
      <c r="U75" s="127">
        <v>159992858</v>
      </c>
      <c r="V75" s="130">
        <v>0</v>
      </c>
    </row>
    <row r="76" spans="1:22" ht="54.75" customHeight="1">
      <c r="A76" s="197"/>
      <c r="B76" s="200" t="s">
        <v>1120</v>
      </c>
      <c r="C76" s="203"/>
      <c r="D76" s="207" t="s">
        <v>922</v>
      </c>
      <c r="E76" s="126">
        <f t="shared" si="9"/>
        <v>86107500</v>
      </c>
      <c r="F76" s="130">
        <v>0</v>
      </c>
      <c r="G76" s="130">
        <v>0</v>
      </c>
      <c r="H76" s="130">
        <v>0</v>
      </c>
      <c r="I76" s="130">
        <v>0</v>
      </c>
      <c r="J76" s="130">
        <v>0</v>
      </c>
      <c r="K76" s="127">
        <v>71107500</v>
      </c>
      <c r="L76" s="127">
        <v>15000000</v>
      </c>
      <c r="M76" s="127">
        <v>0</v>
      </c>
      <c r="N76" s="126">
        <f t="shared" si="8"/>
        <v>1017174133</v>
      </c>
      <c r="O76" s="130">
        <v>0</v>
      </c>
      <c r="P76" s="130">
        <v>0</v>
      </c>
      <c r="Q76" s="130">
        <v>13091509</v>
      </c>
      <c r="R76" s="130">
        <v>0</v>
      </c>
      <c r="S76" s="130">
        <v>0</v>
      </c>
      <c r="T76" s="127">
        <v>71107500</v>
      </c>
      <c r="U76" s="127">
        <v>932975124</v>
      </c>
      <c r="V76" s="130">
        <v>0</v>
      </c>
    </row>
    <row r="77" spans="1:22" ht="46.5">
      <c r="A77" s="133"/>
      <c r="B77" s="200" t="s">
        <v>1121</v>
      </c>
      <c r="C77" s="205"/>
      <c r="D77" s="207" t="s">
        <v>923</v>
      </c>
      <c r="E77" s="126">
        <f t="shared" si="9"/>
        <v>2000000</v>
      </c>
      <c r="F77" s="130">
        <v>0</v>
      </c>
      <c r="G77" s="130">
        <v>0</v>
      </c>
      <c r="H77" s="130">
        <v>0</v>
      </c>
      <c r="I77" s="130">
        <v>0</v>
      </c>
      <c r="J77" s="130">
        <v>0</v>
      </c>
      <c r="K77" s="127">
        <v>0</v>
      </c>
      <c r="L77" s="127">
        <v>2000000</v>
      </c>
      <c r="M77" s="127">
        <v>0</v>
      </c>
      <c r="N77" s="126">
        <f t="shared" si="8"/>
        <v>172312139</v>
      </c>
      <c r="O77" s="130">
        <v>0</v>
      </c>
      <c r="P77" s="130">
        <v>0</v>
      </c>
      <c r="Q77" s="130">
        <v>4387212</v>
      </c>
      <c r="R77" s="130">
        <v>0</v>
      </c>
      <c r="S77" s="130">
        <v>0</v>
      </c>
      <c r="T77" s="130">
        <v>0</v>
      </c>
      <c r="U77" s="127">
        <v>167924927</v>
      </c>
      <c r="V77" s="130">
        <v>0</v>
      </c>
    </row>
    <row r="78" spans="1:22" ht="46.5">
      <c r="A78" s="133"/>
      <c r="B78" s="200" t="s">
        <v>1122</v>
      </c>
      <c r="C78" s="205"/>
      <c r="D78" s="207" t="s">
        <v>924</v>
      </c>
      <c r="E78" s="126">
        <f t="shared" si="9"/>
        <v>2000000</v>
      </c>
      <c r="F78" s="130">
        <v>0</v>
      </c>
      <c r="G78" s="130">
        <v>0</v>
      </c>
      <c r="H78" s="130">
        <v>0</v>
      </c>
      <c r="I78" s="130">
        <v>0</v>
      </c>
      <c r="J78" s="130">
        <v>0</v>
      </c>
      <c r="K78" s="127">
        <v>0</v>
      </c>
      <c r="L78" s="127">
        <v>2000000</v>
      </c>
      <c r="M78" s="127">
        <v>0</v>
      </c>
      <c r="N78" s="126">
        <f t="shared" si="8"/>
        <v>158522104</v>
      </c>
      <c r="O78" s="130">
        <v>0</v>
      </c>
      <c r="P78" s="130">
        <v>0</v>
      </c>
      <c r="Q78" s="130">
        <v>4059552</v>
      </c>
      <c r="R78" s="130">
        <v>0</v>
      </c>
      <c r="S78" s="130">
        <v>0</v>
      </c>
      <c r="T78" s="130">
        <v>0</v>
      </c>
      <c r="U78" s="127">
        <v>154462552</v>
      </c>
      <c r="V78" s="130">
        <v>0</v>
      </c>
    </row>
    <row r="79" spans="1:22" s="132" customFormat="1" ht="69.75">
      <c r="A79" s="134"/>
      <c r="B79" s="200" t="s">
        <v>1123</v>
      </c>
      <c r="C79" s="205"/>
      <c r="D79" s="207" t="s">
        <v>925</v>
      </c>
      <c r="E79" s="126">
        <f t="shared" si="9"/>
        <v>2000000</v>
      </c>
      <c r="F79" s="129">
        <v>0</v>
      </c>
      <c r="G79" s="129">
        <v>0</v>
      </c>
      <c r="H79" s="129">
        <v>0</v>
      </c>
      <c r="I79" s="129">
        <v>0</v>
      </c>
      <c r="J79" s="129">
        <v>0</v>
      </c>
      <c r="K79" s="127">
        <v>0</v>
      </c>
      <c r="L79" s="127">
        <v>2000000</v>
      </c>
      <c r="M79" s="127">
        <v>0</v>
      </c>
      <c r="N79" s="126">
        <f t="shared" si="8"/>
        <v>66300173</v>
      </c>
      <c r="O79" s="130">
        <v>0</v>
      </c>
      <c r="P79" s="130">
        <v>0</v>
      </c>
      <c r="Q79" s="129">
        <v>1702562</v>
      </c>
      <c r="R79" s="130">
        <v>0</v>
      </c>
      <c r="S79" s="130">
        <v>0</v>
      </c>
      <c r="T79" s="130">
        <v>0</v>
      </c>
      <c r="U79" s="127">
        <v>64597611</v>
      </c>
      <c r="V79" s="130">
        <v>0</v>
      </c>
    </row>
    <row r="80" spans="1:22" ht="69.75">
      <c r="A80" s="133"/>
      <c r="B80" s="200" t="s">
        <v>1124</v>
      </c>
      <c r="C80" s="205"/>
      <c r="D80" s="207" t="s">
        <v>926</v>
      </c>
      <c r="E80" s="126">
        <f t="shared" si="9"/>
        <v>10000000</v>
      </c>
      <c r="F80" s="130">
        <v>0</v>
      </c>
      <c r="G80" s="130">
        <v>0</v>
      </c>
      <c r="H80" s="130">
        <v>0</v>
      </c>
      <c r="I80" s="130">
        <v>0</v>
      </c>
      <c r="J80" s="130">
        <v>0</v>
      </c>
      <c r="K80" s="127">
        <v>0</v>
      </c>
      <c r="L80" s="127">
        <v>10000000</v>
      </c>
      <c r="M80" s="127">
        <v>0</v>
      </c>
      <c r="N80" s="126">
        <f t="shared" si="8"/>
        <v>1362456493</v>
      </c>
      <c r="O80" s="130">
        <v>0</v>
      </c>
      <c r="P80" s="130">
        <v>0</v>
      </c>
      <c r="Q80" s="130">
        <v>73342101</v>
      </c>
      <c r="R80" s="130">
        <v>0</v>
      </c>
      <c r="S80" s="130">
        <v>2444673</v>
      </c>
      <c r="T80" s="130">
        <v>0</v>
      </c>
      <c r="U80" s="127">
        <v>1286669719</v>
      </c>
      <c r="V80" s="130">
        <v>0</v>
      </c>
    </row>
    <row r="81" spans="1:22" ht="46.5">
      <c r="A81" s="133"/>
      <c r="B81" s="200" t="s">
        <v>1125</v>
      </c>
      <c r="C81" s="205"/>
      <c r="D81" s="207" t="s">
        <v>928</v>
      </c>
      <c r="E81" s="126">
        <f>SUM(F81:M81)</f>
        <v>2000000</v>
      </c>
      <c r="F81" s="129">
        <v>0</v>
      </c>
      <c r="G81" s="129">
        <v>0</v>
      </c>
      <c r="H81" s="129">
        <v>0</v>
      </c>
      <c r="I81" s="129">
        <v>0</v>
      </c>
      <c r="J81" s="129">
        <v>0</v>
      </c>
      <c r="K81" s="127">
        <v>0</v>
      </c>
      <c r="L81" s="127">
        <v>2000000</v>
      </c>
      <c r="M81" s="127">
        <v>0</v>
      </c>
      <c r="N81" s="126">
        <f>SUM(O81:V81)</f>
        <v>165000000</v>
      </c>
      <c r="O81" s="130">
        <v>0</v>
      </c>
      <c r="P81" s="130">
        <v>0</v>
      </c>
      <c r="Q81" s="129">
        <v>4223382</v>
      </c>
      <c r="R81" s="130">
        <v>0</v>
      </c>
      <c r="S81" s="130">
        <v>0</v>
      </c>
      <c r="T81" s="127">
        <v>158776618</v>
      </c>
      <c r="U81" s="127">
        <v>2000000</v>
      </c>
      <c r="V81" s="130">
        <v>0</v>
      </c>
    </row>
    <row r="82" spans="1:22" ht="46.5" customHeight="1">
      <c r="A82" s="197"/>
      <c r="B82" s="200" t="s">
        <v>1126</v>
      </c>
      <c r="C82" s="205"/>
      <c r="D82" s="207" t="s">
        <v>927</v>
      </c>
      <c r="E82" s="126">
        <f t="shared" si="9"/>
        <v>2000000</v>
      </c>
      <c r="F82" s="130"/>
      <c r="G82" s="130"/>
      <c r="H82" s="130"/>
      <c r="I82" s="130"/>
      <c r="J82" s="130"/>
      <c r="K82" s="127">
        <v>0</v>
      </c>
      <c r="L82" s="127">
        <v>2000000</v>
      </c>
      <c r="M82" s="127">
        <v>0</v>
      </c>
      <c r="N82" s="126">
        <f aca="true" t="shared" si="10" ref="N82:N145">SUM(O82:V82)</f>
        <v>275415584</v>
      </c>
      <c r="O82" s="130">
        <v>0</v>
      </c>
      <c r="P82" s="130">
        <v>0</v>
      </c>
      <c r="Q82" s="130">
        <v>4549902</v>
      </c>
      <c r="R82" s="130">
        <v>0</v>
      </c>
      <c r="S82" s="130">
        <v>0</v>
      </c>
      <c r="T82" s="130">
        <v>0</v>
      </c>
      <c r="U82" s="127">
        <v>270865682</v>
      </c>
      <c r="V82" s="130">
        <v>0</v>
      </c>
    </row>
    <row r="83" spans="1:22" s="132" customFormat="1" ht="69.75">
      <c r="A83" s="131"/>
      <c r="B83" s="200" t="s">
        <v>1127</v>
      </c>
      <c r="C83" s="205"/>
      <c r="D83" s="207" t="s">
        <v>929</v>
      </c>
      <c r="E83" s="126">
        <f t="shared" si="9"/>
        <v>3000000</v>
      </c>
      <c r="F83" s="129">
        <v>0</v>
      </c>
      <c r="G83" s="129">
        <v>0</v>
      </c>
      <c r="H83" s="129">
        <v>0</v>
      </c>
      <c r="I83" s="129">
        <v>0</v>
      </c>
      <c r="J83" s="129">
        <v>0</v>
      </c>
      <c r="K83" s="127">
        <v>0</v>
      </c>
      <c r="L83" s="127">
        <v>3000000</v>
      </c>
      <c r="M83" s="127">
        <v>0</v>
      </c>
      <c r="N83" s="126">
        <f t="shared" si="10"/>
        <v>483800000</v>
      </c>
      <c r="O83" s="130">
        <v>0</v>
      </c>
      <c r="P83" s="130">
        <v>0</v>
      </c>
      <c r="Q83" s="129">
        <v>6517002</v>
      </c>
      <c r="R83" s="130">
        <v>0</v>
      </c>
      <c r="S83" s="130">
        <v>963676</v>
      </c>
      <c r="T83" s="130">
        <v>0</v>
      </c>
      <c r="U83" s="127">
        <v>476319322</v>
      </c>
      <c r="V83" s="130">
        <v>0</v>
      </c>
    </row>
    <row r="84" spans="1:22" ht="46.5">
      <c r="A84" s="121"/>
      <c r="B84" s="200" t="s">
        <v>1128</v>
      </c>
      <c r="C84" s="205"/>
      <c r="D84" s="207" t="s">
        <v>930</v>
      </c>
      <c r="E84" s="126">
        <f t="shared" si="9"/>
        <v>3165860</v>
      </c>
      <c r="F84" s="130">
        <v>0</v>
      </c>
      <c r="G84" s="130">
        <v>0</v>
      </c>
      <c r="H84" s="130">
        <v>0</v>
      </c>
      <c r="I84" s="130">
        <v>0</v>
      </c>
      <c r="J84" s="130">
        <v>0</v>
      </c>
      <c r="K84" s="127">
        <v>1165860</v>
      </c>
      <c r="L84" s="127">
        <v>2000000</v>
      </c>
      <c r="M84" s="127">
        <v>0</v>
      </c>
      <c r="N84" s="126">
        <f t="shared" si="10"/>
        <v>166215860</v>
      </c>
      <c r="O84" s="130">
        <v>0</v>
      </c>
      <c r="P84" s="130">
        <v>0</v>
      </c>
      <c r="Q84" s="130">
        <v>4223382</v>
      </c>
      <c r="R84" s="130">
        <v>0</v>
      </c>
      <c r="S84" s="130">
        <v>0</v>
      </c>
      <c r="T84" s="127">
        <v>1165860</v>
      </c>
      <c r="U84" s="127">
        <v>160826618</v>
      </c>
      <c r="V84" s="130">
        <v>0</v>
      </c>
    </row>
    <row r="85" spans="1:22" ht="69.75">
      <c r="A85" s="121"/>
      <c r="B85" s="200" t="s">
        <v>1129</v>
      </c>
      <c r="C85" s="205"/>
      <c r="D85" s="207" t="s">
        <v>931</v>
      </c>
      <c r="E85" s="126">
        <f t="shared" si="9"/>
        <v>2000000</v>
      </c>
      <c r="F85" s="130">
        <v>0</v>
      </c>
      <c r="G85" s="130">
        <v>0</v>
      </c>
      <c r="H85" s="130">
        <v>0</v>
      </c>
      <c r="I85" s="130">
        <v>0</v>
      </c>
      <c r="J85" s="130">
        <v>0</v>
      </c>
      <c r="K85" s="127">
        <v>0</v>
      </c>
      <c r="L85" s="127">
        <v>2000000</v>
      </c>
      <c r="M85" s="127">
        <v>0</v>
      </c>
      <c r="N85" s="126">
        <f t="shared" si="10"/>
        <v>257502810</v>
      </c>
      <c r="O85" s="130">
        <v>0</v>
      </c>
      <c r="P85" s="130">
        <v>0</v>
      </c>
      <c r="Q85" s="130">
        <v>2093592</v>
      </c>
      <c r="R85" s="130">
        <v>0</v>
      </c>
      <c r="S85" s="130">
        <v>4241055</v>
      </c>
      <c r="T85" s="130">
        <v>0</v>
      </c>
      <c r="U85" s="127">
        <v>251168163</v>
      </c>
      <c r="V85" s="130">
        <v>0</v>
      </c>
    </row>
    <row r="86" spans="1:22" ht="54" customHeight="1">
      <c r="A86" s="121"/>
      <c r="B86" s="346" t="s">
        <v>949</v>
      </c>
      <c r="C86" s="347"/>
      <c r="D86" s="348"/>
      <c r="E86" s="126">
        <f t="shared" si="9"/>
        <v>0</v>
      </c>
      <c r="F86" s="130">
        <v>0</v>
      </c>
      <c r="G86" s="130">
        <v>0</v>
      </c>
      <c r="H86" s="130">
        <v>0</v>
      </c>
      <c r="I86" s="130">
        <v>0</v>
      </c>
      <c r="J86" s="130">
        <v>0</v>
      </c>
      <c r="K86" s="127">
        <v>0</v>
      </c>
      <c r="L86" s="127">
        <v>0</v>
      </c>
      <c r="M86" s="127">
        <v>0</v>
      </c>
      <c r="N86" s="126">
        <f t="shared" si="10"/>
        <v>0</v>
      </c>
      <c r="O86" s="130">
        <v>0</v>
      </c>
      <c r="P86" s="130">
        <v>0</v>
      </c>
      <c r="Q86" s="130">
        <v>0</v>
      </c>
      <c r="R86" s="130">
        <v>0</v>
      </c>
      <c r="S86" s="130">
        <v>0</v>
      </c>
      <c r="T86" s="130">
        <v>0</v>
      </c>
      <c r="U86" s="130">
        <v>0</v>
      </c>
      <c r="V86" s="130">
        <v>0</v>
      </c>
    </row>
    <row r="87" spans="1:22" ht="69.75">
      <c r="A87" s="121"/>
      <c r="B87" s="200" t="s">
        <v>1130</v>
      </c>
      <c r="C87" s="205"/>
      <c r="D87" s="199" t="s">
        <v>407</v>
      </c>
      <c r="E87" s="126">
        <f t="shared" si="9"/>
        <v>118338949</v>
      </c>
      <c r="F87" s="130">
        <v>0</v>
      </c>
      <c r="G87" s="130">
        <v>0</v>
      </c>
      <c r="H87" s="130">
        <v>0</v>
      </c>
      <c r="I87" s="130">
        <v>0</v>
      </c>
      <c r="J87" s="130">
        <v>0</v>
      </c>
      <c r="K87" s="127">
        <v>114202566</v>
      </c>
      <c r="L87" s="127">
        <v>4136383</v>
      </c>
      <c r="M87" s="127">
        <v>0</v>
      </c>
      <c r="N87" s="126">
        <f t="shared" si="10"/>
        <v>126561695</v>
      </c>
      <c r="O87" s="130">
        <v>0</v>
      </c>
      <c r="P87" s="130">
        <v>0</v>
      </c>
      <c r="Q87" s="130">
        <v>2626817</v>
      </c>
      <c r="R87" s="130">
        <v>0</v>
      </c>
      <c r="S87" s="130">
        <v>0</v>
      </c>
      <c r="T87" s="127">
        <v>123934878</v>
      </c>
      <c r="U87" s="127">
        <v>0</v>
      </c>
      <c r="V87" s="130">
        <v>0</v>
      </c>
    </row>
    <row r="88" spans="1:22" ht="69.75">
      <c r="A88" s="121"/>
      <c r="B88" s="200" t="s">
        <v>1131</v>
      </c>
      <c r="C88" s="205"/>
      <c r="D88" s="199" t="s">
        <v>408</v>
      </c>
      <c r="E88" s="126">
        <f t="shared" si="9"/>
        <v>57338790</v>
      </c>
      <c r="F88" s="130">
        <v>0</v>
      </c>
      <c r="G88" s="130">
        <v>0</v>
      </c>
      <c r="H88" s="130">
        <v>0</v>
      </c>
      <c r="I88" s="130">
        <v>0</v>
      </c>
      <c r="J88" s="130">
        <v>0</v>
      </c>
      <c r="K88" s="127">
        <v>1369060</v>
      </c>
      <c r="L88" s="127">
        <v>55969730</v>
      </c>
      <c r="M88" s="127">
        <v>0</v>
      </c>
      <c r="N88" s="126">
        <f t="shared" si="10"/>
        <v>67262682</v>
      </c>
      <c r="O88" s="130">
        <v>0</v>
      </c>
      <c r="P88" s="130">
        <v>0</v>
      </c>
      <c r="Q88" s="130">
        <v>1369060</v>
      </c>
      <c r="R88" s="130">
        <v>0</v>
      </c>
      <c r="S88" s="130">
        <v>0</v>
      </c>
      <c r="T88" s="127">
        <v>65893622</v>
      </c>
      <c r="U88" s="130">
        <v>0</v>
      </c>
      <c r="V88" s="130">
        <v>0</v>
      </c>
    </row>
    <row r="89" spans="1:22" ht="69.75">
      <c r="A89" s="121"/>
      <c r="B89" s="200" t="s">
        <v>1132</v>
      </c>
      <c r="C89" s="205"/>
      <c r="D89" s="199" t="s">
        <v>409</v>
      </c>
      <c r="E89" s="126">
        <f t="shared" si="9"/>
        <v>47087191</v>
      </c>
      <c r="F89" s="130">
        <v>0</v>
      </c>
      <c r="G89" s="130">
        <v>0</v>
      </c>
      <c r="H89" s="130">
        <v>0</v>
      </c>
      <c r="I89" s="130">
        <v>0</v>
      </c>
      <c r="J89" s="130">
        <v>0</v>
      </c>
      <c r="K89" s="127">
        <v>6796421</v>
      </c>
      <c r="L89" s="127">
        <v>40290770</v>
      </c>
      <c r="M89" s="127">
        <v>0</v>
      </c>
      <c r="N89" s="126">
        <f t="shared" si="10"/>
        <v>50043164</v>
      </c>
      <c r="O89" s="130">
        <v>0</v>
      </c>
      <c r="P89" s="130">
        <v>0</v>
      </c>
      <c r="Q89" s="130">
        <v>1157834</v>
      </c>
      <c r="R89" s="130">
        <v>0</v>
      </c>
      <c r="S89" s="130">
        <v>100854</v>
      </c>
      <c r="T89" s="127">
        <v>2124405</v>
      </c>
      <c r="U89" s="127">
        <v>46660071</v>
      </c>
      <c r="V89" s="130">
        <v>0</v>
      </c>
    </row>
    <row r="90" spans="1:22" ht="69.75">
      <c r="A90" s="121"/>
      <c r="B90" s="200" t="s">
        <v>1133</v>
      </c>
      <c r="C90" s="205"/>
      <c r="D90" s="199" t="s">
        <v>410</v>
      </c>
      <c r="E90" s="126">
        <f t="shared" si="9"/>
        <v>49532812</v>
      </c>
      <c r="F90" s="130">
        <v>0</v>
      </c>
      <c r="G90" s="130">
        <v>0</v>
      </c>
      <c r="H90" s="130">
        <v>0</v>
      </c>
      <c r="I90" s="130">
        <v>0</v>
      </c>
      <c r="J90" s="130">
        <v>0</v>
      </c>
      <c r="K90" s="127">
        <v>2524540</v>
      </c>
      <c r="L90" s="127">
        <v>47008272</v>
      </c>
      <c r="M90" s="127">
        <v>0</v>
      </c>
      <c r="N90" s="126">
        <f t="shared" si="10"/>
        <v>48150262</v>
      </c>
      <c r="O90" s="130">
        <v>0</v>
      </c>
      <c r="P90" s="130">
        <v>0</v>
      </c>
      <c r="Q90" s="130">
        <v>1244244</v>
      </c>
      <c r="R90" s="130">
        <v>0</v>
      </c>
      <c r="S90" s="130">
        <v>0</v>
      </c>
      <c r="T90" s="127">
        <v>1649848</v>
      </c>
      <c r="U90" s="127">
        <v>45256170</v>
      </c>
      <c r="V90" s="130">
        <v>0</v>
      </c>
    </row>
    <row r="91" spans="1:22" ht="69.75">
      <c r="A91" s="121"/>
      <c r="B91" s="200" t="s">
        <v>1134</v>
      </c>
      <c r="C91" s="205"/>
      <c r="D91" s="199" t="s">
        <v>411</v>
      </c>
      <c r="E91" s="126">
        <f t="shared" si="9"/>
        <v>4333270</v>
      </c>
      <c r="F91" s="130">
        <v>0</v>
      </c>
      <c r="G91" s="130">
        <v>0</v>
      </c>
      <c r="H91" s="130">
        <v>0</v>
      </c>
      <c r="I91" s="130">
        <v>0</v>
      </c>
      <c r="J91" s="130">
        <v>0</v>
      </c>
      <c r="K91" s="127">
        <v>1210061</v>
      </c>
      <c r="L91" s="127">
        <v>3123209</v>
      </c>
      <c r="M91" s="127">
        <v>0</v>
      </c>
      <c r="N91" s="126">
        <f t="shared" si="10"/>
        <v>2646644</v>
      </c>
      <c r="O91" s="130">
        <v>0</v>
      </c>
      <c r="P91" s="130">
        <v>0</v>
      </c>
      <c r="Q91" s="130">
        <v>328930</v>
      </c>
      <c r="R91" s="130">
        <v>0</v>
      </c>
      <c r="S91" s="130">
        <v>137431</v>
      </c>
      <c r="T91" s="127">
        <v>884359</v>
      </c>
      <c r="U91" s="127">
        <v>182550</v>
      </c>
      <c r="V91" s="130">
        <v>1113374</v>
      </c>
    </row>
    <row r="92" spans="1:22" ht="69.75">
      <c r="A92" s="121"/>
      <c r="B92" s="200" t="s">
        <v>1135</v>
      </c>
      <c r="C92" s="205"/>
      <c r="D92" s="199" t="s">
        <v>412</v>
      </c>
      <c r="E92" s="126">
        <f t="shared" si="9"/>
        <v>116125313</v>
      </c>
      <c r="F92" s="130">
        <v>0</v>
      </c>
      <c r="G92" s="130">
        <v>0</v>
      </c>
      <c r="H92" s="130">
        <v>0</v>
      </c>
      <c r="I92" s="130">
        <v>0</v>
      </c>
      <c r="J92" s="130">
        <v>0</v>
      </c>
      <c r="K92" s="127">
        <v>103876052</v>
      </c>
      <c r="L92" s="127">
        <v>12249261</v>
      </c>
      <c r="M92" s="127">
        <v>0</v>
      </c>
      <c r="N92" s="126">
        <f t="shared" si="10"/>
        <v>119838803</v>
      </c>
      <c r="O92" s="130">
        <v>0</v>
      </c>
      <c r="P92" s="130">
        <v>0</v>
      </c>
      <c r="Q92" s="130">
        <v>2761234</v>
      </c>
      <c r="R92" s="130">
        <v>0</v>
      </c>
      <c r="S92" s="130">
        <v>0</v>
      </c>
      <c r="T92" s="127">
        <v>104828308</v>
      </c>
      <c r="U92" s="127">
        <v>12249261</v>
      </c>
      <c r="V92" s="130">
        <v>0</v>
      </c>
    </row>
    <row r="93" spans="1:22" ht="69.75">
      <c r="A93" s="121"/>
      <c r="B93" s="200" t="s">
        <v>1136</v>
      </c>
      <c r="C93" s="205"/>
      <c r="D93" s="199" t="s">
        <v>413</v>
      </c>
      <c r="E93" s="126">
        <f t="shared" si="9"/>
        <v>29798251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27">
        <v>27266879</v>
      </c>
      <c r="L93" s="127">
        <v>2531372</v>
      </c>
      <c r="M93" s="127">
        <v>0</v>
      </c>
      <c r="N93" s="126">
        <f t="shared" si="10"/>
        <v>27798251</v>
      </c>
      <c r="O93" s="130">
        <v>0</v>
      </c>
      <c r="P93" s="130">
        <v>0</v>
      </c>
      <c r="Q93" s="130">
        <v>637174</v>
      </c>
      <c r="R93" s="130">
        <v>0</v>
      </c>
      <c r="S93" s="130">
        <v>0</v>
      </c>
      <c r="T93" s="127">
        <v>27161077</v>
      </c>
      <c r="U93" s="127">
        <v>0</v>
      </c>
      <c r="V93" s="130">
        <v>0</v>
      </c>
    </row>
    <row r="94" spans="1:22" ht="69.75">
      <c r="A94" s="121"/>
      <c r="B94" s="200" t="s">
        <v>1137</v>
      </c>
      <c r="C94" s="205"/>
      <c r="D94" s="199" t="s">
        <v>414</v>
      </c>
      <c r="E94" s="126">
        <f t="shared" si="9"/>
        <v>31203679</v>
      </c>
      <c r="F94" s="130">
        <v>0</v>
      </c>
      <c r="G94" s="130">
        <v>0</v>
      </c>
      <c r="H94" s="130">
        <v>0</v>
      </c>
      <c r="I94" s="130">
        <v>0</v>
      </c>
      <c r="J94" s="130">
        <v>0</v>
      </c>
      <c r="K94" s="127">
        <v>31203679</v>
      </c>
      <c r="L94" s="127">
        <v>0</v>
      </c>
      <c r="M94" s="127">
        <v>0</v>
      </c>
      <c r="N94" s="126">
        <f t="shared" si="10"/>
        <v>30203679</v>
      </c>
      <c r="O94" s="130">
        <v>0</v>
      </c>
      <c r="P94" s="130">
        <v>0</v>
      </c>
      <c r="Q94" s="130">
        <v>83211</v>
      </c>
      <c r="R94" s="130">
        <v>0</v>
      </c>
      <c r="S94" s="130">
        <v>0</v>
      </c>
      <c r="T94" s="127">
        <v>30120468</v>
      </c>
      <c r="U94" s="130">
        <v>0</v>
      </c>
      <c r="V94" s="130">
        <v>0</v>
      </c>
    </row>
    <row r="95" spans="1:22" ht="69.75">
      <c r="A95" s="121"/>
      <c r="B95" s="200" t="s">
        <v>1138</v>
      </c>
      <c r="C95" s="205"/>
      <c r="D95" s="199" t="s">
        <v>415</v>
      </c>
      <c r="E95" s="126">
        <f t="shared" si="9"/>
        <v>29369107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27">
        <v>29369107</v>
      </c>
      <c r="L95" s="127">
        <v>0</v>
      </c>
      <c r="M95" s="127">
        <v>0</v>
      </c>
      <c r="N95" s="126">
        <f t="shared" si="10"/>
        <v>27069107</v>
      </c>
      <c r="O95" s="130">
        <v>0</v>
      </c>
      <c r="P95" s="130">
        <v>0</v>
      </c>
      <c r="Q95" s="130">
        <v>76809</v>
      </c>
      <c r="R95" s="130">
        <v>0</v>
      </c>
      <c r="S95" s="130">
        <v>0</v>
      </c>
      <c r="T95" s="127">
        <v>26992298</v>
      </c>
      <c r="U95" s="130">
        <v>0</v>
      </c>
      <c r="V95" s="130">
        <v>0</v>
      </c>
    </row>
    <row r="96" spans="1:22" s="132" customFormat="1" ht="69.75">
      <c r="A96" s="131"/>
      <c r="B96" s="200" t="s">
        <v>1139</v>
      </c>
      <c r="C96" s="205"/>
      <c r="D96" s="199" t="s">
        <v>416</v>
      </c>
      <c r="E96" s="126">
        <f t="shared" si="9"/>
        <v>111958287</v>
      </c>
      <c r="F96" s="129">
        <v>0</v>
      </c>
      <c r="G96" s="129">
        <v>0</v>
      </c>
      <c r="H96" s="129">
        <v>0</v>
      </c>
      <c r="I96" s="129">
        <v>0</v>
      </c>
      <c r="J96" s="129">
        <v>0</v>
      </c>
      <c r="K96" s="127">
        <v>3635045</v>
      </c>
      <c r="L96" s="127">
        <v>108323242</v>
      </c>
      <c r="M96" s="127">
        <v>0</v>
      </c>
      <c r="N96" s="126">
        <f t="shared" si="10"/>
        <v>131671043</v>
      </c>
      <c r="O96" s="130">
        <v>0</v>
      </c>
      <c r="P96" s="130">
        <v>0</v>
      </c>
      <c r="Q96" s="129">
        <v>2620315</v>
      </c>
      <c r="R96" s="130">
        <v>0</v>
      </c>
      <c r="S96" s="130">
        <v>0</v>
      </c>
      <c r="T96" s="127">
        <v>1427525</v>
      </c>
      <c r="U96" s="130">
        <v>127623203</v>
      </c>
      <c r="V96" s="130">
        <v>0</v>
      </c>
    </row>
    <row r="97" spans="1:22" s="132" customFormat="1" ht="69.75">
      <c r="A97" s="131"/>
      <c r="B97" s="200" t="s">
        <v>1140</v>
      </c>
      <c r="C97" s="205"/>
      <c r="D97" s="199" t="s">
        <v>417</v>
      </c>
      <c r="E97" s="126">
        <f t="shared" si="9"/>
        <v>132962748</v>
      </c>
      <c r="F97" s="129">
        <v>0</v>
      </c>
      <c r="G97" s="129">
        <v>0</v>
      </c>
      <c r="H97" s="129">
        <v>0</v>
      </c>
      <c r="I97" s="129">
        <v>0</v>
      </c>
      <c r="J97" s="129">
        <v>0</v>
      </c>
      <c r="K97" s="127">
        <v>126607208</v>
      </c>
      <c r="L97" s="127">
        <v>6355540</v>
      </c>
      <c r="M97" s="127">
        <v>0</v>
      </c>
      <c r="N97" s="126">
        <f t="shared" si="10"/>
        <v>136830284</v>
      </c>
      <c r="O97" s="130">
        <v>0</v>
      </c>
      <c r="P97" s="130">
        <v>0</v>
      </c>
      <c r="Q97" s="129">
        <v>2502002</v>
      </c>
      <c r="R97" s="130">
        <v>0</v>
      </c>
      <c r="S97" s="130">
        <v>0</v>
      </c>
      <c r="T97" s="127">
        <v>2214284</v>
      </c>
      <c r="U97" s="127">
        <v>132113998</v>
      </c>
      <c r="V97" s="130">
        <v>0</v>
      </c>
    </row>
    <row r="98" spans="1:22" ht="49.5" customHeight="1">
      <c r="A98" s="121"/>
      <c r="B98" s="346" t="s">
        <v>950</v>
      </c>
      <c r="C98" s="347"/>
      <c r="D98" s="348"/>
      <c r="E98" s="126">
        <f t="shared" si="9"/>
        <v>0</v>
      </c>
      <c r="F98" s="130">
        <v>0</v>
      </c>
      <c r="G98" s="130">
        <v>0</v>
      </c>
      <c r="H98" s="130">
        <v>0</v>
      </c>
      <c r="I98" s="130">
        <v>0</v>
      </c>
      <c r="J98" s="130">
        <v>0</v>
      </c>
      <c r="K98" s="127">
        <v>0</v>
      </c>
      <c r="L98" s="127">
        <v>0</v>
      </c>
      <c r="M98" s="127">
        <v>0</v>
      </c>
      <c r="N98" s="126">
        <f t="shared" si="10"/>
        <v>0</v>
      </c>
      <c r="O98" s="130">
        <v>0</v>
      </c>
      <c r="P98" s="130">
        <v>0</v>
      </c>
      <c r="Q98" s="130">
        <v>0</v>
      </c>
      <c r="R98" s="130">
        <v>0</v>
      </c>
      <c r="S98" s="130">
        <v>0</v>
      </c>
      <c r="T98" s="130">
        <v>0</v>
      </c>
      <c r="U98" s="130">
        <v>0</v>
      </c>
      <c r="V98" s="130">
        <v>0</v>
      </c>
    </row>
    <row r="99" spans="1:22" ht="46.5">
      <c r="A99" s="121"/>
      <c r="B99" s="200" t="s">
        <v>1141</v>
      </c>
      <c r="C99" s="205"/>
      <c r="D99" s="199" t="s">
        <v>932</v>
      </c>
      <c r="E99" s="126">
        <f t="shared" si="9"/>
        <v>1000000</v>
      </c>
      <c r="F99" s="130">
        <v>0</v>
      </c>
      <c r="G99" s="130">
        <v>0</v>
      </c>
      <c r="H99" s="130">
        <v>0</v>
      </c>
      <c r="I99" s="130">
        <v>0</v>
      </c>
      <c r="J99" s="130">
        <v>0</v>
      </c>
      <c r="K99" s="127">
        <v>1000000</v>
      </c>
      <c r="L99" s="127">
        <v>0</v>
      </c>
      <c r="M99" s="127">
        <v>0</v>
      </c>
      <c r="N99" s="126">
        <f t="shared" si="10"/>
        <v>55002746</v>
      </c>
      <c r="O99" s="130">
        <v>0</v>
      </c>
      <c r="P99" s="130">
        <v>0</v>
      </c>
      <c r="Q99" s="130">
        <v>1484958</v>
      </c>
      <c r="R99" s="130">
        <v>0</v>
      </c>
      <c r="S99" s="130">
        <v>0</v>
      </c>
      <c r="T99" s="127">
        <v>53517788</v>
      </c>
      <c r="U99" s="130">
        <v>0</v>
      </c>
      <c r="V99" s="130">
        <v>0</v>
      </c>
    </row>
    <row r="100" spans="1:22" ht="46.5">
      <c r="A100" s="121"/>
      <c r="B100" s="200" t="s">
        <v>1142</v>
      </c>
      <c r="C100" s="205"/>
      <c r="D100" s="199" t="s">
        <v>933</v>
      </c>
      <c r="E100" s="126">
        <f t="shared" si="9"/>
        <v>1000000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27">
        <v>1000000</v>
      </c>
      <c r="L100" s="127">
        <v>0</v>
      </c>
      <c r="M100" s="127">
        <v>0</v>
      </c>
      <c r="N100" s="126">
        <f t="shared" si="10"/>
        <v>150311417</v>
      </c>
      <c r="O100" s="130">
        <v>0</v>
      </c>
      <c r="P100" s="130">
        <v>0</v>
      </c>
      <c r="Q100" s="130">
        <v>3895722</v>
      </c>
      <c r="R100" s="130">
        <v>0</v>
      </c>
      <c r="S100" s="130">
        <v>0</v>
      </c>
      <c r="T100" s="127">
        <v>146415695</v>
      </c>
      <c r="U100" s="127">
        <v>0</v>
      </c>
      <c r="V100" s="130">
        <v>0</v>
      </c>
    </row>
    <row r="101" spans="1:22" s="132" customFormat="1" ht="46.5">
      <c r="A101" s="131"/>
      <c r="B101" s="200" t="s">
        <v>1143</v>
      </c>
      <c r="C101" s="205"/>
      <c r="D101" s="199" t="s">
        <v>934</v>
      </c>
      <c r="E101" s="126">
        <f t="shared" si="9"/>
        <v>1000000</v>
      </c>
      <c r="F101" s="129">
        <v>0</v>
      </c>
      <c r="G101" s="129">
        <v>0</v>
      </c>
      <c r="H101" s="129">
        <v>0</v>
      </c>
      <c r="I101" s="129">
        <v>0</v>
      </c>
      <c r="J101" s="129">
        <v>0</v>
      </c>
      <c r="K101" s="127">
        <v>1000000</v>
      </c>
      <c r="L101" s="127">
        <v>0</v>
      </c>
      <c r="M101" s="127">
        <v>0</v>
      </c>
      <c r="N101" s="126">
        <f t="shared" si="10"/>
        <v>83981503</v>
      </c>
      <c r="O101" s="130">
        <v>0</v>
      </c>
      <c r="P101" s="130">
        <v>0</v>
      </c>
      <c r="Q101" s="129">
        <v>2193925</v>
      </c>
      <c r="R101" s="130">
        <v>0</v>
      </c>
      <c r="S101" s="130">
        <v>0</v>
      </c>
      <c r="T101" s="127">
        <v>0</v>
      </c>
      <c r="U101" s="127">
        <v>81787578</v>
      </c>
      <c r="V101" s="130">
        <v>0</v>
      </c>
    </row>
    <row r="102" spans="1:22" ht="57.75" customHeight="1">
      <c r="A102" s="197"/>
      <c r="B102" s="340" t="s">
        <v>935</v>
      </c>
      <c r="C102" s="341"/>
      <c r="D102" s="342"/>
      <c r="E102" s="126">
        <f t="shared" si="9"/>
        <v>0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27">
        <v>0</v>
      </c>
      <c r="L102" s="127">
        <v>0</v>
      </c>
      <c r="M102" s="127">
        <v>0</v>
      </c>
      <c r="N102" s="126">
        <f t="shared" si="10"/>
        <v>0</v>
      </c>
      <c r="O102" s="130">
        <v>0</v>
      </c>
      <c r="P102" s="130">
        <v>0</v>
      </c>
      <c r="Q102" s="130">
        <v>0</v>
      </c>
      <c r="R102" s="130">
        <v>0</v>
      </c>
      <c r="S102" s="130">
        <v>0</v>
      </c>
      <c r="T102" s="130">
        <v>0</v>
      </c>
      <c r="U102" s="130">
        <v>0</v>
      </c>
      <c r="V102" s="130">
        <v>0</v>
      </c>
    </row>
    <row r="103" spans="1:22" ht="69.75">
      <c r="A103" s="121"/>
      <c r="B103" s="202" t="s">
        <v>1144</v>
      </c>
      <c r="C103" s="203"/>
      <c r="D103" s="206" t="s">
        <v>418</v>
      </c>
      <c r="E103" s="126">
        <f t="shared" si="9"/>
        <v>545069452</v>
      </c>
      <c r="F103" s="130">
        <v>0</v>
      </c>
      <c r="G103" s="130">
        <v>0</v>
      </c>
      <c r="H103" s="130">
        <v>0</v>
      </c>
      <c r="I103" s="130">
        <v>0</v>
      </c>
      <c r="J103" s="130">
        <v>0</v>
      </c>
      <c r="K103" s="127">
        <v>545069452</v>
      </c>
      <c r="L103" s="127">
        <v>0</v>
      </c>
      <c r="M103" s="127">
        <v>0</v>
      </c>
      <c r="N103" s="126">
        <f t="shared" si="10"/>
        <v>590225587</v>
      </c>
      <c r="O103" s="130">
        <v>0</v>
      </c>
      <c r="P103" s="130">
        <v>0</v>
      </c>
      <c r="Q103" s="130">
        <v>115097482</v>
      </c>
      <c r="R103" s="130">
        <v>0</v>
      </c>
      <c r="S103" s="130">
        <v>4432429</v>
      </c>
      <c r="T103" s="127">
        <v>470695676</v>
      </c>
      <c r="U103" s="130">
        <v>0</v>
      </c>
      <c r="V103" s="130">
        <v>0</v>
      </c>
    </row>
    <row r="104" spans="1:22" ht="42.75" customHeight="1">
      <c r="A104" s="121"/>
      <c r="B104" s="337" t="s">
        <v>936</v>
      </c>
      <c r="C104" s="338"/>
      <c r="D104" s="339"/>
      <c r="E104" s="126">
        <f t="shared" si="9"/>
        <v>0</v>
      </c>
      <c r="F104" s="130">
        <v>0</v>
      </c>
      <c r="G104" s="130">
        <v>0</v>
      </c>
      <c r="H104" s="130">
        <v>0</v>
      </c>
      <c r="I104" s="130">
        <v>0</v>
      </c>
      <c r="J104" s="130">
        <v>0</v>
      </c>
      <c r="K104" s="127">
        <v>0</v>
      </c>
      <c r="L104" s="127">
        <v>0</v>
      </c>
      <c r="M104" s="127">
        <v>0</v>
      </c>
      <c r="N104" s="126">
        <f t="shared" si="10"/>
        <v>0</v>
      </c>
      <c r="O104" s="130">
        <v>0</v>
      </c>
      <c r="P104" s="130">
        <v>0</v>
      </c>
      <c r="Q104" s="130">
        <v>0</v>
      </c>
      <c r="R104" s="130">
        <v>0</v>
      </c>
      <c r="S104" s="130">
        <v>0</v>
      </c>
      <c r="T104" s="130">
        <v>0</v>
      </c>
      <c r="U104" s="130">
        <v>0</v>
      </c>
      <c r="V104" s="130">
        <v>0</v>
      </c>
    </row>
    <row r="105" spans="1:22" ht="46.5">
      <c r="A105" s="121"/>
      <c r="B105" s="200" t="s">
        <v>1145</v>
      </c>
      <c r="C105" s="205"/>
      <c r="D105" s="204" t="s">
        <v>837</v>
      </c>
      <c r="E105" s="126">
        <f aca="true" t="shared" si="11" ref="E105:E120">SUM(F105:M105)</f>
        <v>3270000</v>
      </c>
      <c r="F105" s="130">
        <v>0</v>
      </c>
      <c r="G105" s="130">
        <v>0</v>
      </c>
      <c r="H105" s="130">
        <v>0</v>
      </c>
      <c r="I105" s="130">
        <v>0</v>
      </c>
      <c r="J105" s="130">
        <v>0</v>
      </c>
      <c r="K105" s="127">
        <v>3270000</v>
      </c>
      <c r="L105" s="127">
        <v>0</v>
      </c>
      <c r="M105" s="127">
        <v>0</v>
      </c>
      <c r="N105" s="126">
        <f t="shared" si="10"/>
        <v>69329214</v>
      </c>
      <c r="O105" s="130">
        <v>0</v>
      </c>
      <c r="P105" s="130">
        <v>0</v>
      </c>
      <c r="Q105" s="130">
        <v>1811782</v>
      </c>
      <c r="R105" s="130">
        <v>0</v>
      </c>
      <c r="S105" s="130">
        <v>0</v>
      </c>
      <c r="T105" s="127">
        <v>67517432</v>
      </c>
      <c r="U105" s="130">
        <v>0</v>
      </c>
      <c r="V105" s="130">
        <v>0</v>
      </c>
    </row>
    <row r="106" spans="1:22" ht="69.75">
      <c r="A106" s="121"/>
      <c r="B106" s="200" t="s">
        <v>1146</v>
      </c>
      <c r="C106" s="205"/>
      <c r="D106" s="204" t="s">
        <v>838</v>
      </c>
      <c r="E106" s="126">
        <f t="shared" si="11"/>
        <v>18790061</v>
      </c>
      <c r="F106" s="130">
        <v>0</v>
      </c>
      <c r="G106" s="130">
        <v>0</v>
      </c>
      <c r="H106" s="130">
        <v>0</v>
      </c>
      <c r="I106" s="130">
        <v>0</v>
      </c>
      <c r="J106" s="130">
        <v>0</v>
      </c>
      <c r="K106" s="127">
        <v>18790061</v>
      </c>
      <c r="L106" s="127">
        <v>0</v>
      </c>
      <c r="M106" s="127">
        <v>0</v>
      </c>
      <c r="N106" s="126">
        <f t="shared" si="10"/>
        <v>349139225</v>
      </c>
      <c r="O106" s="130">
        <v>0</v>
      </c>
      <c r="P106" s="130">
        <v>0</v>
      </c>
      <c r="Q106" s="130">
        <v>8557891</v>
      </c>
      <c r="R106" s="130">
        <v>0</v>
      </c>
      <c r="S106" s="130">
        <v>0</v>
      </c>
      <c r="T106" s="127">
        <v>340581334</v>
      </c>
      <c r="U106" s="130">
        <v>0</v>
      </c>
      <c r="V106" s="130">
        <v>0</v>
      </c>
    </row>
    <row r="107" spans="1:22" ht="46.5">
      <c r="A107" s="121"/>
      <c r="B107" s="200" t="s">
        <v>1147</v>
      </c>
      <c r="C107" s="205"/>
      <c r="D107" s="204" t="s">
        <v>839</v>
      </c>
      <c r="E107" s="126">
        <f t="shared" si="11"/>
        <v>4488907</v>
      </c>
      <c r="F107" s="130">
        <v>0</v>
      </c>
      <c r="G107" s="130">
        <v>0</v>
      </c>
      <c r="H107" s="130">
        <v>0</v>
      </c>
      <c r="I107" s="130">
        <v>0</v>
      </c>
      <c r="J107" s="130">
        <v>0</v>
      </c>
      <c r="K107" s="127">
        <v>4488907</v>
      </c>
      <c r="L107" s="127">
        <v>0</v>
      </c>
      <c r="M107" s="127">
        <v>0</v>
      </c>
      <c r="N107" s="126">
        <f t="shared" si="10"/>
        <v>57505746</v>
      </c>
      <c r="O107" s="130">
        <v>0</v>
      </c>
      <c r="P107" s="130">
        <v>0</v>
      </c>
      <c r="Q107" s="130">
        <v>1593342</v>
      </c>
      <c r="R107" s="130">
        <v>0</v>
      </c>
      <c r="S107" s="130">
        <v>0</v>
      </c>
      <c r="T107" s="127">
        <v>55912404</v>
      </c>
      <c r="U107" s="130">
        <v>0</v>
      </c>
      <c r="V107" s="130">
        <v>0</v>
      </c>
    </row>
    <row r="108" spans="1:22" ht="46.5">
      <c r="A108" s="121"/>
      <c r="B108" s="200" t="s">
        <v>1148</v>
      </c>
      <c r="C108" s="205"/>
      <c r="D108" s="204" t="s">
        <v>840</v>
      </c>
      <c r="E108" s="126">
        <f t="shared" si="11"/>
        <v>8185487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127">
        <v>8185487</v>
      </c>
      <c r="L108" s="127">
        <v>0</v>
      </c>
      <c r="M108" s="127">
        <v>0</v>
      </c>
      <c r="N108" s="126">
        <f t="shared" si="10"/>
        <v>129218519</v>
      </c>
      <c r="O108" s="130">
        <v>0</v>
      </c>
      <c r="P108" s="130">
        <v>0</v>
      </c>
      <c r="Q108" s="130">
        <v>4790944</v>
      </c>
      <c r="R108" s="130">
        <v>0</v>
      </c>
      <c r="S108" s="130">
        <v>0</v>
      </c>
      <c r="T108" s="127">
        <v>124427575</v>
      </c>
      <c r="U108" s="130">
        <v>0</v>
      </c>
      <c r="V108" s="130">
        <v>0</v>
      </c>
    </row>
    <row r="109" spans="1:22" ht="46.5">
      <c r="A109" s="121"/>
      <c r="B109" s="200" t="s">
        <v>1149</v>
      </c>
      <c r="C109" s="205"/>
      <c r="D109" s="204" t="s">
        <v>841</v>
      </c>
      <c r="E109" s="126">
        <f t="shared" si="11"/>
        <v>5630585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27">
        <v>5630585</v>
      </c>
      <c r="L109" s="127">
        <v>0</v>
      </c>
      <c r="M109" s="127">
        <v>0</v>
      </c>
      <c r="N109" s="126">
        <f t="shared" si="10"/>
        <v>82915424</v>
      </c>
      <c r="O109" s="130">
        <v>0</v>
      </c>
      <c r="P109" s="130">
        <v>0</v>
      </c>
      <c r="Q109" s="130">
        <v>2278884</v>
      </c>
      <c r="R109" s="130">
        <v>0</v>
      </c>
      <c r="S109" s="130">
        <v>0</v>
      </c>
      <c r="T109" s="127">
        <v>80636540</v>
      </c>
      <c r="U109" s="130">
        <v>0</v>
      </c>
      <c r="V109" s="130">
        <v>0</v>
      </c>
    </row>
    <row r="110" spans="1:22" ht="42.75" customHeight="1">
      <c r="A110" s="121"/>
      <c r="B110" s="343" t="s">
        <v>937</v>
      </c>
      <c r="C110" s="344"/>
      <c r="D110" s="345"/>
      <c r="E110" s="126">
        <f t="shared" si="11"/>
        <v>0</v>
      </c>
      <c r="F110" s="130">
        <v>0</v>
      </c>
      <c r="G110" s="130">
        <v>0</v>
      </c>
      <c r="H110" s="130">
        <v>0</v>
      </c>
      <c r="I110" s="130">
        <v>0</v>
      </c>
      <c r="J110" s="130">
        <v>0</v>
      </c>
      <c r="K110" s="127">
        <v>0</v>
      </c>
      <c r="L110" s="127">
        <v>0</v>
      </c>
      <c r="M110" s="127">
        <v>0</v>
      </c>
      <c r="N110" s="126">
        <f t="shared" si="10"/>
        <v>0</v>
      </c>
      <c r="O110" s="130">
        <v>0</v>
      </c>
      <c r="P110" s="130">
        <v>0</v>
      </c>
      <c r="Q110" s="130">
        <v>0</v>
      </c>
      <c r="R110" s="130">
        <v>0</v>
      </c>
      <c r="S110" s="130">
        <v>0</v>
      </c>
      <c r="T110" s="130">
        <v>0</v>
      </c>
      <c r="U110" s="130">
        <v>0</v>
      </c>
      <c r="V110" s="130">
        <v>0</v>
      </c>
    </row>
    <row r="111" spans="1:22" ht="46.5">
      <c r="A111" s="121"/>
      <c r="B111" s="200" t="s">
        <v>1150</v>
      </c>
      <c r="C111" s="205"/>
      <c r="D111" s="204" t="s">
        <v>1199</v>
      </c>
      <c r="E111" s="126">
        <f t="shared" si="11"/>
        <v>10000000</v>
      </c>
      <c r="F111" s="130">
        <v>0</v>
      </c>
      <c r="G111" s="130">
        <v>0</v>
      </c>
      <c r="H111" s="130">
        <v>0</v>
      </c>
      <c r="I111" s="130">
        <v>0</v>
      </c>
      <c r="J111" s="130">
        <v>0</v>
      </c>
      <c r="K111" s="127">
        <v>10000000</v>
      </c>
      <c r="L111" s="127">
        <v>0</v>
      </c>
      <c r="M111" s="127">
        <v>0</v>
      </c>
      <c r="N111" s="126">
        <f t="shared" si="10"/>
        <v>600000000</v>
      </c>
      <c r="O111" s="130">
        <v>0</v>
      </c>
      <c r="P111" s="130">
        <v>0</v>
      </c>
      <c r="Q111" s="130">
        <v>10050780</v>
      </c>
      <c r="R111" s="130">
        <v>0</v>
      </c>
      <c r="S111" s="130">
        <v>0</v>
      </c>
      <c r="T111" s="127">
        <v>589949220</v>
      </c>
      <c r="U111" s="130">
        <v>0</v>
      </c>
      <c r="V111" s="130">
        <v>0</v>
      </c>
    </row>
    <row r="112" spans="1:22" ht="20.25">
      <c r="A112" s="121"/>
      <c r="B112" s="346" t="s">
        <v>419</v>
      </c>
      <c r="C112" s="347"/>
      <c r="D112" s="348"/>
      <c r="E112" s="126">
        <f t="shared" si="11"/>
        <v>0</v>
      </c>
      <c r="F112" s="130">
        <v>0</v>
      </c>
      <c r="G112" s="130">
        <v>0</v>
      </c>
      <c r="H112" s="130">
        <v>0</v>
      </c>
      <c r="I112" s="130">
        <v>0</v>
      </c>
      <c r="J112" s="130">
        <v>0</v>
      </c>
      <c r="K112" s="127">
        <v>0</v>
      </c>
      <c r="L112" s="127">
        <v>0</v>
      </c>
      <c r="M112" s="127">
        <v>0</v>
      </c>
      <c r="N112" s="126">
        <f t="shared" si="10"/>
        <v>0</v>
      </c>
      <c r="O112" s="130">
        <v>0</v>
      </c>
      <c r="P112" s="130">
        <v>0</v>
      </c>
      <c r="Q112" s="130">
        <v>0</v>
      </c>
      <c r="R112" s="130">
        <v>0</v>
      </c>
      <c r="S112" s="130">
        <v>0</v>
      </c>
      <c r="T112" s="130">
        <v>0</v>
      </c>
      <c r="U112" s="130">
        <v>0</v>
      </c>
      <c r="V112" s="130">
        <v>0</v>
      </c>
    </row>
    <row r="113" spans="1:22" ht="56.25" customHeight="1">
      <c r="A113" s="121"/>
      <c r="B113" s="200" t="s">
        <v>1151</v>
      </c>
      <c r="C113" s="205"/>
      <c r="D113" s="199" t="s">
        <v>420</v>
      </c>
      <c r="E113" s="126">
        <f t="shared" si="11"/>
        <v>1282260600</v>
      </c>
      <c r="F113" s="130">
        <v>0</v>
      </c>
      <c r="G113" s="130">
        <v>0</v>
      </c>
      <c r="H113" s="130">
        <v>0</v>
      </c>
      <c r="I113" s="130">
        <v>0</v>
      </c>
      <c r="J113" s="130">
        <v>0</v>
      </c>
      <c r="K113" s="127">
        <v>1282260600</v>
      </c>
      <c r="L113" s="127">
        <v>0</v>
      </c>
      <c r="M113" s="127">
        <v>0</v>
      </c>
      <c r="N113" s="126">
        <f t="shared" si="10"/>
        <v>1282260600</v>
      </c>
      <c r="O113" s="130">
        <v>0</v>
      </c>
      <c r="P113" s="130">
        <v>0</v>
      </c>
      <c r="Q113" s="130">
        <v>127000</v>
      </c>
      <c r="R113" s="130">
        <v>0</v>
      </c>
      <c r="S113" s="130">
        <v>0</v>
      </c>
      <c r="T113" s="127">
        <v>1282133600</v>
      </c>
      <c r="U113" s="130">
        <v>0</v>
      </c>
      <c r="V113" s="130">
        <v>0</v>
      </c>
    </row>
    <row r="114" spans="1:22" ht="56.25" customHeight="1">
      <c r="A114" s="121"/>
      <c r="B114" s="200" t="s">
        <v>1152</v>
      </c>
      <c r="C114" s="205"/>
      <c r="D114" s="199" t="s">
        <v>421</v>
      </c>
      <c r="E114" s="126">
        <f t="shared" si="11"/>
        <v>1930729174</v>
      </c>
      <c r="F114" s="130">
        <v>0</v>
      </c>
      <c r="G114" s="130">
        <v>0</v>
      </c>
      <c r="H114" s="130">
        <v>0</v>
      </c>
      <c r="I114" s="130">
        <v>0</v>
      </c>
      <c r="J114" s="130">
        <v>0</v>
      </c>
      <c r="K114" s="127">
        <v>1930729174</v>
      </c>
      <c r="L114" s="127">
        <v>0</v>
      </c>
      <c r="M114" s="127">
        <v>0</v>
      </c>
      <c r="N114" s="126">
        <f t="shared" si="10"/>
        <v>1971380899</v>
      </c>
      <c r="O114" s="130">
        <v>0</v>
      </c>
      <c r="P114" s="130">
        <v>0</v>
      </c>
      <c r="Q114" s="130">
        <v>356841257</v>
      </c>
      <c r="R114" s="130">
        <v>0</v>
      </c>
      <c r="S114" s="130">
        <v>0</v>
      </c>
      <c r="T114" s="127">
        <v>1614539642</v>
      </c>
      <c r="U114" s="130">
        <v>0</v>
      </c>
      <c r="V114" s="130">
        <v>0</v>
      </c>
    </row>
    <row r="115" spans="1:22" ht="46.5">
      <c r="A115" s="121"/>
      <c r="B115" s="200" t="s">
        <v>1153</v>
      </c>
      <c r="C115" s="205"/>
      <c r="D115" s="199" t="s">
        <v>422</v>
      </c>
      <c r="E115" s="126">
        <f t="shared" si="11"/>
        <v>3941574000</v>
      </c>
      <c r="F115" s="130">
        <v>0</v>
      </c>
      <c r="G115" s="130">
        <v>0</v>
      </c>
      <c r="H115" s="130">
        <v>0</v>
      </c>
      <c r="I115" s="130">
        <v>0</v>
      </c>
      <c r="J115" s="130">
        <v>0</v>
      </c>
      <c r="K115" s="127">
        <v>3941574000</v>
      </c>
      <c r="L115" s="127">
        <v>0</v>
      </c>
      <c r="M115" s="127">
        <v>0</v>
      </c>
      <c r="N115" s="126">
        <f t="shared" si="10"/>
        <v>4876899470</v>
      </c>
      <c r="O115" s="130">
        <v>0</v>
      </c>
      <c r="P115" s="130">
        <v>0</v>
      </c>
      <c r="Q115" s="130">
        <v>152358110</v>
      </c>
      <c r="R115" s="130">
        <v>0</v>
      </c>
      <c r="S115" s="130">
        <v>0</v>
      </c>
      <c r="T115" s="127">
        <v>4724541360</v>
      </c>
      <c r="U115" s="130">
        <v>0</v>
      </c>
      <c r="V115" s="130">
        <v>0</v>
      </c>
    </row>
    <row r="116" spans="1:22" ht="55.5" customHeight="1">
      <c r="A116" s="121"/>
      <c r="B116" s="200" t="s">
        <v>1154</v>
      </c>
      <c r="C116" s="205"/>
      <c r="D116" s="204" t="s">
        <v>842</v>
      </c>
      <c r="E116" s="126">
        <f t="shared" si="11"/>
        <v>5740100000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  <c r="K116" s="127">
        <v>5740100000</v>
      </c>
      <c r="L116" s="127">
        <v>0</v>
      </c>
      <c r="M116" s="127">
        <v>0</v>
      </c>
      <c r="N116" s="126">
        <f t="shared" si="10"/>
        <v>5740100000</v>
      </c>
      <c r="O116" s="130">
        <v>0</v>
      </c>
      <c r="P116" s="130">
        <v>0</v>
      </c>
      <c r="Q116" s="130">
        <v>0</v>
      </c>
      <c r="R116" s="130">
        <v>0</v>
      </c>
      <c r="S116" s="130">
        <v>0</v>
      </c>
      <c r="T116" s="127">
        <v>5740100000</v>
      </c>
      <c r="U116" s="130">
        <v>0</v>
      </c>
      <c r="V116" s="130">
        <v>0</v>
      </c>
    </row>
    <row r="117" spans="1:22" ht="20.25">
      <c r="A117" s="121"/>
      <c r="B117" s="337" t="s">
        <v>938</v>
      </c>
      <c r="C117" s="338"/>
      <c r="D117" s="339"/>
      <c r="E117" s="126">
        <f t="shared" si="11"/>
        <v>0</v>
      </c>
      <c r="F117" s="130">
        <v>0</v>
      </c>
      <c r="G117" s="130">
        <v>0</v>
      </c>
      <c r="H117" s="130">
        <v>0</v>
      </c>
      <c r="I117" s="130">
        <v>0</v>
      </c>
      <c r="J117" s="130">
        <v>0</v>
      </c>
      <c r="K117" s="127">
        <v>0</v>
      </c>
      <c r="L117" s="127">
        <v>0</v>
      </c>
      <c r="M117" s="127">
        <v>0</v>
      </c>
      <c r="N117" s="126">
        <f t="shared" si="10"/>
        <v>0</v>
      </c>
      <c r="O117" s="130">
        <v>0</v>
      </c>
      <c r="P117" s="130">
        <v>0</v>
      </c>
      <c r="Q117" s="130">
        <v>0</v>
      </c>
      <c r="R117" s="130">
        <v>0</v>
      </c>
      <c r="S117" s="130">
        <v>0</v>
      </c>
      <c r="T117" s="130">
        <v>0</v>
      </c>
      <c r="U117" s="130">
        <v>0</v>
      </c>
      <c r="V117" s="130">
        <v>0</v>
      </c>
    </row>
    <row r="118" spans="1:22" ht="23.25">
      <c r="A118" s="121"/>
      <c r="B118" s="200" t="s">
        <v>1155</v>
      </c>
      <c r="C118" s="205"/>
      <c r="D118" s="204" t="s">
        <v>844</v>
      </c>
      <c r="E118" s="126">
        <f t="shared" si="11"/>
        <v>12960000</v>
      </c>
      <c r="F118" s="130">
        <v>0</v>
      </c>
      <c r="G118" s="130">
        <v>0</v>
      </c>
      <c r="H118" s="130">
        <v>0</v>
      </c>
      <c r="I118" s="130">
        <v>0</v>
      </c>
      <c r="J118" s="130">
        <v>0</v>
      </c>
      <c r="K118" s="127">
        <v>12960000</v>
      </c>
      <c r="L118" s="127">
        <v>0</v>
      </c>
      <c r="M118" s="127">
        <v>0</v>
      </c>
      <c r="N118" s="126">
        <f t="shared" si="10"/>
        <v>8546626</v>
      </c>
      <c r="O118" s="130">
        <v>0</v>
      </c>
      <c r="P118" s="130">
        <v>0</v>
      </c>
      <c r="Q118" s="130">
        <v>0</v>
      </c>
      <c r="R118" s="130">
        <v>0</v>
      </c>
      <c r="S118" s="130">
        <v>0</v>
      </c>
      <c r="T118" s="127">
        <v>8546626</v>
      </c>
      <c r="U118" s="130">
        <v>0</v>
      </c>
      <c r="V118" s="130">
        <v>0</v>
      </c>
    </row>
    <row r="119" spans="1:22" ht="46.5">
      <c r="A119" s="121"/>
      <c r="B119" s="200" t="s">
        <v>1156</v>
      </c>
      <c r="C119" s="205"/>
      <c r="D119" s="208" t="s">
        <v>939</v>
      </c>
      <c r="E119" s="126">
        <f t="shared" si="11"/>
        <v>30000000</v>
      </c>
      <c r="F119" s="130">
        <v>0</v>
      </c>
      <c r="G119" s="130">
        <v>0</v>
      </c>
      <c r="H119" s="130">
        <v>0</v>
      </c>
      <c r="I119" s="130">
        <v>0</v>
      </c>
      <c r="J119" s="130">
        <v>0</v>
      </c>
      <c r="K119" s="127">
        <v>30000000</v>
      </c>
      <c r="L119" s="127">
        <v>0</v>
      </c>
      <c r="M119" s="127">
        <v>0</v>
      </c>
      <c r="N119" s="126">
        <f t="shared" si="10"/>
        <v>0</v>
      </c>
      <c r="O119" s="130">
        <v>0</v>
      </c>
      <c r="P119" s="130">
        <v>0</v>
      </c>
      <c r="Q119" s="130">
        <v>0</v>
      </c>
      <c r="R119" s="130">
        <v>0</v>
      </c>
      <c r="S119" s="130">
        <v>0</v>
      </c>
      <c r="T119" s="127">
        <v>0</v>
      </c>
      <c r="U119" s="130">
        <v>0</v>
      </c>
      <c r="V119" s="130">
        <v>0</v>
      </c>
    </row>
    <row r="120" spans="1:22" ht="39.75" customHeight="1">
      <c r="A120" s="121"/>
      <c r="B120" s="337" t="s">
        <v>940</v>
      </c>
      <c r="C120" s="338"/>
      <c r="D120" s="339"/>
      <c r="E120" s="126">
        <f t="shared" si="11"/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27">
        <v>0</v>
      </c>
      <c r="L120" s="127">
        <v>0</v>
      </c>
      <c r="M120" s="127">
        <v>0</v>
      </c>
      <c r="N120" s="126">
        <f t="shared" si="10"/>
        <v>0</v>
      </c>
      <c r="O120" s="130">
        <v>0</v>
      </c>
      <c r="P120" s="130">
        <v>0</v>
      </c>
      <c r="Q120" s="130">
        <v>0</v>
      </c>
      <c r="R120" s="130">
        <v>0</v>
      </c>
      <c r="S120" s="130">
        <v>0</v>
      </c>
      <c r="T120" s="130">
        <v>0</v>
      </c>
      <c r="U120" s="130">
        <v>0</v>
      </c>
      <c r="V120" s="130">
        <v>0</v>
      </c>
    </row>
    <row r="121" spans="1:22" ht="23.25">
      <c r="A121" s="121"/>
      <c r="B121" s="200" t="s">
        <v>1157</v>
      </c>
      <c r="C121" s="205"/>
      <c r="D121" s="204" t="s">
        <v>963</v>
      </c>
      <c r="E121" s="126">
        <f aca="true" t="shared" si="12" ref="E121:E131">SUM(F121:M121)</f>
        <v>58200925</v>
      </c>
      <c r="F121" s="130">
        <v>0</v>
      </c>
      <c r="G121" s="130">
        <v>0</v>
      </c>
      <c r="H121" s="130">
        <v>0</v>
      </c>
      <c r="I121" s="130">
        <v>0</v>
      </c>
      <c r="J121" s="130">
        <v>0</v>
      </c>
      <c r="K121" s="127">
        <v>58200925</v>
      </c>
      <c r="L121" s="127">
        <v>0</v>
      </c>
      <c r="M121" s="127">
        <v>0</v>
      </c>
      <c r="N121" s="126">
        <f t="shared" si="10"/>
        <v>58200925</v>
      </c>
      <c r="O121" s="130">
        <v>0</v>
      </c>
      <c r="P121" s="130">
        <v>0</v>
      </c>
      <c r="Q121" s="130">
        <v>0</v>
      </c>
      <c r="R121" s="130">
        <v>0</v>
      </c>
      <c r="S121" s="130">
        <v>0</v>
      </c>
      <c r="T121" s="127">
        <v>58200925</v>
      </c>
      <c r="U121" s="130">
        <v>0</v>
      </c>
      <c r="V121" s="130">
        <v>0</v>
      </c>
    </row>
    <row r="122" spans="1:22" ht="23.25">
      <c r="A122" s="121"/>
      <c r="B122" s="200" t="s">
        <v>1158</v>
      </c>
      <c r="C122" s="205"/>
      <c r="D122" s="204" t="s">
        <v>435</v>
      </c>
      <c r="E122" s="126">
        <f t="shared" si="12"/>
        <v>308358600</v>
      </c>
      <c r="F122" s="130">
        <v>0</v>
      </c>
      <c r="G122" s="130">
        <v>0</v>
      </c>
      <c r="H122" s="130">
        <v>0</v>
      </c>
      <c r="I122" s="130">
        <v>0</v>
      </c>
      <c r="J122" s="130">
        <v>0</v>
      </c>
      <c r="K122" s="127">
        <v>0</v>
      </c>
      <c r="L122" s="127">
        <v>308358600</v>
      </c>
      <c r="M122" s="127">
        <v>0</v>
      </c>
      <c r="N122" s="126">
        <f t="shared" si="10"/>
        <v>308358600</v>
      </c>
      <c r="O122" s="130">
        <v>0</v>
      </c>
      <c r="P122" s="130">
        <v>0</v>
      </c>
      <c r="Q122" s="130">
        <v>527050</v>
      </c>
      <c r="R122" s="130">
        <v>0</v>
      </c>
      <c r="S122" s="130">
        <v>0</v>
      </c>
      <c r="T122" s="127">
        <v>290866414</v>
      </c>
      <c r="U122" s="127">
        <v>16965136</v>
      </c>
      <c r="V122" s="130"/>
    </row>
    <row r="123" spans="1:22" ht="23.25">
      <c r="A123" s="121"/>
      <c r="B123" s="200" t="s">
        <v>1159</v>
      </c>
      <c r="C123" s="205"/>
      <c r="D123" s="204" t="s">
        <v>941</v>
      </c>
      <c r="E123" s="126">
        <f t="shared" si="12"/>
        <v>42087800</v>
      </c>
      <c r="F123" s="130">
        <v>0</v>
      </c>
      <c r="G123" s="130">
        <v>0</v>
      </c>
      <c r="H123" s="130">
        <v>0</v>
      </c>
      <c r="I123" s="130">
        <v>0</v>
      </c>
      <c r="J123" s="130">
        <v>0</v>
      </c>
      <c r="K123" s="127">
        <v>42087800</v>
      </c>
      <c r="L123" s="127">
        <v>0</v>
      </c>
      <c r="M123" s="127">
        <v>0</v>
      </c>
      <c r="N123" s="126">
        <f t="shared" si="10"/>
        <v>49385343</v>
      </c>
      <c r="O123" s="130">
        <v>0</v>
      </c>
      <c r="P123" s="130">
        <v>0</v>
      </c>
      <c r="Q123" s="130">
        <v>10269746</v>
      </c>
      <c r="R123" s="130">
        <v>0</v>
      </c>
      <c r="S123" s="130">
        <v>0</v>
      </c>
      <c r="T123" s="127">
        <v>0</v>
      </c>
      <c r="U123" s="130">
        <v>39115597</v>
      </c>
      <c r="V123" s="130">
        <v>0</v>
      </c>
    </row>
    <row r="124" spans="1:22" ht="46.5">
      <c r="A124" s="121"/>
      <c r="B124" s="200" t="s">
        <v>1160</v>
      </c>
      <c r="C124" s="205"/>
      <c r="D124" s="204" t="s">
        <v>843</v>
      </c>
      <c r="E124" s="126">
        <f t="shared" si="12"/>
        <v>43484000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27">
        <v>43484000</v>
      </c>
      <c r="L124" s="127">
        <v>0</v>
      </c>
      <c r="M124" s="127">
        <v>0</v>
      </c>
      <c r="N124" s="126">
        <f t="shared" si="10"/>
        <v>43484000</v>
      </c>
      <c r="O124" s="130">
        <v>0</v>
      </c>
      <c r="P124" s="130">
        <v>0</v>
      </c>
      <c r="Q124" s="130">
        <v>160020</v>
      </c>
      <c r="R124" s="130">
        <v>0</v>
      </c>
      <c r="S124" s="130">
        <v>0</v>
      </c>
      <c r="T124" s="127">
        <v>43323980</v>
      </c>
      <c r="U124" s="130">
        <v>0</v>
      </c>
      <c r="V124" s="130">
        <v>0</v>
      </c>
    </row>
    <row r="125" spans="1:22" ht="46.5">
      <c r="A125" s="121"/>
      <c r="B125" s="200" t="s">
        <v>1161</v>
      </c>
      <c r="C125" s="205"/>
      <c r="D125" s="204" t="s">
        <v>846</v>
      </c>
      <c r="E125" s="126">
        <f t="shared" si="12"/>
        <v>54650000</v>
      </c>
      <c r="F125" s="130">
        <v>0</v>
      </c>
      <c r="G125" s="130">
        <v>0</v>
      </c>
      <c r="H125" s="130">
        <v>0</v>
      </c>
      <c r="I125" s="130">
        <v>0</v>
      </c>
      <c r="J125" s="130">
        <v>0</v>
      </c>
      <c r="K125" s="127">
        <v>54650000</v>
      </c>
      <c r="L125" s="127">
        <v>0</v>
      </c>
      <c r="M125" s="127">
        <v>0</v>
      </c>
      <c r="N125" s="126">
        <f t="shared" si="10"/>
        <v>243123097</v>
      </c>
      <c r="O125" s="130">
        <v>0</v>
      </c>
      <c r="P125" s="130">
        <v>0</v>
      </c>
      <c r="Q125" s="130">
        <v>1500000</v>
      </c>
      <c r="R125" s="130">
        <v>0</v>
      </c>
      <c r="S125" s="130">
        <v>0</v>
      </c>
      <c r="T125" s="127">
        <v>241623097</v>
      </c>
      <c r="U125" s="130">
        <v>0</v>
      </c>
      <c r="V125" s="130">
        <v>0</v>
      </c>
    </row>
    <row r="126" spans="1:22" ht="23.25">
      <c r="A126" s="121"/>
      <c r="B126" s="200" t="s">
        <v>1162</v>
      </c>
      <c r="C126" s="205"/>
      <c r="D126" s="204" t="s">
        <v>1204</v>
      </c>
      <c r="E126" s="126">
        <f t="shared" si="12"/>
        <v>6024000</v>
      </c>
      <c r="F126" s="130">
        <v>0</v>
      </c>
      <c r="G126" s="130">
        <v>0</v>
      </c>
      <c r="H126" s="130">
        <v>0</v>
      </c>
      <c r="I126" s="130">
        <v>0</v>
      </c>
      <c r="J126" s="130">
        <v>0</v>
      </c>
      <c r="K126" s="127">
        <v>6024000</v>
      </c>
      <c r="L126" s="127">
        <v>0</v>
      </c>
      <c r="M126" s="127">
        <v>0</v>
      </c>
      <c r="N126" s="126">
        <f t="shared" si="10"/>
        <v>1524000</v>
      </c>
      <c r="O126" s="130">
        <v>0</v>
      </c>
      <c r="P126" s="130">
        <v>0</v>
      </c>
      <c r="Q126" s="130">
        <v>0</v>
      </c>
      <c r="R126" s="130">
        <v>0</v>
      </c>
      <c r="S126" s="130">
        <v>0</v>
      </c>
      <c r="T126" s="127">
        <v>1524000</v>
      </c>
      <c r="U126" s="130">
        <v>0</v>
      </c>
      <c r="V126" s="130">
        <v>0</v>
      </c>
    </row>
    <row r="127" spans="1:22" ht="39.75" customHeight="1">
      <c r="A127" s="121"/>
      <c r="B127" s="337" t="s">
        <v>423</v>
      </c>
      <c r="C127" s="338"/>
      <c r="D127" s="339"/>
      <c r="E127" s="126">
        <f t="shared" si="12"/>
        <v>0</v>
      </c>
      <c r="F127" s="130">
        <v>0</v>
      </c>
      <c r="G127" s="130">
        <v>0</v>
      </c>
      <c r="H127" s="130">
        <v>0</v>
      </c>
      <c r="I127" s="130">
        <v>0</v>
      </c>
      <c r="J127" s="130">
        <v>0</v>
      </c>
      <c r="K127" s="127">
        <v>0</v>
      </c>
      <c r="L127" s="127">
        <v>0</v>
      </c>
      <c r="M127" s="127">
        <v>0</v>
      </c>
      <c r="N127" s="126">
        <f t="shared" si="10"/>
        <v>0</v>
      </c>
      <c r="O127" s="130">
        <v>0</v>
      </c>
      <c r="P127" s="130">
        <v>0</v>
      </c>
      <c r="Q127" s="130">
        <v>0</v>
      </c>
      <c r="R127" s="130">
        <v>0</v>
      </c>
      <c r="S127" s="130">
        <v>0</v>
      </c>
      <c r="T127" s="130">
        <v>0</v>
      </c>
      <c r="U127" s="130">
        <v>0</v>
      </c>
      <c r="V127" s="130">
        <v>0</v>
      </c>
    </row>
    <row r="128" spans="1:22" ht="23.25">
      <c r="A128" s="121"/>
      <c r="B128" s="200" t="s">
        <v>1163</v>
      </c>
      <c r="C128" s="205"/>
      <c r="D128" s="204" t="s">
        <v>424</v>
      </c>
      <c r="E128" s="126">
        <f t="shared" si="12"/>
        <v>15000000</v>
      </c>
      <c r="F128" s="130">
        <v>0</v>
      </c>
      <c r="G128" s="130">
        <v>0</v>
      </c>
      <c r="H128" s="130">
        <v>0</v>
      </c>
      <c r="I128" s="130">
        <v>0</v>
      </c>
      <c r="J128" s="130">
        <v>0</v>
      </c>
      <c r="K128" s="127">
        <v>15000000</v>
      </c>
      <c r="L128" s="127">
        <v>0</v>
      </c>
      <c r="M128" s="127">
        <v>0</v>
      </c>
      <c r="N128" s="126">
        <f t="shared" si="10"/>
        <v>15000000</v>
      </c>
      <c r="O128" s="130">
        <v>0</v>
      </c>
      <c r="P128" s="130">
        <v>0</v>
      </c>
      <c r="Q128" s="130">
        <v>0</v>
      </c>
      <c r="R128" s="130">
        <v>0</v>
      </c>
      <c r="S128" s="130">
        <v>0</v>
      </c>
      <c r="T128" s="127">
        <v>15000000</v>
      </c>
      <c r="U128" s="130">
        <v>0</v>
      </c>
      <c r="V128" s="130">
        <v>0</v>
      </c>
    </row>
    <row r="129" spans="1:22" ht="46.5">
      <c r="A129" s="121"/>
      <c r="B129" s="200" t="s">
        <v>1164</v>
      </c>
      <c r="C129" s="205"/>
      <c r="D129" s="204" t="s">
        <v>425</v>
      </c>
      <c r="E129" s="126">
        <f t="shared" si="12"/>
        <v>574948968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27">
        <v>574948968</v>
      </c>
      <c r="L129" s="127">
        <v>0</v>
      </c>
      <c r="M129" s="127">
        <v>0</v>
      </c>
      <c r="N129" s="126">
        <f t="shared" si="10"/>
        <v>8449612</v>
      </c>
      <c r="O129" s="130">
        <v>0</v>
      </c>
      <c r="P129" s="130">
        <v>0</v>
      </c>
      <c r="Q129" s="130">
        <v>6995859</v>
      </c>
      <c r="R129" s="130">
        <v>0</v>
      </c>
      <c r="S129" s="130">
        <v>0</v>
      </c>
      <c r="T129" s="127">
        <v>1453753</v>
      </c>
      <c r="U129" s="130">
        <v>0</v>
      </c>
      <c r="V129" s="130">
        <v>0</v>
      </c>
    </row>
    <row r="130" spans="1:22" ht="46.5">
      <c r="A130" s="121"/>
      <c r="B130" s="200" t="s">
        <v>1165</v>
      </c>
      <c r="C130" s="205"/>
      <c r="D130" s="204" t="s">
        <v>426</v>
      </c>
      <c r="E130" s="126">
        <f t="shared" si="12"/>
        <v>30053032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27">
        <v>30053032</v>
      </c>
      <c r="L130" s="127">
        <v>0</v>
      </c>
      <c r="M130" s="127">
        <v>0</v>
      </c>
      <c r="N130" s="126">
        <f t="shared" si="10"/>
        <v>21691518</v>
      </c>
      <c r="O130" s="130">
        <v>0</v>
      </c>
      <c r="P130" s="130">
        <v>0</v>
      </c>
      <c r="Q130" s="130">
        <v>15631042</v>
      </c>
      <c r="R130" s="130">
        <v>0</v>
      </c>
      <c r="S130" s="130">
        <v>0</v>
      </c>
      <c r="T130" s="127">
        <v>6060476</v>
      </c>
      <c r="U130" s="130">
        <v>0</v>
      </c>
      <c r="V130" s="130">
        <v>0</v>
      </c>
    </row>
    <row r="131" spans="1:22" ht="46.5">
      <c r="A131" s="121"/>
      <c r="B131" s="200" t="s">
        <v>1166</v>
      </c>
      <c r="C131" s="205"/>
      <c r="D131" s="204" t="s">
        <v>427</v>
      </c>
      <c r="E131" s="126">
        <f t="shared" si="12"/>
        <v>168734725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27">
        <v>164496325</v>
      </c>
      <c r="L131" s="127">
        <v>4238400</v>
      </c>
      <c r="M131" s="127">
        <v>0</v>
      </c>
      <c r="N131" s="126">
        <f t="shared" si="10"/>
        <v>138004070</v>
      </c>
      <c r="O131" s="130">
        <v>0</v>
      </c>
      <c r="P131" s="130">
        <v>0</v>
      </c>
      <c r="Q131" s="130">
        <v>23165624</v>
      </c>
      <c r="R131" s="130">
        <v>0</v>
      </c>
      <c r="S131" s="130">
        <v>0</v>
      </c>
      <c r="T131" s="127">
        <v>107526646</v>
      </c>
      <c r="U131" s="127">
        <v>7311800</v>
      </c>
      <c r="V131" s="130">
        <v>0</v>
      </c>
    </row>
    <row r="132" spans="1:22" ht="23.25">
      <c r="A132" s="121"/>
      <c r="B132" s="200" t="s">
        <v>1167</v>
      </c>
      <c r="C132" s="205"/>
      <c r="D132" s="204" t="s">
        <v>428</v>
      </c>
      <c r="E132" s="126">
        <f aca="true" t="shared" si="13" ref="E132:E160">SUM(F132:M132)</f>
        <v>53291049</v>
      </c>
      <c r="F132" s="130">
        <v>0</v>
      </c>
      <c r="G132" s="130">
        <v>0</v>
      </c>
      <c r="H132" s="130">
        <v>0</v>
      </c>
      <c r="I132" s="130">
        <v>0</v>
      </c>
      <c r="J132" s="130">
        <v>0</v>
      </c>
      <c r="K132" s="127">
        <v>53291049</v>
      </c>
      <c r="L132" s="127">
        <v>0</v>
      </c>
      <c r="M132" s="127">
        <v>0</v>
      </c>
      <c r="N132" s="126">
        <f t="shared" si="10"/>
        <v>68294090</v>
      </c>
      <c r="O132" s="130">
        <v>0</v>
      </c>
      <c r="P132" s="130">
        <v>0</v>
      </c>
      <c r="Q132" s="130">
        <v>4000000</v>
      </c>
      <c r="R132" s="130">
        <v>0</v>
      </c>
      <c r="S132" s="130">
        <v>0</v>
      </c>
      <c r="T132" s="127">
        <v>21778056</v>
      </c>
      <c r="U132" s="130">
        <v>42516034</v>
      </c>
      <c r="V132" s="130">
        <v>0</v>
      </c>
    </row>
    <row r="133" spans="1:22" ht="46.5">
      <c r="A133" s="121"/>
      <c r="B133" s="200" t="s">
        <v>1168</v>
      </c>
      <c r="C133" s="205"/>
      <c r="D133" s="204" t="s">
        <v>429</v>
      </c>
      <c r="E133" s="126">
        <f t="shared" si="13"/>
        <v>2000000</v>
      </c>
      <c r="F133" s="130">
        <v>0</v>
      </c>
      <c r="G133" s="130">
        <v>0</v>
      </c>
      <c r="H133" s="130">
        <v>0</v>
      </c>
      <c r="I133" s="130">
        <v>0</v>
      </c>
      <c r="J133" s="130">
        <v>0</v>
      </c>
      <c r="K133" s="127">
        <v>2000000</v>
      </c>
      <c r="L133" s="127">
        <v>0</v>
      </c>
      <c r="M133" s="127">
        <v>0</v>
      </c>
      <c r="N133" s="126">
        <f t="shared" si="10"/>
        <v>2000000</v>
      </c>
      <c r="O133" s="130">
        <v>0</v>
      </c>
      <c r="P133" s="130">
        <v>0</v>
      </c>
      <c r="Q133" s="130">
        <v>0</v>
      </c>
      <c r="R133" s="130">
        <v>0</v>
      </c>
      <c r="S133" s="130">
        <v>0</v>
      </c>
      <c r="T133" s="127">
        <v>2000000</v>
      </c>
      <c r="U133" s="130">
        <v>0</v>
      </c>
      <c r="V133" s="130">
        <v>0</v>
      </c>
    </row>
    <row r="134" spans="1:22" ht="23.25">
      <c r="A134" s="121"/>
      <c r="B134" s="200" t="s">
        <v>1169</v>
      </c>
      <c r="C134" s="205"/>
      <c r="D134" s="204" t="s">
        <v>978</v>
      </c>
      <c r="E134" s="126">
        <f t="shared" si="13"/>
        <v>78427414</v>
      </c>
      <c r="F134" s="130">
        <v>0</v>
      </c>
      <c r="G134" s="130">
        <v>0</v>
      </c>
      <c r="H134" s="130">
        <v>0</v>
      </c>
      <c r="I134" s="130">
        <v>0</v>
      </c>
      <c r="J134" s="130">
        <v>0</v>
      </c>
      <c r="K134" s="127">
        <v>78427414</v>
      </c>
      <c r="L134" s="127">
        <v>0</v>
      </c>
      <c r="M134" s="127">
        <v>0</v>
      </c>
      <c r="N134" s="126">
        <f t="shared" si="10"/>
        <v>46430789</v>
      </c>
      <c r="O134" s="130">
        <v>0</v>
      </c>
      <c r="P134" s="130">
        <v>0</v>
      </c>
      <c r="Q134" s="130">
        <v>45112619</v>
      </c>
      <c r="R134" s="130">
        <v>0</v>
      </c>
      <c r="S134" s="130">
        <v>0</v>
      </c>
      <c r="T134" s="127">
        <v>1318170</v>
      </c>
      <c r="U134" s="130">
        <v>0</v>
      </c>
      <c r="V134" s="130">
        <v>0</v>
      </c>
    </row>
    <row r="135" spans="1:22" ht="46.5">
      <c r="A135" s="121"/>
      <c r="B135" s="200" t="s">
        <v>1170</v>
      </c>
      <c r="C135" s="205"/>
      <c r="D135" s="204" t="s">
        <v>430</v>
      </c>
      <c r="E135" s="126">
        <f t="shared" si="13"/>
        <v>125000000</v>
      </c>
      <c r="F135" s="130">
        <v>0</v>
      </c>
      <c r="G135" s="130">
        <v>0</v>
      </c>
      <c r="H135" s="130">
        <v>0</v>
      </c>
      <c r="I135" s="130">
        <v>0</v>
      </c>
      <c r="J135" s="130">
        <v>0</v>
      </c>
      <c r="K135" s="127">
        <v>125000000</v>
      </c>
      <c r="L135" s="127">
        <v>0</v>
      </c>
      <c r="M135" s="127">
        <v>0</v>
      </c>
      <c r="N135" s="126">
        <f t="shared" si="10"/>
        <v>30610450</v>
      </c>
      <c r="O135" s="130">
        <v>0</v>
      </c>
      <c r="P135" s="130">
        <v>0</v>
      </c>
      <c r="Q135" s="130">
        <v>1125779</v>
      </c>
      <c r="R135" s="130">
        <v>0</v>
      </c>
      <c r="S135" s="130">
        <v>0</v>
      </c>
      <c r="T135" s="127">
        <v>4807353</v>
      </c>
      <c r="U135" s="127">
        <v>21885971</v>
      </c>
      <c r="V135" s="130">
        <v>2791347</v>
      </c>
    </row>
    <row r="136" spans="1:22" ht="23.25">
      <c r="A136" s="121"/>
      <c r="B136" s="200" t="s">
        <v>1171</v>
      </c>
      <c r="C136" s="205"/>
      <c r="D136" s="204" t="s">
        <v>431</v>
      </c>
      <c r="E136" s="126">
        <f t="shared" si="13"/>
        <v>16789133</v>
      </c>
      <c r="F136" s="130">
        <v>0</v>
      </c>
      <c r="G136" s="130">
        <v>0</v>
      </c>
      <c r="H136" s="130">
        <v>0</v>
      </c>
      <c r="I136" s="130">
        <v>0</v>
      </c>
      <c r="J136" s="130">
        <v>0</v>
      </c>
      <c r="K136" s="127">
        <v>16789133</v>
      </c>
      <c r="L136" s="127">
        <v>0</v>
      </c>
      <c r="M136" s="127">
        <v>0</v>
      </c>
      <c r="N136" s="126">
        <f t="shared" si="10"/>
        <v>13046590</v>
      </c>
      <c r="O136" s="130">
        <v>0</v>
      </c>
      <c r="P136" s="130">
        <v>0</v>
      </c>
      <c r="Q136" s="130">
        <v>12800033</v>
      </c>
      <c r="R136" s="130">
        <v>0</v>
      </c>
      <c r="S136" s="130">
        <v>0</v>
      </c>
      <c r="T136" s="127">
        <v>246557</v>
      </c>
      <c r="U136" s="130">
        <v>0</v>
      </c>
      <c r="V136" s="130">
        <v>0</v>
      </c>
    </row>
    <row r="137" spans="1:22" ht="23.25">
      <c r="A137" s="121"/>
      <c r="B137" s="200" t="s">
        <v>1172</v>
      </c>
      <c r="C137" s="205"/>
      <c r="D137" s="204" t="s">
        <v>432</v>
      </c>
      <c r="E137" s="126">
        <f t="shared" si="13"/>
        <v>60000000</v>
      </c>
      <c r="F137" s="130">
        <v>0</v>
      </c>
      <c r="G137" s="130">
        <v>0</v>
      </c>
      <c r="H137" s="130">
        <v>0</v>
      </c>
      <c r="I137" s="130">
        <v>0</v>
      </c>
      <c r="J137" s="130">
        <v>0</v>
      </c>
      <c r="K137" s="127">
        <v>60000000</v>
      </c>
      <c r="L137" s="127">
        <v>0</v>
      </c>
      <c r="M137" s="127">
        <v>0</v>
      </c>
      <c r="N137" s="126">
        <f t="shared" si="10"/>
        <v>0</v>
      </c>
      <c r="O137" s="130">
        <v>0</v>
      </c>
      <c r="P137" s="130">
        <v>0</v>
      </c>
      <c r="Q137" s="130">
        <v>0</v>
      </c>
      <c r="R137" s="130">
        <v>0</v>
      </c>
      <c r="S137" s="130">
        <v>0</v>
      </c>
      <c r="T137" s="127">
        <v>0</v>
      </c>
      <c r="U137" s="130">
        <v>0</v>
      </c>
      <c r="V137" s="130">
        <v>0</v>
      </c>
    </row>
    <row r="138" spans="1:22" ht="23.25">
      <c r="A138" s="121"/>
      <c r="B138" s="200" t="s">
        <v>1173</v>
      </c>
      <c r="C138" s="205"/>
      <c r="D138" s="204" t="s">
        <v>433</v>
      </c>
      <c r="E138" s="126">
        <f t="shared" si="13"/>
        <v>15061830</v>
      </c>
      <c r="F138" s="130">
        <v>0</v>
      </c>
      <c r="G138" s="130">
        <v>0</v>
      </c>
      <c r="H138" s="130">
        <v>0</v>
      </c>
      <c r="I138" s="130">
        <v>0</v>
      </c>
      <c r="J138" s="130">
        <v>0</v>
      </c>
      <c r="K138" s="127">
        <v>15061830</v>
      </c>
      <c r="L138" s="127">
        <v>0</v>
      </c>
      <c r="M138" s="127">
        <v>0</v>
      </c>
      <c r="N138" s="126">
        <f t="shared" si="10"/>
        <v>61830</v>
      </c>
      <c r="O138" s="130">
        <v>0</v>
      </c>
      <c r="P138" s="130">
        <v>0</v>
      </c>
      <c r="Q138" s="130">
        <v>61830</v>
      </c>
      <c r="R138" s="130">
        <v>0</v>
      </c>
      <c r="S138" s="130">
        <v>0</v>
      </c>
      <c r="T138" s="127">
        <v>0</v>
      </c>
      <c r="U138" s="130">
        <v>0</v>
      </c>
      <c r="V138" s="130">
        <v>0</v>
      </c>
    </row>
    <row r="139" spans="1:22" ht="23.25">
      <c r="A139" s="121"/>
      <c r="B139" s="200" t="s">
        <v>1174</v>
      </c>
      <c r="C139" s="205"/>
      <c r="D139" s="204" t="s">
        <v>434</v>
      </c>
      <c r="E139" s="126">
        <f t="shared" si="13"/>
        <v>13500100</v>
      </c>
      <c r="F139" s="130">
        <v>0</v>
      </c>
      <c r="G139" s="130">
        <v>0</v>
      </c>
      <c r="H139" s="130">
        <v>0</v>
      </c>
      <c r="I139" s="130">
        <v>0</v>
      </c>
      <c r="J139" s="130">
        <v>0</v>
      </c>
      <c r="K139" s="127">
        <v>13500100</v>
      </c>
      <c r="L139" s="127">
        <v>0</v>
      </c>
      <c r="M139" s="127">
        <v>0</v>
      </c>
      <c r="N139" s="126">
        <f t="shared" si="10"/>
        <v>31089600</v>
      </c>
      <c r="O139" s="130">
        <v>0</v>
      </c>
      <c r="P139" s="130">
        <v>0</v>
      </c>
      <c r="Q139" s="130">
        <v>0</v>
      </c>
      <c r="R139" s="130">
        <v>0</v>
      </c>
      <c r="S139" s="130">
        <v>0</v>
      </c>
      <c r="T139" s="127">
        <v>31089600</v>
      </c>
      <c r="U139" s="130">
        <v>0</v>
      </c>
      <c r="V139" s="130">
        <v>0</v>
      </c>
    </row>
    <row r="140" spans="1:22" ht="23.25">
      <c r="A140" s="121"/>
      <c r="B140" s="200" t="s">
        <v>1175</v>
      </c>
      <c r="C140" s="205"/>
      <c r="D140" s="204" t="s">
        <v>962</v>
      </c>
      <c r="E140" s="126">
        <f t="shared" si="13"/>
        <v>9833610</v>
      </c>
      <c r="F140" s="130">
        <v>0</v>
      </c>
      <c r="G140" s="130">
        <v>0</v>
      </c>
      <c r="H140" s="130">
        <v>0</v>
      </c>
      <c r="I140" s="130">
        <v>0</v>
      </c>
      <c r="J140" s="130">
        <v>0</v>
      </c>
      <c r="K140" s="127">
        <v>9833610</v>
      </c>
      <c r="L140" s="127">
        <v>0</v>
      </c>
      <c r="M140" s="127">
        <v>0</v>
      </c>
      <c r="N140" s="126">
        <f t="shared" si="10"/>
        <v>9992544</v>
      </c>
      <c r="O140" s="130">
        <v>0</v>
      </c>
      <c r="P140" s="130">
        <v>0</v>
      </c>
      <c r="Q140" s="130">
        <v>2090610</v>
      </c>
      <c r="R140" s="130">
        <v>0</v>
      </c>
      <c r="S140" s="130">
        <v>0</v>
      </c>
      <c r="T140" s="127">
        <v>7901934</v>
      </c>
      <c r="U140" s="130">
        <v>0</v>
      </c>
      <c r="V140" s="130">
        <v>0</v>
      </c>
    </row>
    <row r="141" spans="1:22" ht="46.5">
      <c r="A141" s="121"/>
      <c r="B141" s="200" t="s">
        <v>1176</v>
      </c>
      <c r="C141" s="205"/>
      <c r="D141" s="204" t="s">
        <v>436</v>
      </c>
      <c r="E141" s="126">
        <f t="shared" si="13"/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27">
        <v>0</v>
      </c>
      <c r="L141" s="127">
        <v>0</v>
      </c>
      <c r="M141" s="127">
        <v>0</v>
      </c>
      <c r="N141" s="126">
        <f t="shared" si="10"/>
        <v>0</v>
      </c>
      <c r="O141" s="130">
        <v>0</v>
      </c>
      <c r="P141" s="130">
        <v>0</v>
      </c>
      <c r="Q141" s="130">
        <v>0</v>
      </c>
      <c r="R141" s="130">
        <v>0</v>
      </c>
      <c r="S141" s="130">
        <v>0</v>
      </c>
      <c r="T141" s="130">
        <v>0</v>
      </c>
      <c r="U141" s="130">
        <v>0</v>
      </c>
      <c r="V141" s="130">
        <v>0</v>
      </c>
    </row>
    <row r="142" spans="1:22" ht="46.5">
      <c r="A142" s="121"/>
      <c r="B142" s="200" t="s">
        <v>1177</v>
      </c>
      <c r="C142" s="205"/>
      <c r="D142" s="204" t="s">
        <v>437</v>
      </c>
      <c r="E142" s="126">
        <f t="shared" si="13"/>
        <v>37839649</v>
      </c>
      <c r="F142" s="130">
        <v>0</v>
      </c>
      <c r="G142" s="130">
        <v>0</v>
      </c>
      <c r="H142" s="130">
        <v>0</v>
      </c>
      <c r="I142" s="130">
        <v>0</v>
      </c>
      <c r="J142" s="130">
        <v>0</v>
      </c>
      <c r="K142" s="127">
        <v>37839649</v>
      </c>
      <c r="L142" s="127">
        <v>0</v>
      </c>
      <c r="M142" s="127">
        <v>0</v>
      </c>
      <c r="N142" s="126">
        <f t="shared" si="10"/>
        <v>18839649</v>
      </c>
      <c r="O142" s="130">
        <v>0</v>
      </c>
      <c r="P142" s="130">
        <v>0</v>
      </c>
      <c r="Q142" s="130">
        <v>18789650</v>
      </c>
      <c r="R142" s="130">
        <v>0</v>
      </c>
      <c r="S142" s="130">
        <v>0</v>
      </c>
      <c r="T142" s="127">
        <v>49999</v>
      </c>
      <c r="U142" s="130">
        <v>0</v>
      </c>
      <c r="V142" s="130">
        <v>0</v>
      </c>
    </row>
    <row r="143" spans="1:22" ht="69.75">
      <c r="A143" s="121"/>
      <c r="B143" s="200" t="s">
        <v>1178</v>
      </c>
      <c r="C143" s="205"/>
      <c r="D143" s="209" t="s">
        <v>961</v>
      </c>
      <c r="E143" s="126">
        <f t="shared" si="13"/>
        <v>13423900</v>
      </c>
      <c r="F143" s="130">
        <v>0</v>
      </c>
      <c r="G143" s="130">
        <v>0</v>
      </c>
      <c r="H143" s="130">
        <v>0</v>
      </c>
      <c r="I143" s="130">
        <v>0</v>
      </c>
      <c r="J143" s="130">
        <v>0</v>
      </c>
      <c r="K143" s="127">
        <v>0</v>
      </c>
      <c r="L143" s="127">
        <v>13423900</v>
      </c>
      <c r="M143" s="127">
        <v>0</v>
      </c>
      <c r="N143" s="126">
        <f t="shared" si="10"/>
        <v>18884900</v>
      </c>
      <c r="O143" s="130">
        <v>0</v>
      </c>
      <c r="P143" s="130">
        <v>0</v>
      </c>
      <c r="Q143" s="130">
        <v>0</v>
      </c>
      <c r="R143" s="130">
        <v>0</v>
      </c>
      <c r="S143" s="130">
        <v>0</v>
      </c>
      <c r="T143" s="130">
        <v>0</v>
      </c>
      <c r="U143" s="127">
        <v>18884900</v>
      </c>
      <c r="V143" s="130">
        <v>0</v>
      </c>
    </row>
    <row r="144" spans="1:22" ht="46.5">
      <c r="A144" s="121"/>
      <c r="B144" s="200" t="s">
        <v>1179</v>
      </c>
      <c r="C144" s="205"/>
      <c r="D144" s="204" t="s">
        <v>438</v>
      </c>
      <c r="E144" s="126">
        <f t="shared" si="13"/>
        <v>1500000</v>
      </c>
      <c r="F144" s="130">
        <v>0</v>
      </c>
      <c r="G144" s="130">
        <v>0</v>
      </c>
      <c r="H144" s="130">
        <v>0</v>
      </c>
      <c r="I144" s="130">
        <v>0</v>
      </c>
      <c r="J144" s="130">
        <v>0</v>
      </c>
      <c r="K144" s="127">
        <v>1500000</v>
      </c>
      <c r="L144" s="127">
        <v>0</v>
      </c>
      <c r="M144" s="127">
        <v>0</v>
      </c>
      <c r="N144" s="126">
        <f t="shared" si="10"/>
        <v>6870446</v>
      </c>
      <c r="O144" s="130">
        <v>0</v>
      </c>
      <c r="P144" s="130">
        <v>0</v>
      </c>
      <c r="Q144" s="130">
        <v>0</v>
      </c>
      <c r="R144" s="130">
        <v>0</v>
      </c>
      <c r="S144" s="130">
        <v>0</v>
      </c>
      <c r="T144" s="127">
        <v>6870446</v>
      </c>
      <c r="U144" s="130">
        <v>0</v>
      </c>
      <c r="V144" s="130">
        <v>0</v>
      </c>
    </row>
    <row r="145" spans="1:22" ht="46.5">
      <c r="A145" s="121"/>
      <c r="B145" s="200" t="s">
        <v>1180</v>
      </c>
      <c r="C145" s="205"/>
      <c r="D145" s="204" t="s">
        <v>439</v>
      </c>
      <c r="E145" s="126">
        <f t="shared" si="13"/>
        <v>3000000</v>
      </c>
      <c r="F145" s="130">
        <v>0</v>
      </c>
      <c r="G145" s="130">
        <v>0</v>
      </c>
      <c r="H145" s="130">
        <v>0</v>
      </c>
      <c r="I145" s="130">
        <v>0</v>
      </c>
      <c r="J145" s="130">
        <v>0</v>
      </c>
      <c r="K145" s="127">
        <v>3000000</v>
      </c>
      <c r="L145" s="127">
        <v>0</v>
      </c>
      <c r="M145" s="127">
        <v>0</v>
      </c>
      <c r="N145" s="126">
        <f t="shared" si="10"/>
        <v>7425538</v>
      </c>
      <c r="O145" s="130">
        <v>0</v>
      </c>
      <c r="P145" s="130">
        <v>0</v>
      </c>
      <c r="Q145" s="130">
        <v>0</v>
      </c>
      <c r="R145" s="130">
        <v>0</v>
      </c>
      <c r="S145" s="130">
        <v>0</v>
      </c>
      <c r="T145" s="127">
        <v>7425538</v>
      </c>
      <c r="U145" s="130">
        <v>0</v>
      </c>
      <c r="V145" s="130">
        <v>0</v>
      </c>
    </row>
    <row r="146" spans="1:22" ht="23.25">
      <c r="A146" s="121"/>
      <c r="B146" s="200" t="s">
        <v>1181</v>
      </c>
      <c r="C146" s="205"/>
      <c r="D146" s="204" t="s">
        <v>845</v>
      </c>
      <c r="E146" s="126">
        <f t="shared" si="13"/>
        <v>2100000</v>
      </c>
      <c r="F146" s="130">
        <v>0</v>
      </c>
      <c r="G146" s="130">
        <v>0</v>
      </c>
      <c r="H146" s="130">
        <v>0</v>
      </c>
      <c r="I146" s="130">
        <v>0</v>
      </c>
      <c r="J146" s="130">
        <v>0</v>
      </c>
      <c r="K146" s="127">
        <v>2100000</v>
      </c>
      <c r="L146" s="127">
        <v>0</v>
      </c>
      <c r="M146" s="127">
        <v>0</v>
      </c>
      <c r="N146" s="126">
        <f>SUM(O146:V146)</f>
        <v>4846320</v>
      </c>
      <c r="O146" s="130">
        <v>0</v>
      </c>
      <c r="P146" s="130">
        <v>0</v>
      </c>
      <c r="Q146" s="130">
        <v>0</v>
      </c>
      <c r="R146" s="130">
        <v>0</v>
      </c>
      <c r="S146" s="130">
        <v>0</v>
      </c>
      <c r="T146" s="127">
        <v>4846320</v>
      </c>
      <c r="U146" s="130">
        <v>0</v>
      </c>
      <c r="V146" s="130">
        <v>0</v>
      </c>
    </row>
    <row r="147" spans="1:22" ht="46.5">
      <c r="A147" s="121"/>
      <c r="B147" s="200" t="s">
        <v>1182</v>
      </c>
      <c r="C147" s="205"/>
      <c r="D147" s="204" t="s">
        <v>847</v>
      </c>
      <c r="E147" s="126">
        <f t="shared" si="13"/>
        <v>15000000</v>
      </c>
      <c r="F147" s="130">
        <v>0</v>
      </c>
      <c r="G147" s="130">
        <v>0</v>
      </c>
      <c r="H147" s="130">
        <v>0</v>
      </c>
      <c r="I147" s="130">
        <v>0</v>
      </c>
      <c r="J147" s="130">
        <v>0</v>
      </c>
      <c r="K147" s="127">
        <v>15000000</v>
      </c>
      <c r="L147" s="127">
        <v>0</v>
      </c>
      <c r="M147" s="127">
        <v>0</v>
      </c>
      <c r="N147" s="126">
        <f>SUM(O147:V147)</f>
        <v>29997400</v>
      </c>
      <c r="O147" s="130">
        <v>0</v>
      </c>
      <c r="P147" s="130">
        <v>0</v>
      </c>
      <c r="Q147" s="130">
        <v>0</v>
      </c>
      <c r="R147" s="130">
        <v>0</v>
      </c>
      <c r="S147" s="130">
        <v>0</v>
      </c>
      <c r="T147" s="127">
        <v>0</v>
      </c>
      <c r="U147" s="130">
        <v>29997400</v>
      </c>
      <c r="V147" s="130">
        <v>0</v>
      </c>
    </row>
    <row r="148" spans="1:22" ht="23.25">
      <c r="A148" s="121"/>
      <c r="B148" s="200" t="s">
        <v>1183</v>
      </c>
      <c r="C148" s="205"/>
      <c r="D148" s="208" t="s">
        <v>942</v>
      </c>
      <c r="E148" s="126">
        <f>SUM(F148:M148)</f>
        <v>32000000</v>
      </c>
      <c r="F148" s="130">
        <v>0</v>
      </c>
      <c r="G148" s="130">
        <v>0</v>
      </c>
      <c r="H148" s="130">
        <v>0</v>
      </c>
      <c r="I148" s="130">
        <v>0</v>
      </c>
      <c r="J148" s="130">
        <v>0</v>
      </c>
      <c r="K148" s="127">
        <v>32000000</v>
      </c>
      <c r="L148" s="130">
        <v>0</v>
      </c>
      <c r="M148" s="127">
        <v>0</v>
      </c>
      <c r="N148" s="126">
        <f>SUM(O148:V148)</f>
        <v>32000000</v>
      </c>
      <c r="O148" s="130">
        <v>0</v>
      </c>
      <c r="P148" s="130">
        <v>0</v>
      </c>
      <c r="Q148" s="130">
        <v>0</v>
      </c>
      <c r="R148" s="130">
        <v>0</v>
      </c>
      <c r="S148" s="130">
        <v>0</v>
      </c>
      <c r="T148" s="127">
        <v>0</v>
      </c>
      <c r="U148" s="130">
        <v>32000000</v>
      </c>
      <c r="V148" s="130">
        <v>0</v>
      </c>
    </row>
    <row r="149" spans="1:22" ht="23.25">
      <c r="A149" s="121"/>
      <c r="B149" s="200" t="s">
        <v>1184</v>
      </c>
      <c r="C149" s="205"/>
      <c r="D149" s="208" t="s">
        <v>943</v>
      </c>
      <c r="E149" s="126">
        <f t="shared" si="13"/>
        <v>32000000</v>
      </c>
      <c r="F149" s="130">
        <v>0</v>
      </c>
      <c r="G149" s="130">
        <v>0</v>
      </c>
      <c r="H149" s="130">
        <v>0</v>
      </c>
      <c r="I149" s="130">
        <v>0</v>
      </c>
      <c r="J149" s="130">
        <v>0</v>
      </c>
      <c r="K149" s="127">
        <v>32000000</v>
      </c>
      <c r="L149" s="130">
        <v>0</v>
      </c>
      <c r="M149" s="127">
        <v>0</v>
      </c>
      <c r="N149" s="126">
        <f aca="true" t="shared" si="14" ref="N149:N160">SUM(O149:V149)</f>
        <v>27296279</v>
      </c>
      <c r="O149" s="130">
        <v>0</v>
      </c>
      <c r="P149" s="130">
        <v>0</v>
      </c>
      <c r="Q149" s="130">
        <v>5970110</v>
      </c>
      <c r="R149" s="130">
        <v>0</v>
      </c>
      <c r="S149" s="130">
        <v>0</v>
      </c>
      <c r="T149" s="127">
        <v>21326169</v>
      </c>
      <c r="U149" s="130">
        <v>0</v>
      </c>
      <c r="V149" s="130">
        <v>0</v>
      </c>
    </row>
    <row r="150" spans="1:22" ht="23.25">
      <c r="A150" s="121"/>
      <c r="B150" s="200" t="s">
        <v>1185</v>
      </c>
      <c r="C150" s="205"/>
      <c r="D150" s="208" t="s">
        <v>944</v>
      </c>
      <c r="E150" s="126">
        <f t="shared" si="13"/>
        <v>39000000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 s="127">
        <v>39000000</v>
      </c>
      <c r="L150" s="130">
        <v>0</v>
      </c>
      <c r="M150" s="130">
        <v>0</v>
      </c>
      <c r="N150" s="126">
        <f t="shared" si="14"/>
        <v>0</v>
      </c>
      <c r="O150" s="130">
        <v>0</v>
      </c>
      <c r="P150" s="130">
        <v>0</v>
      </c>
      <c r="Q150" s="130">
        <v>0</v>
      </c>
      <c r="R150" s="130">
        <v>0</v>
      </c>
      <c r="S150" s="130">
        <v>0</v>
      </c>
      <c r="T150" s="127">
        <v>0</v>
      </c>
      <c r="U150" s="130">
        <v>0</v>
      </c>
      <c r="V150" s="130">
        <v>0</v>
      </c>
    </row>
    <row r="151" spans="1:22" ht="23.25">
      <c r="A151" s="121"/>
      <c r="B151" s="200" t="s">
        <v>1186</v>
      </c>
      <c r="C151" s="205"/>
      <c r="D151" s="208" t="s">
        <v>945</v>
      </c>
      <c r="E151" s="126">
        <f t="shared" si="13"/>
        <v>2700000</v>
      </c>
      <c r="F151" s="130">
        <v>0</v>
      </c>
      <c r="G151" s="130">
        <v>0</v>
      </c>
      <c r="H151" s="130">
        <v>0</v>
      </c>
      <c r="I151" s="130">
        <v>0</v>
      </c>
      <c r="J151" s="130">
        <v>0</v>
      </c>
      <c r="K151" s="127">
        <v>2700000</v>
      </c>
      <c r="L151" s="130">
        <v>0</v>
      </c>
      <c r="M151" s="130">
        <v>0</v>
      </c>
      <c r="N151" s="126">
        <f t="shared" si="14"/>
        <v>2997200</v>
      </c>
      <c r="O151" s="130">
        <v>0</v>
      </c>
      <c r="P151" s="130">
        <v>0</v>
      </c>
      <c r="Q151" s="130">
        <v>0</v>
      </c>
      <c r="R151" s="130">
        <v>0</v>
      </c>
      <c r="S151" s="130">
        <v>0</v>
      </c>
      <c r="T151" s="127">
        <v>2997200</v>
      </c>
      <c r="U151" s="130">
        <v>0</v>
      </c>
      <c r="V151" s="130">
        <v>0</v>
      </c>
    </row>
    <row r="152" spans="1:22" ht="23.25">
      <c r="A152" s="121"/>
      <c r="B152" s="200" t="s">
        <v>1187</v>
      </c>
      <c r="C152" s="205"/>
      <c r="D152" s="210" t="s">
        <v>946</v>
      </c>
      <c r="E152" s="126">
        <f t="shared" si="13"/>
        <v>76000000</v>
      </c>
      <c r="F152" s="130">
        <v>0</v>
      </c>
      <c r="G152" s="130">
        <v>0</v>
      </c>
      <c r="H152" s="130">
        <v>0</v>
      </c>
      <c r="I152" s="130">
        <v>0</v>
      </c>
      <c r="J152" s="130">
        <v>0</v>
      </c>
      <c r="K152" s="127">
        <v>76000000</v>
      </c>
      <c r="L152" s="130">
        <v>0</v>
      </c>
      <c r="M152" s="130">
        <v>0</v>
      </c>
      <c r="N152" s="126">
        <f t="shared" si="14"/>
        <v>141154000</v>
      </c>
      <c r="O152" s="130">
        <v>0</v>
      </c>
      <c r="P152" s="130">
        <v>0</v>
      </c>
      <c r="Q152" s="130">
        <v>0</v>
      </c>
      <c r="R152" s="130">
        <v>0</v>
      </c>
      <c r="S152" s="130">
        <v>0</v>
      </c>
      <c r="T152" s="127">
        <v>0</v>
      </c>
      <c r="U152" s="130">
        <v>141154000</v>
      </c>
      <c r="V152" s="130">
        <v>0</v>
      </c>
    </row>
    <row r="153" spans="1:22" ht="46.5">
      <c r="A153" s="121"/>
      <c r="B153" s="200" t="s">
        <v>1188</v>
      </c>
      <c r="C153" s="205"/>
      <c r="D153" s="199" t="s">
        <v>947</v>
      </c>
      <c r="E153" s="126">
        <f t="shared" si="13"/>
        <v>5000000</v>
      </c>
      <c r="F153" s="130">
        <v>0</v>
      </c>
      <c r="G153" s="130">
        <v>0</v>
      </c>
      <c r="H153" s="130">
        <v>0</v>
      </c>
      <c r="I153" s="130">
        <v>0</v>
      </c>
      <c r="J153" s="130">
        <v>0</v>
      </c>
      <c r="K153" s="127">
        <v>5000000</v>
      </c>
      <c r="L153" s="130">
        <v>0</v>
      </c>
      <c r="M153" s="130">
        <v>0</v>
      </c>
      <c r="N153" s="126">
        <f t="shared" si="14"/>
        <v>0</v>
      </c>
      <c r="O153" s="130">
        <v>0</v>
      </c>
      <c r="P153" s="130">
        <v>0</v>
      </c>
      <c r="Q153" s="130">
        <v>0</v>
      </c>
      <c r="R153" s="130">
        <v>0</v>
      </c>
      <c r="S153" s="130">
        <v>0</v>
      </c>
      <c r="T153" s="127">
        <v>0</v>
      </c>
      <c r="U153" s="130">
        <v>0</v>
      </c>
      <c r="V153" s="130">
        <v>0</v>
      </c>
    </row>
    <row r="154" spans="1:22" ht="46.5">
      <c r="A154" s="121"/>
      <c r="B154" s="200" t="s">
        <v>1189</v>
      </c>
      <c r="C154" s="205"/>
      <c r="D154" s="199" t="s">
        <v>1221</v>
      </c>
      <c r="E154" s="126">
        <f t="shared" si="13"/>
        <v>255795906</v>
      </c>
      <c r="F154" s="130">
        <v>0</v>
      </c>
      <c r="G154" s="130">
        <v>0</v>
      </c>
      <c r="H154" s="130">
        <v>0</v>
      </c>
      <c r="I154" s="130">
        <v>0</v>
      </c>
      <c r="J154" s="130">
        <v>0</v>
      </c>
      <c r="K154" s="127">
        <v>255795906</v>
      </c>
      <c r="L154" s="130">
        <v>0</v>
      </c>
      <c r="M154" s="130">
        <v>0</v>
      </c>
      <c r="N154" s="126">
        <f t="shared" si="14"/>
        <v>275044562</v>
      </c>
      <c r="O154" s="130">
        <v>0</v>
      </c>
      <c r="P154" s="130">
        <v>0</v>
      </c>
      <c r="Q154" s="130">
        <v>595906</v>
      </c>
      <c r="R154" s="130">
        <v>0</v>
      </c>
      <c r="S154" s="130">
        <v>0</v>
      </c>
      <c r="T154" s="127">
        <v>845</v>
      </c>
      <c r="U154" s="130">
        <v>0</v>
      </c>
      <c r="V154" s="130">
        <v>274447811</v>
      </c>
    </row>
    <row r="155" spans="1:22" ht="46.5">
      <c r="A155" s="121"/>
      <c r="B155" s="200" t="s">
        <v>1190</v>
      </c>
      <c r="C155" s="205"/>
      <c r="D155" s="199" t="s">
        <v>954</v>
      </c>
      <c r="E155" s="126">
        <f t="shared" si="13"/>
        <v>1500000</v>
      </c>
      <c r="F155" s="130">
        <v>0</v>
      </c>
      <c r="G155" s="130">
        <v>0</v>
      </c>
      <c r="H155" s="130">
        <v>0</v>
      </c>
      <c r="I155" s="130">
        <v>0</v>
      </c>
      <c r="J155" s="130">
        <v>0</v>
      </c>
      <c r="K155" s="127">
        <v>1500000</v>
      </c>
      <c r="L155" s="130">
        <v>0</v>
      </c>
      <c r="M155" s="130">
        <v>0</v>
      </c>
      <c r="N155" s="126">
        <f t="shared" si="14"/>
        <v>631300</v>
      </c>
      <c r="O155" s="130">
        <v>0</v>
      </c>
      <c r="P155" s="130">
        <v>0</v>
      </c>
      <c r="Q155" s="130">
        <v>0</v>
      </c>
      <c r="R155" s="130">
        <v>0</v>
      </c>
      <c r="S155" s="130">
        <v>0</v>
      </c>
      <c r="T155" s="127">
        <v>631300</v>
      </c>
      <c r="U155" s="130">
        <v>0</v>
      </c>
      <c r="V155" s="130">
        <v>0</v>
      </c>
    </row>
    <row r="156" spans="1:22" ht="23.25">
      <c r="A156" s="121"/>
      <c r="B156" s="200" t="s">
        <v>1191</v>
      </c>
      <c r="C156" s="205"/>
      <c r="D156" s="199" t="s">
        <v>948</v>
      </c>
      <c r="E156" s="126">
        <f t="shared" si="13"/>
        <v>581452</v>
      </c>
      <c r="F156" s="130">
        <v>0</v>
      </c>
      <c r="G156" s="130">
        <v>0</v>
      </c>
      <c r="H156" s="130">
        <v>0</v>
      </c>
      <c r="I156" s="130">
        <v>0</v>
      </c>
      <c r="J156" s="130">
        <v>0</v>
      </c>
      <c r="K156" s="127">
        <v>581452</v>
      </c>
      <c r="L156" s="130">
        <v>0</v>
      </c>
      <c r="M156" s="130">
        <v>0</v>
      </c>
      <c r="N156" s="126">
        <f t="shared" si="14"/>
        <v>581452</v>
      </c>
      <c r="O156" s="130">
        <v>0</v>
      </c>
      <c r="P156" s="130">
        <v>0</v>
      </c>
      <c r="Q156" s="130">
        <v>0</v>
      </c>
      <c r="R156" s="130">
        <v>0</v>
      </c>
      <c r="S156" s="130">
        <v>0</v>
      </c>
      <c r="T156" s="127">
        <v>581452</v>
      </c>
      <c r="U156" s="130">
        <v>0</v>
      </c>
      <c r="V156" s="130">
        <v>0</v>
      </c>
    </row>
    <row r="157" spans="1:22" ht="23.25">
      <c r="A157" s="121"/>
      <c r="B157" s="200" t="s">
        <v>1192</v>
      </c>
      <c r="C157" s="205"/>
      <c r="D157" s="199" t="s">
        <v>1034</v>
      </c>
      <c r="E157" s="126">
        <f t="shared" si="13"/>
        <v>60000000</v>
      </c>
      <c r="F157" s="130">
        <v>0</v>
      </c>
      <c r="G157" s="130">
        <v>0</v>
      </c>
      <c r="H157" s="130">
        <v>0</v>
      </c>
      <c r="I157" s="130">
        <v>0</v>
      </c>
      <c r="J157" s="130">
        <v>0</v>
      </c>
      <c r="K157" s="127">
        <v>0</v>
      </c>
      <c r="L157" s="130">
        <v>60000000</v>
      </c>
      <c r="M157" s="130"/>
      <c r="N157" s="126">
        <f t="shared" si="14"/>
        <v>0</v>
      </c>
      <c r="O157" s="130">
        <v>0</v>
      </c>
      <c r="P157" s="130">
        <v>0</v>
      </c>
      <c r="Q157" s="130">
        <v>0</v>
      </c>
      <c r="R157" s="130">
        <v>0</v>
      </c>
      <c r="S157" s="130">
        <v>0</v>
      </c>
      <c r="T157" s="255"/>
      <c r="U157" s="247">
        <v>0</v>
      </c>
      <c r="V157" s="130">
        <v>0</v>
      </c>
    </row>
    <row r="158" spans="1:22" ht="81.75" customHeight="1">
      <c r="A158" s="121"/>
      <c r="B158" s="200" t="s">
        <v>1193</v>
      </c>
      <c r="C158" s="205"/>
      <c r="D158" s="199" t="s">
        <v>1195</v>
      </c>
      <c r="E158" s="126">
        <f>SUM(F158:M158)</f>
        <v>0</v>
      </c>
      <c r="F158" s="130">
        <v>0</v>
      </c>
      <c r="G158" s="130">
        <v>0</v>
      </c>
      <c r="H158" s="130">
        <v>0</v>
      </c>
      <c r="I158" s="130">
        <v>0</v>
      </c>
      <c r="J158" s="130">
        <v>0</v>
      </c>
      <c r="K158" s="130">
        <v>0</v>
      </c>
      <c r="L158" s="130">
        <v>0</v>
      </c>
      <c r="M158" s="130">
        <v>0</v>
      </c>
      <c r="N158" s="126">
        <f t="shared" si="14"/>
        <v>1160710</v>
      </c>
      <c r="O158" s="130">
        <v>0</v>
      </c>
      <c r="P158" s="130">
        <v>0</v>
      </c>
      <c r="Q158" s="130">
        <v>1160710</v>
      </c>
      <c r="R158" s="130">
        <v>0</v>
      </c>
      <c r="S158" s="130">
        <v>0</v>
      </c>
      <c r="T158" s="257">
        <v>0</v>
      </c>
      <c r="U158" s="130">
        <v>0</v>
      </c>
      <c r="V158" s="130">
        <v>0</v>
      </c>
    </row>
    <row r="159" spans="1:22" ht="95.25" customHeight="1">
      <c r="A159" s="121"/>
      <c r="B159" s="200" t="s">
        <v>1194</v>
      </c>
      <c r="C159" s="205"/>
      <c r="D159" s="199" t="s">
        <v>1196</v>
      </c>
      <c r="E159" s="126">
        <f t="shared" si="13"/>
        <v>0</v>
      </c>
      <c r="F159" s="130">
        <v>0</v>
      </c>
      <c r="G159" s="130"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v>0</v>
      </c>
      <c r="M159" s="130">
        <v>0</v>
      </c>
      <c r="N159" s="126">
        <f t="shared" si="14"/>
        <v>1559710</v>
      </c>
      <c r="O159" s="130">
        <v>0</v>
      </c>
      <c r="P159" s="130"/>
      <c r="Q159" s="130">
        <v>1559710</v>
      </c>
      <c r="R159" s="130">
        <v>0</v>
      </c>
      <c r="S159" s="130">
        <v>0</v>
      </c>
      <c r="T159" s="130">
        <v>0</v>
      </c>
      <c r="U159" s="247">
        <v>0</v>
      </c>
      <c r="V159" s="247">
        <v>0</v>
      </c>
    </row>
    <row r="160" spans="1:22" ht="95.25" customHeight="1">
      <c r="A160" s="121"/>
      <c r="B160" s="200" t="s">
        <v>1225</v>
      </c>
      <c r="C160" s="205"/>
      <c r="D160" s="199" t="s">
        <v>1226</v>
      </c>
      <c r="E160" s="126">
        <f t="shared" si="13"/>
        <v>0</v>
      </c>
      <c r="F160" s="130">
        <v>0</v>
      </c>
      <c r="G160" s="130">
        <v>0</v>
      </c>
      <c r="H160" s="130">
        <v>0</v>
      </c>
      <c r="I160" s="130">
        <v>0</v>
      </c>
      <c r="J160" s="130">
        <v>0</v>
      </c>
      <c r="K160" s="130">
        <v>0</v>
      </c>
      <c r="L160" s="130">
        <v>0</v>
      </c>
      <c r="M160" s="130">
        <v>0</v>
      </c>
      <c r="N160" s="126">
        <f t="shared" si="14"/>
        <v>3235278131</v>
      </c>
      <c r="O160" s="130">
        <v>0</v>
      </c>
      <c r="P160" s="130">
        <v>0</v>
      </c>
      <c r="Q160" s="130">
        <v>30849360</v>
      </c>
      <c r="R160" s="130">
        <v>0</v>
      </c>
      <c r="S160" s="258">
        <v>0</v>
      </c>
      <c r="T160" s="259">
        <v>3204428771</v>
      </c>
      <c r="U160" s="250">
        <v>0</v>
      </c>
      <c r="V160" s="250">
        <v>0</v>
      </c>
    </row>
    <row r="161" spans="1:22" ht="23.25">
      <c r="A161" s="121" t="s">
        <v>64</v>
      </c>
      <c r="B161" s="121"/>
      <c r="C161" s="121"/>
      <c r="D161" s="135" t="s">
        <v>44</v>
      </c>
      <c r="E161" s="123">
        <f>SUM(F161:M161)</f>
        <v>0</v>
      </c>
      <c r="F161" s="136">
        <v>0</v>
      </c>
      <c r="G161" s="136">
        <v>0</v>
      </c>
      <c r="H161" s="136">
        <v>0</v>
      </c>
      <c r="I161" s="136">
        <v>0</v>
      </c>
      <c r="J161" s="136">
        <v>0</v>
      </c>
      <c r="K161" s="136">
        <v>0</v>
      </c>
      <c r="L161" s="137">
        <v>0</v>
      </c>
      <c r="M161" s="138">
        <v>0</v>
      </c>
      <c r="N161" s="123">
        <f>SUM(O161:V161)</f>
        <v>0</v>
      </c>
      <c r="O161" s="136">
        <v>0</v>
      </c>
      <c r="P161" s="136">
        <v>0</v>
      </c>
      <c r="Q161" s="136">
        <v>0</v>
      </c>
      <c r="R161" s="136">
        <v>0</v>
      </c>
      <c r="S161" s="136">
        <v>0</v>
      </c>
      <c r="T161" s="136">
        <v>0</v>
      </c>
      <c r="U161" s="248">
        <v>0</v>
      </c>
      <c r="V161" s="249">
        <v>0</v>
      </c>
    </row>
    <row r="162" spans="1:22" ht="48.75" customHeight="1">
      <c r="A162" s="349" t="s">
        <v>326</v>
      </c>
      <c r="B162" s="349"/>
      <c r="C162" s="349"/>
      <c r="D162" s="349"/>
      <c r="E162" s="123">
        <f>SUM(F162:M162)</f>
        <v>29505745004</v>
      </c>
      <c r="F162" s="124">
        <f aca="true" t="shared" si="15" ref="F162:M162">F10+F11+F161</f>
        <v>0</v>
      </c>
      <c r="G162" s="124">
        <f t="shared" si="15"/>
        <v>0</v>
      </c>
      <c r="H162" s="124">
        <f t="shared" si="15"/>
        <v>0</v>
      </c>
      <c r="I162" s="124">
        <f t="shared" si="15"/>
        <v>0</v>
      </c>
      <c r="J162" s="124">
        <f t="shared" si="15"/>
        <v>0</v>
      </c>
      <c r="K162" s="124">
        <f t="shared" si="15"/>
        <v>25113229943</v>
      </c>
      <c r="L162" s="139">
        <f t="shared" si="15"/>
        <v>4392515061</v>
      </c>
      <c r="M162" s="124">
        <f t="shared" si="15"/>
        <v>0</v>
      </c>
      <c r="N162" s="123">
        <f>SUM(O162:V162)</f>
        <v>49060187521</v>
      </c>
      <c r="O162" s="124">
        <f aca="true" t="shared" si="16" ref="O162:V162">O10+O11+O161</f>
        <v>0</v>
      </c>
      <c r="P162" s="124">
        <f t="shared" si="16"/>
        <v>0</v>
      </c>
      <c r="Q162" s="124">
        <f t="shared" si="16"/>
        <v>2796754272</v>
      </c>
      <c r="R162" s="124">
        <f t="shared" si="16"/>
        <v>0</v>
      </c>
      <c r="S162" s="124">
        <f t="shared" si="16"/>
        <v>24975748</v>
      </c>
      <c r="T162" s="124">
        <f t="shared" si="16"/>
        <v>37496958661</v>
      </c>
      <c r="U162" s="139">
        <f t="shared" si="16"/>
        <v>8183265222</v>
      </c>
      <c r="V162" s="124">
        <f t="shared" si="16"/>
        <v>558233618</v>
      </c>
    </row>
    <row r="164" ht="23.25">
      <c r="E164" s="178"/>
    </row>
    <row r="166" s="178" customFormat="1" ht="23.25">
      <c r="D166" s="179"/>
    </row>
    <row r="167" s="178" customFormat="1" ht="23.25">
      <c r="D167" s="179"/>
    </row>
    <row r="168" s="178" customFormat="1" ht="23.25">
      <c r="D168" s="179"/>
    </row>
  </sheetData>
  <sheetProtection selectLockedCells="1" selectUnlockedCells="1"/>
  <mergeCells count="39">
    <mergeCell ref="B98:D98"/>
    <mergeCell ref="B55:D55"/>
    <mergeCell ref="B59:D59"/>
    <mergeCell ref="T8:V8"/>
    <mergeCell ref="B7:B9"/>
    <mergeCell ref="C7:C9"/>
    <mergeCell ref="B18:D18"/>
    <mergeCell ref="B20:D20"/>
    <mergeCell ref="B86:D86"/>
    <mergeCell ref="A162:D162"/>
    <mergeCell ref="F8:J8"/>
    <mergeCell ref="K8:M8"/>
    <mergeCell ref="A7:A9"/>
    <mergeCell ref="B12:D12"/>
    <mergeCell ref="B14:D14"/>
    <mergeCell ref="B16:D16"/>
    <mergeCell ref="B26:D26"/>
    <mergeCell ref="B36:D36"/>
    <mergeCell ref="B42:D42"/>
    <mergeCell ref="B127:D127"/>
    <mergeCell ref="B102:D102"/>
    <mergeCell ref="B104:D104"/>
    <mergeCell ref="B110:D110"/>
    <mergeCell ref="B112:D112"/>
    <mergeCell ref="B49:D49"/>
    <mergeCell ref="B117:D117"/>
    <mergeCell ref="B120:D120"/>
    <mergeCell ref="B61:D61"/>
    <mergeCell ref="B74:D74"/>
    <mergeCell ref="B1:V1"/>
    <mergeCell ref="B2:V2"/>
    <mergeCell ref="A3:V3"/>
    <mergeCell ref="A4:V4"/>
    <mergeCell ref="F7:M7"/>
    <mergeCell ref="E7:E9"/>
    <mergeCell ref="D7:D9"/>
    <mergeCell ref="N7:N9"/>
    <mergeCell ref="O7:V7"/>
    <mergeCell ref="O8:S8"/>
  </mergeCells>
  <printOptions horizontalCentered="1"/>
  <pageMargins left="0.4330708661417323" right="0.4330708661417323" top="0.5511811023622047" bottom="0.5511811023622047" header="0.5118110236220472" footer="0.5118110236220472"/>
  <pageSetup horizontalDpi="600" verticalDpi="600" orientation="landscape" paperSize="9" scale="2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0"/>
  <sheetViews>
    <sheetView view="pageBreakPreview" zoomScale="80" zoomScaleNormal="74" zoomScaleSheetLayoutView="80" zoomScalePageLayoutView="0" workbookViewId="0" topLeftCell="A1">
      <selection activeCell="A1" sqref="A1:U1"/>
    </sheetView>
  </sheetViews>
  <sheetFormatPr defaultColWidth="9.140625" defaultRowHeight="18" customHeight="1"/>
  <cols>
    <col min="1" max="1" width="7.00390625" style="140" customWidth="1"/>
    <col min="2" max="2" width="10.7109375" style="140" customWidth="1"/>
    <col min="3" max="3" width="33.57421875" style="140" customWidth="1"/>
    <col min="4" max="4" width="18.7109375" style="140" customWidth="1"/>
    <col min="5" max="5" width="14.57421875" style="140" customWidth="1"/>
    <col min="6" max="6" width="17.8515625" style="140" customWidth="1"/>
    <col min="7" max="7" width="16.7109375" style="140" customWidth="1"/>
    <col min="8" max="9" width="14.57421875" style="140" customWidth="1"/>
    <col min="10" max="10" width="16.7109375" style="140" customWidth="1"/>
    <col min="11" max="11" width="19.140625" style="140" customWidth="1"/>
    <col min="12" max="12" width="17.8515625" style="140" customWidth="1"/>
    <col min="13" max="13" width="23.140625" style="140" customWidth="1"/>
    <col min="14" max="14" width="15.140625" style="140" customWidth="1"/>
    <col min="15" max="15" width="18.00390625" style="140" customWidth="1"/>
    <col min="16" max="16" width="16.57421875" style="140" customWidth="1"/>
    <col min="17" max="17" width="14.00390625" style="140" customWidth="1"/>
    <col min="18" max="18" width="14.28125" style="140" customWidth="1"/>
    <col min="19" max="19" width="14.7109375" style="140" customWidth="1"/>
    <col min="20" max="20" width="18.421875" style="140" customWidth="1"/>
    <col min="21" max="21" width="18.28125" style="140" customWidth="1"/>
    <col min="22" max="16384" width="9.140625" style="140" customWidth="1"/>
  </cols>
  <sheetData>
    <row r="1" spans="1:21" ht="15.75" customHeight="1">
      <c r="A1" s="262" t="s">
        <v>1258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5.75" customHeight="1">
      <c r="A2" s="263" t="s">
        <v>1055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ht="18" customHeight="1">
      <c r="A3" s="358" t="s">
        <v>66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</row>
    <row r="4" spans="1:21" ht="18" customHeight="1">
      <c r="A4" s="359" t="s">
        <v>440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</row>
    <row r="5" spans="1:21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243"/>
      <c r="U5" s="140" t="s">
        <v>1</v>
      </c>
    </row>
    <row r="6" spans="1:21" ht="12.75" customHeight="1">
      <c r="A6" s="141" t="s">
        <v>2</v>
      </c>
      <c r="B6" s="141" t="s">
        <v>3</v>
      </c>
      <c r="C6" s="141" t="s">
        <v>4</v>
      </c>
      <c r="D6" s="141" t="s">
        <v>5</v>
      </c>
      <c r="E6" s="141" t="s">
        <v>6</v>
      </c>
      <c r="F6" s="141" t="s">
        <v>7</v>
      </c>
      <c r="G6" s="141" t="s">
        <v>8</v>
      </c>
      <c r="H6" s="141" t="s">
        <v>9</v>
      </c>
      <c r="I6" s="141" t="s">
        <v>10</v>
      </c>
      <c r="J6" s="141" t="s">
        <v>11</v>
      </c>
      <c r="K6" s="141" t="s">
        <v>12</v>
      </c>
      <c r="L6" s="141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3" t="s">
        <v>24</v>
      </c>
      <c r="B7" s="273" t="s">
        <v>185</v>
      </c>
      <c r="C7" s="274" t="s">
        <v>25</v>
      </c>
      <c r="D7" s="274" t="s">
        <v>853</v>
      </c>
      <c r="E7" s="325" t="s">
        <v>26</v>
      </c>
      <c r="F7" s="325"/>
      <c r="G7" s="325"/>
      <c r="H7" s="325"/>
      <c r="I7" s="325"/>
      <c r="J7" s="325"/>
      <c r="K7" s="325"/>
      <c r="L7" s="325"/>
      <c r="M7" s="274" t="s">
        <v>1049</v>
      </c>
      <c r="N7" s="325" t="s">
        <v>1047</v>
      </c>
      <c r="O7" s="325"/>
      <c r="P7" s="325"/>
      <c r="Q7" s="325"/>
      <c r="R7" s="325"/>
      <c r="S7" s="325"/>
      <c r="T7" s="325"/>
      <c r="U7" s="325"/>
    </row>
    <row r="8" spans="1:21" ht="12.75" customHeight="1">
      <c r="A8" s="273"/>
      <c r="B8" s="273"/>
      <c r="C8" s="274"/>
      <c r="D8" s="274"/>
      <c r="E8" s="267" t="s">
        <v>27</v>
      </c>
      <c r="F8" s="267"/>
      <c r="G8" s="267"/>
      <c r="H8" s="267"/>
      <c r="I8" s="267"/>
      <c r="J8" s="267" t="s">
        <v>28</v>
      </c>
      <c r="K8" s="267"/>
      <c r="L8" s="267"/>
      <c r="M8" s="274"/>
      <c r="N8" s="267" t="s">
        <v>27</v>
      </c>
      <c r="O8" s="267"/>
      <c r="P8" s="267"/>
      <c r="Q8" s="267"/>
      <c r="R8" s="267"/>
      <c r="S8" s="267" t="s">
        <v>28</v>
      </c>
      <c r="T8" s="267"/>
      <c r="U8" s="267"/>
    </row>
    <row r="9" spans="1:21" ht="76.5" customHeight="1">
      <c r="A9" s="273"/>
      <c r="B9" s="273"/>
      <c r="C9" s="274"/>
      <c r="D9" s="27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20.25" customHeight="1">
      <c r="A10" s="142" t="s">
        <v>67</v>
      </c>
      <c r="B10" s="12"/>
      <c r="C10" s="143" t="s">
        <v>40</v>
      </c>
      <c r="D10" s="25">
        <f aca="true" t="shared" si="0" ref="D10:D20">SUM(E10:L10)</f>
        <v>385360914</v>
      </c>
      <c r="E10" s="144">
        <f aca="true" t="shared" si="1" ref="E10:L10">SUM(E11:E17)</f>
        <v>0</v>
      </c>
      <c r="F10" s="144">
        <f t="shared" si="1"/>
        <v>0</v>
      </c>
      <c r="G10" s="144">
        <f t="shared" si="1"/>
        <v>110000000</v>
      </c>
      <c r="H10" s="144">
        <f t="shared" si="1"/>
        <v>0</v>
      </c>
      <c r="I10" s="144">
        <f t="shared" si="1"/>
        <v>0</v>
      </c>
      <c r="J10" s="144">
        <f t="shared" si="1"/>
        <v>0</v>
      </c>
      <c r="K10" s="144">
        <f t="shared" si="1"/>
        <v>275360914</v>
      </c>
      <c r="L10" s="144">
        <f t="shared" si="1"/>
        <v>0</v>
      </c>
      <c r="M10" s="25">
        <f aca="true" t="shared" si="2" ref="M10:M20">SUM(N10:U10)</f>
        <v>526466692</v>
      </c>
      <c r="N10" s="144">
        <f aca="true" t="shared" si="3" ref="N10:U10">SUM(N11:N17)</f>
        <v>0</v>
      </c>
      <c r="O10" s="144">
        <f t="shared" si="3"/>
        <v>0</v>
      </c>
      <c r="P10" s="144">
        <f t="shared" si="3"/>
        <v>120000000</v>
      </c>
      <c r="Q10" s="144">
        <f t="shared" si="3"/>
        <v>0</v>
      </c>
      <c r="R10" s="144">
        <f t="shared" si="3"/>
        <v>0</v>
      </c>
      <c r="S10" s="144">
        <f t="shared" si="3"/>
        <v>0</v>
      </c>
      <c r="T10" s="144">
        <f t="shared" si="3"/>
        <v>406466692</v>
      </c>
      <c r="U10" s="144">
        <f t="shared" si="3"/>
        <v>0</v>
      </c>
    </row>
    <row r="11" spans="1:21" ht="58.5" customHeight="1">
      <c r="A11" s="12"/>
      <c r="B11" s="12" t="s">
        <v>441</v>
      </c>
      <c r="C11" s="19" t="s">
        <v>442</v>
      </c>
      <c r="D11" s="111">
        <f t="shared" si="0"/>
        <v>40000000</v>
      </c>
      <c r="E11" s="112">
        <v>0</v>
      </c>
      <c r="F11" s="112">
        <v>0</v>
      </c>
      <c r="G11" s="112">
        <v>40000000</v>
      </c>
      <c r="H11" s="112">
        <v>0</v>
      </c>
      <c r="I11" s="112">
        <v>0</v>
      </c>
      <c r="J11" s="112">
        <v>0</v>
      </c>
      <c r="K11" s="112">
        <v>0</v>
      </c>
      <c r="L11" s="145">
        <v>0</v>
      </c>
      <c r="M11" s="111">
        <f t="shared" si="2"/>
        <v>50000000</v>
      </c>
      <c r="N11" s="112">
        <v>0</v>
      </c>
      <c r="O11" s="112">
        <v>0</v>
      </c>
      <c r="P11" s="112">
        <v>50000000</v>
      </c>
      <c r="Q11" s="112">
        <v>0</v>
      </c>
      <c r="R11" s="112">
        <v>0</v>
      </c>
      <c r="S11" s="112">
        <v>0</v>
      </c>
      <c r="T11" s="112">
        <v>0</v>
      </c>
      <c r="U11" s="145">
        <v>0</v>
      </c>
    </row>
    <row r="12" spans="1:21" ht="30" customHeight="1">
      <c r="A12" s="12"/>
      <c r="B12" s="12" t="s">
        <v>443</v>
      </c>
      <c r="C12" s="19" t="s">
        <v>444</v>
      </c>
      <c r="D12" s="111">
        <f t="shared" si="0"/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45">
        <v>0</v>
      </c>
      <c r="M12" s="111">
        <f t="shared" si="2"/>
        <v>13359708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13359708</v>
      </c>
      <c r="U12" s="145">
        <v>0</v>
      </c>
    </row>
    <row r="13" spans="1:21" ht="45" customHeight="1">
      <c r="A13" s="12"/>
      <c r="B13" s="12" t="s">
        <v>445</v>
      </c>
      <c r="C13" s="19" t="s">
        <v>446</v>
      </c>
      <c r="D13" s="111">
        <f t="shared" si="0"/>
        <v>20000000</v>
      </c>
      <c r="E13" s="112">
        <v>0</v>
      </c>
      <c r="F13" s="112">
        <v>0</v>
      </c>
      <c r="G13" s="112">
        <v>20000000</v>
      </c>
      <c r="H13" s="112">
        <v>0</v>
      </c>
      <c r="I13" s="112">
        <v>0</v>
      </c>
      <c r="J13" s="112">
        <v>0</v>
      </c>
      <c r="K13" s="112">
        <v>0</v>
      </c>
      <c r="L13" s="145">
        <v>0</v>
      </c>
      <c r="M13" s="111">
        <f t="shared" si="2"/>
        <v>20000000</v>
      </c>
      <c r="N13" s="112">
        <v>0</v>
      </c>
      <c r="O13" s="112">
        <v>0</v>
      </c>
      <c r="P13" s="112">
        <v>20000000</v>
      </c>
      <c r="Q13" s="112">
        <v>0</v>
      </c>
      <c r="R13" s="112">
        <v>0</v>
      </c>
      <c r="S13" s="112">
        <v>0</v>
      </c>
      <c r="T13" s="112">
        <v>0</v>
      </c>
      <c r="U13" s="145">
        <v>0</v>
      </c>
    </row>
    <row r="14" spans="1:21" ht="30" customHeight="1">
      <c r="A14" s="12"/>
      <c r="B14" s="12" t="s">
        <v>447</v>
      </c>
      <c r="C14" s="19" t="s">
        <v>448</v>
      </c>
      <c r="D14" s="111">
        <f t="shared" si="0"/>
        <v>5000000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5000000</v>
      </c>
      <c r="L14" s="145">
        <v>0</v>
      </c>
      <c r="M14" s="111">
        <f t="shared" si="2"/>
        <v>5000000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5000000</v>
      </c>
      <c r="U14" s="145">
        <v>0</v>
      </c>
    </row>
    <row r="15" spans="1:21" ht="45" customHeight="1">
      <c r="A15" s="12"/>
      <c r="B15" s="12" t="s">
        <v>449</v>
      </c>
      <c r="C15" s="19" t="s">
        <v>450</v>
      </c>
      <c r="D15" s="111">
        <f t="shared" si="0"/>
        <v>50000000</v>
      </c>
      <c r="E15" s="112">
        <v>0</v>
      </c>
      <c r="F15" s="112">
        <v>0</v>
      </c>
      <c r="G15" s="112">
        <v>50000000</v>
      </c>
      <c r="H15" s="112">
        <v>0</v>
      </c>
      <c r="I15" s="112">
        <v>0</v>
      </c>
      <c r="J15" s="112">
        <v>0</v>
      </c>
      <c r="K15" s="112">
        <v>0</v>
      </c>
      <c r="L15" s="145">
        <v>0</v>
      </c>
      <c r="M15" s="111">
        <f t="shared" si="2"/>
        <v>50000000</v>
      </c>
      <c r="N15" s="112">
        <v>0</v>
      </c>
      <c r="O15" s="112">
        <v>0</v>
      </c>
      <c r="P15" s="112">
        <v>50000000</v>
      </c>
      <c r="Q15" s="112">
        <v>0</v>
      </c>
      <c r="R15" s="112">
        <v>0</v>
      </c>
      <c r="S15" s="112">
        <v>0</v>
      </c>
      <c r="T15" s="112">
        <v>0</v>
      </c>
      <c r="U15" s="145">
        <v>0</v>
      </c>
    </row>
    <row r="16" spans="1:21" ht="45" customHeight="1">
      <c r="A16" s="12"/>
      <c r="B16" s="12" t="s">
        <v>451</v>
      </c>
      <c r="C16" s="19" t="s">
        <v>452</v>
      </c>
      <c r="D16" s="111">
        <f t="shared" si="0"/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45">
        <v>0</v>
      </c>
      <c r="M16" s="111">
        <f t="shared" si="2"/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45">
        <v>0</v>
      </c>
    </row>
    <row r="17" spans="1:21" ht="18" customHeight="1">
      <c r="A17" s="12"/>
      <c r="B17" s="12" t="s">
        <v>453</v>
      </c>
      <c r="C17" s="19" t="s">
        <v>454</v>
      </c>
      <c r="D17" s="111">
        <f t="shared" si="0"/>
        <v>270360914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270360914</v>
      </c>
      <c r="L17" s="145">
        <v>0</v>
      </c>
      <c r="M17" s="111">
        <f t="shared" si="2"/>
        <v>388106984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388106984</v>
      </c>
      <c r="U17" s="145">
        <v>0</v>
      </c>
    </row>
    <row r="18" spans="1:21" ht="18" customHeight="1">
      <c r="A18" s="146" t="s">
        <v>68</v>
      </c>
      <c r="B18" s="12"/>
      <c r="C18" s="143" t="s">
        <v>42</v>
      </c>
      <c r="D18" s="25">
        <f t="shared" si="0"/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5">
        <f t="shared" si="2"/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</row>
    <row r="19" spans="1:21" ht="31.5" customHeight="1">
      <c r="A19" s="142" t="s">
        <v>69</v>
      </c>
      <c r="B19" s="12"/>
      <c r="C19" s="143" t="s">
        <v>44</v>
      </c>
      <c r="D19" s="25">
        <f t="shared" si="0"/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25">
        <v>0</v>
      </c>
      <c r="M19" s="25">
        <f t="shared" si="2"/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25">
        <v>0</v>
      </c>
    </row>
    <row r="20" spans="1:21" ht="37.5" customHeight="1">
      <c r="A20" s="326" t="s">
        <v>326</v>
      </c>
      <c r="B20" s="326"/>
      <c r="C20" s="326"/>
      <c r="D20" s="25">
        <f t="shared" si="0"/>
        <v>385360914</v>
      </c>
      <c r="E20" s="144">
        <f aca="true" t="shared" si="4" ref="E20:L20">E10+E18+E19</f>
        <v>0</v>
      </c>
      <c r="F20" s="144">
        <f t="shared" si="4"/>
        <v>0</v>
      </c>
      <c r="G20" s="144">
        <f t="shared" si="4"/>
        <v>110000000</v>
      </c>
      <c r="H20" s="144">
        <f t="shared" si="4"/>
        <v>0</v>
      </c>
      <c r="I20" s="144">
        <f t="shared" si="4"/>
        <v>0</v>
      </c>
      <c r="J20" s="144">
        <f t="shared" si="4"/>
        <v>0</v>
      </c>
      <c r="K20" s="144">
        <f t="shared" si="4"/>
        <v>275360914</v>
      </c>
      <c r="L20" s="144">
        <f t="shared" si="4"/>
        <v>0</v>
      </c>
      <c r="M20" s="25">
        <f t="shared" si="2"/>
        <v>526466692</v>
      </c>
      <c r="N20" s="144">
        <f aca="true" t="shared" si="5" ref="N20:U20">N10+N18+N19</f>
        <v>0</v>
      </c>
      <c r="O20" s="144">
        <f t="shared" si="5"/>
        <v>0</v>
      </c>
      <c r="P20" s="144">
        <f t="shared" si="5"/>
        <v>120000000</v>
      </c>
      <c r="Q20" s="144">
        <f t="shared" si="5"/>
        <v>0</v>
      </c>
      <c r="R20" s="144">
        <f t="shared" si="5"/>
        <v>0</v>
      </c>
      <c r="S20" s="144">
        <f t="shared" si="5"/>
        <v>0</v>
      </c>
      <c r="T20" s="144">
        <f t="shared" si="5"/>
        <v>406466692</v>
      </c>
      <c r="U20" s="144">
        <f t="shared" si="5"/>
        <v>0</v>
      </c>
    </row>
  </sheetData>
  <sheetProtection selectLockedCells="1" selectUnlockedCells="1"/>
  <mergeCells count="16">
    <mergeCell ref="A20:C20"/>
    <mergeCell ref="E8:I8"/>
    <mergeCell ref="J8:L8"/>
    <mergeCell ref="N7:U7"/>
    <mergeCell ref="N8:R8"/>
    <mergeCell ref="S8:U8"/>
    <mergeCell ref="A7:A9"/>
    <mergeCell ref="M7:M9"/>
    <mergeCell ref="B7:B9"/>
    <mergeCell ref="A1:U1"/>
    <mergeCell ref="A2:U2"/>
    <mergeCell ref="A3:U3"/>
    <mergeCell ref="A4:U4"/>
    <mergeCell ref="C7:C9"/>
    <mergeCell ref="D7:D9"/>
    <mergeCell ref="E7:L7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László</dc:creator>
  <cp:keywords/>
  <dc:description/>
  <cp:lastModifiedBy>Szilágyi Béla</cp:lastModifiedBy>
  <cp:lastPrinted>2019-04-08T08:08:29Z</cp:lastPrinted>
  <dcterms:created xsi:type="dcterms:W3CDTF">2018-01-24T09:14:24Z</dcterms:created>
  <dcterms:modified xsi:type="dcterms:W3CDTF">2019-04-24T08:33:34Z</dcterms:modified>
  <cp:category/>
  <cp:version/>
  <cp:contentType/>
  <cp:contentStatus/>
</cp:coreProperties>
</file>